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2850" windowWidth="9570" windowHeight="2880" tabRatio="458" activeTab="3"/>
  </bookViews>
  <sheets>
    <sheet name="nor" sheetId="6" r:id="rId1"/>
    <sheet name="og" sheetId="7" r:id="rId2"/>
    <sheet name="sv" sheetId="4" r:id="rId3"/>
    <sheet name="nor А-Я" sheetId="8" r:id="rId4"/>
  </sheets>
  <definedNames>
    <definedName name="_xlnm._FilterDatabase" localSheetId="0" hidden="1">nor!$A$6:$DV$187</definedName>
    <definedName name="_xlnm._FilterDatabase" localSheetId="3" hidden="1">'nor А-Я'!$A$6:$EH$187</definedName>
    <definedName name="_xlnm._FilterDatabase" localSheetId="1" hidden="1">og!$A$6:$EC$35</definedName>
    <definedName name="_xlnm.Print_Titles" localSheetId="0">nor!$B:$C,nor!$2:$5</definedName>
    <definedName name="_xlnm.Print_Titles" localSheetId="3">'nor А-Я'!$B:$C,'nor А-Я'!$2:$5</definedName>
    <definedName name="_xlnm.Print_Titles" localSheetId="1">og!$B:$C,og!$2:$5</definedName>
    <definedName name="_xlnm.Print_Titles" localSheetId="2">sv!$B:$C,sv!$2:$5</definedName>
  </definedNames>
  <calcPr calcId="145621"/>
</workbook>
</file>

<file path=xl/calcChain.xml><?xml version="1.0" encoding="utf-8"?>
<calcChain xmlns="http://schemas.openxmlformats.org/spreadsheetml/2006/main">
  <c r="G256" i="4" l="1"/>
  <c r="AI111" i="6" l="1"/>
  <c r="AI248" i="6"/>
  <c r="R262" i="8" l="1"/>
  <c r="AC262" i="8"/>
  <c r="AI262" i="8"/>
  <c r="CL14" i="8" l="1"/>
  <c r="CK248" i="7"/>
  <c r="CG248" i="7"/>
  <c r="CF248" i="7"/>
  <c r="CD248" i="7"/>
  <c r="CC248" i="7"/>
  <c r="CH35" i="7"/>
  <c r="CI35" i="7" s="1"/>
  <c r="CL35" i="7" s="1"/>
  <c r="CB35" i="7"/>
  <c r="CA35" i="7"/>
  <c r="CJ35" i="7" s="1"/>
  <c r="CJ34" i="7"/>
  <c r="CH34" i="7"/>
  <c r="CE34" i="7"/>
  <c r="CB34" i="7"/>
  <c r="CI34" i="7" s="1"/>
  <c r="CL34" i="7" s="1"/>
  <c r="CA34" i="7"/>
  <c r="CJ33" i="7"/>
  <c r="CI33" i="7"/>
  <c r="CL33" i="7" s="1"/>
  <c r="CB33" i="7"/>
  <c r="CA33" i="7"/>
  <c r="CE32" i="7"/>
  <c r="CB32" i="7"/>
  <c r="CA32" i="7"/>
  <c r="CI32" i="7" s="1"/>
  <c r="CL32" i="7" s="1"/>
  <c r="CB31" i="7"/>
  <c r="CI31" i="7" s="1"/>
  <c r="CL31" i="7" s="1"/>
  <c r="CA31" i="7"/>
  <c r="CJ31" i="7" s="1"/>
  <c r="CH30" i="7"/>
  <c r="CE30" i="7"/>
  <c r="CB30" i="7"/>
  <c r="CA30" i="7"/>
  <c r="CJ30" i="7" s="1"/>
  <c r="CE29" i="7"/>
  <c r="CI29" i="7" s="1"/>
  <c r="CL29" i="7" s="1"/>
  <c r="CB29" i="7"/>
  <c r="CA29" i="7"/>
  <c r="CJ29" i="7" s="1"/>
  <c r="CJ28" i="7"/>
  <c r="CH28" i="7"/>
  <c r="CE28" i="7"/>
  <c r="CB28" i="7"/>
  <c r="CI28" i="7" s="1"/>
  <c r="CL28" i="7" s="1"/>
  <c r="CA28" i="7"/>
  <c r="CI27" i="7"/>
  <c r="CL27" i="7" s="1"/>
  <c r="CH27" i="7"/>
  <c r="CB27" i="7"/>
  <c r="CA27" i="7"/>
  <c r="CJ27" i="7" s="1"/>
  <c r="CJ26" i="7"/>
  <c r="CH26" i="7"/>
  <c r="CI26" i="7" s="1"/>
  <c r="CL26" i="7" s="1"/>
  <c r="CE26" i="7"/>
  <c r="CB26" i="7"/>
  <c r="CA26" i="7"/>
  <c r="CE25" i="7"/>
  <c r="CB25" i="7"/>
  <c r="CA25" i="7"/>
  <c r="CI25" i="7" s="1"/>
  <c r="CL25" i="7" s="1"/>
  <c r="CJ24" i="7"/>
  <c r="CH24" i="7"/>
  <c r="CI24" i="7" s="1"/>
  <c r="CL24" i="7" s="1"/>
  <c r="CE24" i="7"/>
  <c r="CH23" i="7"/>
  <c r="CE23" i="7"/>
  <c r="CB23" i="7"/>
  <c r="CA23" i="7"/>
  <c r="CJ23" i="7" s="1"/>
  <c r="CE22" i="7"/>
  <c r="CI22" i="7" s="1"/>
  <c r="CL22" i="7" s="1"/>
  <c r="CB22" i="7"/>
  <c r="CA22" i="7"/>
  <c r="CJ22" i="7" s="1"/>
  <c r="CH21" i="7"/>
  <c r="CB21" i="7"/>
  <c r="CA21" i="7"/>
  <c r="CI21" i="7" s="1"/>
  <c r="CL21" i="7" s="1"/>
  <c r="CE20" i="7"/>
  <c r="CI20" i="7" s="1"/>
  <c r="CL20" i="7" s="1"/>
  <c r="CB20" i="7"/>
  <c r="CA20" i="7"/>
  <c r="CJ20" i="7" s="1"/>
  <c r="CH19" i="7"/>
  <c r="CB19" i="7"/>
  <c r="CA19" i="7"/>
  <c r="CI19" i="7" s="1"/>
  <c r="CL19" i="7" s="1"/>
  <c r="CE18" i="7"/>
  <c r="CI18" i="7" s="1"/>
  <c r="CL18" i="7" s="1"/>
  <c r="CB18" i="7"/>
  <c r="CA18" i="7"/>
  <c r="CJ18" i="7" s="1"/>
  <c r="CE17" i="7"/>
  <c r="CB17" i="7"/>
  <c r="CA17" i="7"/>
  <c r="CI17" i="7" s="1"/>
  <c r="CL17" i="7" s="1"/>
  <c r="CH16" i="7"/>
  <c r="CI16" i="7" s="1"/>
  <c r="CL16" i="7" s="1"/>
  <c r="CE16" i="7"/>
  <c r="CD16" i="7"/>
  <c r="CB16" i="7"/>
  <c r="CA16" i="7"/>
  <c r="CJ16" i="7" s="1"/>
  <c r="CB15" i="7"/>
  <c r="CI15" i="7" s="1"/>
  <c r="CL15" i="7" s="1"/>
  <c r="CA15" i="7"/>
  <c r="CJ15" i="7" s="1"/>
  <c r="CH14" i="7"/>
  <c r="CE14" i="7"/>
  <c r="CB14" i="7"/>
  <c r="CA14" i="7"/>
  <c r="CJ14" i="7" s="1"/>
  <c r="CE13" i="7"/>
  <c r="CI13" i="7" s="1"/>
  <c r="CL13" i="7" s="1"/>
  <c r="CB13" i="7"/>
  <c r="CA13" i="7"/>
  <c r="CJ13" i="7" s="1"/>
  <c r="CE12" i="7"/>
  <c r="CB12" i="7"/>
  <c r="CA12" i="7"/>
  <c r="CI12" i="7" s="1"/>
  <c r="CL12" i="7" s="1"/>
  <c r="CH11" i="7"/>
  <c r="CI11" i="7" s="1"/>
  <c r="CL11" i="7" s="1"/>
  <c r="CE11" i="7"/>
  <c r="CB11" i="7"/>
  <c r="CA11" i="7"/>
  <c r="CJ11" i="7" s="1"/>
  <c r="CE10" i="7"/>
  <c r="CI10" i="7" s="1"/>
  <c r="CL10" i="7" s="1"/>
  <c r="CB10" i="7"/>
  <c r="CA10" i="7"/>
  <c r="CJ10" i="7" s="1"/>
  <c r="CE9" i="7"/>
  <c r="CD9" i="7"/>
  <c r="CB9" i="7"/>
  <c r="CA9" i="7"/>
  <c r="CJ9" i="7" s="1"/>
  <c r="CH8" i="7"/>
  <c r="CH248" i="7" s="1"/>
  <c r="CE8" i="7"/>
  <c r="CE248" i="7" s="1"/>
  <c r="CB8" i="7"/>
  <c r="CA8" i="7"/>
  <c r="CJ8" i="7" s="1"/>
  <c r="CB7" i="7"/>
  <c r="CI7" i="7" s="1"/>
  <c r="CA7" i="7"/>
  <c r="CJ7" i="7" s="1"/>
  <c r="CL248" i="8"/>
  <c r="CK248" i="8"/>
  <c r="CJ187" i="8"/>
  <c r="CI187" i="8"/>
  <c r="CL187" i="8" s="1"/>
  <c r="CL186" i="8"/>
  <c r="CJ186" i="8"/>
  <c r="CI186" i="8"/>
  <c r="CL185" i="8"/>
  <c r="CJ185" i="8"/>
  <c r="CI185" i="8"/>
  <c r="CH185" i="8"/>
  <c r="CJ184" i="8"/>
  <c r="CB184" i="8"/>
  <c r="CA184" i="8"/>
  <c r="CI184" i="8" s="1"/>
  <c r="CL184" i="8" s="1"/>
  <c r="CL183" i="8"/>
  <c r="CJ183" i="8"/>
  <c r="CD183" i="8"/>
  <c r="CI183" i="8" s="1"/>
  <c r="CJ182" i="8"/>
  <c r="CD182" i="8"/>
  <c r="CI182" i="8" s="1"/>
  <c r="CL182" i="8" s="1"/>
  <c r="CJ181" i="8"/>
  <c r="CG181" i="8"/>
  <c r="CB181" i="8"/>
  <c r="CE180" i="8"/>
  <c r="CI180" i="8" s="1"/>
  <c r="CL180" i="8" s="1"/>
  <c r="CD180" i="8"/>
  <c r="CA180" i="8"/>
  <c r="CJ180" i="8" s="1"/>
  <c r="CB179" i="8"/>
  <c r="CA179" i="8"/>
  <c r="CJ178" i="8"/>
  <c r="CH178" i="8"/>
  <c r="CE178" i="8"/>
  <c r="CB178" i="8"/>
  <c r="CA178" i="8"/>
  <c r="CL177" i="8"/>
  <c r="CJ177" i="8"/>
  <c r="CI177" i="8"/>
  <c r="CG177" i="8"/>
  <c r="CL176" i="8"/>
  <c r="CJ176" i="8"/>
  <c r="CI176" i="8"/>
  <c r="CJ175" i="8"/>
  <c r="CI175" i="8"/>
  <c r="CL175" i="8" s="1"/>
  <c r="CB175" i="8"/>
  <c r="CJ174" i="8"/>
  <c r="CI174" i="8"/>
  <c r="CL174" i="8" s="1"/>
  <c r="CJ173" i="8"/>
  <c r="CI173" i="8"/>
  <c r="CL173" i="8" s="1"/>
  <c r="CD173" i="8"/>
  <c r="CJ172" i="8"/>
  <c r="CI172" i="8"/>
  <c r="CL172" i="8" s="1"/>
  <c r="CG171" i="8"/>
  <c r="CC171" i="8"/>
  <c r="CJ171" i="8" s="1"/>
  <c r="CJ170" i="8"/>
  <c r="CI170" i="8"/>
  <c r="CL170" i="8" s="1"/>
  <c r="CL169" i="8"/>
  <c r="CJ169" i="8"/>
  <c r="CI169" i="8"/>
  <c r="CG168" i="8"/>
  <c r="CC168" i="8"/>
  <c r="CJ168" i="8" s="1"/>
  <c r="CB168" i="8"/>
  <c r="CA168" i="8"/>
  <c r="CJ167" i="8"/>
  <c r="CI167" i="8"/>
  <c r="CL167" i="8" s="1"/>
  <c r="CD167" i="8"/>
  <c r="CG166" i="8"/>
  <c r="CE166" i="8"/>
  <c r="CD166" i="8"/>
  <c r="CA166" i="8"/>
  <c r="CJ166" i="8" s="1"/>
  <c r="CJ165" i="8"/>
  <c r="CI165" i="8"/>
  <c r="CL165" i="8" s="1"/>
  <c r="CB164" i="8"/>
  <c r="CI164" i="8" s="1"/>
  <c r="CL164" i="8" s="1"/>
  <c r="CA164" i="8"/>
  <c r="CJ164" i="8" s="1"/>
  <c r="CJ163" i="8"/>
  <c r="CI163" i="8"/>
  <c r="CL163" i="8" s="1"/>
  <c r="CG162" i="8"/>
  <c r="CE162" i="8"/>
  <c r="CC162" i="8"/>
  <c r="CJ162" i="8" s="1"/>
  <c r="CE161" i="8"/>
  <c r="CB161" i="8"/>
  <c r="CA161" i="8"/>
  <c r="CI161" i="8" s="1"/>
  <c r="CL161" i="8" s="1"/>
  <c r="CL160" i="8"/>
  <c r="CJ160" i="8"/>
  <c r="CB160" i="8"/>
  <c r="CI160" i="8" s="1"/>
  <c r="CG159" i="8"/>
  <c r="CE159" i="8"/>
  <c r="CC159" i="8"/>
  <c r="CB159" i="8"/>
  <c r="CA159" i="8"/>
  <c r="CJ159" i="8" s="1"/>
  <c r="CL158" i="8"/>
  <c r="CJ158" i="8"/>
  <c r="CG158" i="8"/>
  <c r="CI158" i="8" s="1"/>
  <c r="CF158" i="8"/>
  <c r="CE158" i="8"/>
  <c r="CB158" i="8"/>
  <c r="CL157" i="8"/>
  <c r="CJ157" i="8"/>
  <c r="CB157" i="8"/>
  <c r="CA157" i="8"/>
  <c r="CI157" i="8" s="1"/>
  <c r="CJ156" i="8"/>
  <c r="CG156" i="8"/>
  <c r="CI156" i="8" s="1"/>
  <c r="CL156" i="8" s="1"/>
  <c r="CE156" i="8"/>
  <c r="CB156" i="8"/>
  <c r="CA156" i="8"/>
  <c r="CJ155" i="8"/>
  <c r="CG155" i="8"/>
  <c r="CE155" i="8"/>
  <c r="CD155" i="8"/>
  <c r="CB155" i="8"/>
  <c r="CA155" i="8"/>
  <c r="CJ154" i="8"/>
  <c r="CG154" i="8"/>
  <c r="CF154" i="8"/>
  <c r="CE154" i="8"/>
  <c r="CD154" i="8"/>
  <c r="CB154" i="8"/>
  <c r="CA154" i="8"/>
  <c r="CB153" i="8"/>
  <c r="CI153" i="8" s="1"/>
  <c r="CL153" i="8" s="1"/>
  <c r="CA153" i="8"/>
  <c r="CJ153" i="8" s="1"/>
  <c r="CG152" i="8"/>
  <c r="CE152" i="8"/>
  <c r="CD152" i="8"/>
  <c r="CC152" i="8"/>
  <c r="CI152" i="8" s="1"/>
  <c r="CL152" i="8" s="1"/>
  <c r="CB152" i="8"/>
  <c r="CA152" i="8"/>
  <c r="CJ152" i="8" s="1"/>
  <c r="CJ151" i="8"/>
  <c r="CI151" i="8"/>
  <c r="CL151" i="8" s="1"/>
  <c r="CB151" i="8"/>
  <c r="CA151" i="8"/>
  <c r="CG150" i="8"/>
  <c r="CE150" i="8"/>
  <c r="CD150" i="8"/>
  <c r="CC150" i="8"/>
  <c r="CB150" i="8"/>
  <c r="CA150" i="8"/>
  <c r="CJ150" i="8" s="1"/>
  <c r="CG149" i="8"/>
  <c r="CE149" i="8"/>
  <c r="CD149" i="8"/>
  <c r="CC149" i="8"/>
  <c r="CB149" i="8"/>
  <c r="CA149" i="8"/>
  <c r="CJ149" i="8" s="1"/>
  <c r="CI148" i="8"/>
  <c r="CL148" i="8" s="1"/>
  <c r="CH148" i="8"/>
  <c r="CD148" i="8"/>
  <c r="CA148" i="8"/>
  <c r="CJ148" i="8" s="1"/>
  <c r="CL147" i="8"/>
  <c r="CJ147" i="8"/>
  <c r="CI147" i="8"/>
  <c r="CJ146" i="8"/>
  <c r="CI146" i="8"/>
  <c r="CL146" i="8" s="1"/>
  <c r="CD146" i="8"/>
  <c r="CD145" i="8"/>
  <c r="CB145" i="8"/>
  <c r="CA145" i="8"/>
  <c r="CI145" i="8" s="1"/>
  <c r="CL145" i="8" s="1"/>
  <c r="CD144" i="8"/>
  <c r="CI144" i="8" s="1"/>
  <c r="CL144" i="8" s="1"/>
  <c r="CB144" i="8"/>
  <c r="CA144" i="8"/>
  <c r="CJ144" i="8" s="1"/>
  <c r="CJ143" i="8"/>
  <c r="CI143" i="8"/>
  <c r="CL143" i="8" s="1"/>
  <c r="CB143" i="8"/>
  <c r="CA143" i="8"/>
  <c r="CJ142" i="8"/>
  <c r="CG142" i="8"/>
  <c r="CE142" i="8"/>
  <c r="CI142" i="8" s="1"/>
  <c r="CL142" i="8" s="1"/>
  <c r="CD142" i="8"/>
  <c r="CB142" i="8"/>
  <c r="CA142" i="8"/>
  <c r="CI141" i="8"/>
  <c r="CL141" i="8" s="1"/>
  <c r="CE141" i="8"/>
  <c r="CB141" i="8"/>
  <c r="CA141" i="8"/>
  <c r="CJ141" i="8" s="1"/>
  <c r="CL140" i="8"/>
  <c r="CH140" i="8"/>
  <c r="CI140" i="8" s="1"/>
  <c r="CB140" i="8"/>
  <c r="CA140" i="8"/>
  <c r="CJ140" i="8" s="1"/>
  <c r="CJ139" i="8"/>
  <c r="CI139" i="8"/>
  <c r="CL139" i="8" s="1"/>
  <c r="CB139" i="8"/>
  <c r="CA139" i="8"/>
  <c r="CJ138" i="8"/>
  <c r="CD138" i="8"/>
  <c r="CI138" i="8" s="1"/>
  <c r="CL138" i="8" s="1"/>
  <c r="CL137" i="8"/>
  <c r="CJ137" i="8"/>
  <c r="CI137" i="8"/>
  <c r="CF136" i="8"/>
  <c r="CD136" i="8"/>
  <c r="CI136" i="8" s="1"/>
  <c r="CL136" i="8" s="1"/>
  <c r="CB136" i="8"/>
  <c r="CA136" i="8"/>
  <c r="CJ136" i="8" s="1"/>
  <c r="CJ135" i="8"/>
  <c r="CI135" i="8"/>
  <c r="CL135" i="8" s="1"/>
  <c r="CG135" i="8"/>
  <c r="CE135" i="8"/>
  <c r="CB135" i="8"/>
  <c r="CD134" i="8"/>
  <c r="CB134" i="8"/>
  <c r="CA134" i="8"/>
  <c r="CJ134" i="8" s="1"/>
  <c r="CI133" i="8"/>
  <c r="CL133" i="8" s="1"/>
  <c r="CD133" i="8"/>
  <c r="CB133" i="8"/>
  <c r="CA133" i="8"/>
  <c r="CJ133" i="8" s="1"/>
  <c r="CJ132" i="8"/>
  <c r="CG132" i="8"/>
  <c r="CC132" i="8"/>
  <c r="CB132" i="8"/>
  <c r="CJ131" i="8"/>
  <c r="CI131" i="8"/>
  <c r="CL131" i="8" s="1"/>
  <c r="CF131" i="8"/>
  <c r="CB131" i="8"/>
  <c r="CL130" i="8"/>
  <c r="CJ130" i="8"/>
  <c r="CI130" i="8"/>
  <c r="CJ129" i="8"/>
  <c r="CI129" i="8"/>
  <c r="CL129" i="8" s="1"/>
  <c r="CG128" i="8"/>
  <c r="CE128" i="8"/>
  <c r="CD128" i="8"/>
  <c r="CC128" i="8"/>
  <c r="CB128" i="8"/>
  <c r="CA128" i="8"/>
  <c r="CJ128" i="8" s="1"/>
  <c r="CJ127" i="8"/>
  <c r="CI127" i="8"/>
  <c r="CL127" i="8" s="1"/>
  <c r="CL126" i="8"/>
  <c r="CJ126" i="8"/>
  <c r="CI126" i="8"/>
  <c r="CB125" i="8"/>
  <c r="CA125" i="8"/>
  <c r="CJ125" i="8" s="1"/>
  <c r="CG124" i="8"/>
  <c r="CE124" i="8"/>
  <c r="CI124" i="8" s="1"/>
  <c r="CL124" i="8" s="1"/>
  <c r="CB124" i="8"/>
  <c r="CA124" i="8"/>
  <c r="CJ124" i="8" s="1"/>
  <c r="CJ123" i="8"/>
  <c r="CG123" i="8"/>
  <c r="CF123" i="8"/>
  <c r="CL122" i="8"/>
  <c r="CJ122" i="8"/>
  <c r="CI122" i="8"/>
  <c r="CL121" i="8"/>
  <c r="CJ121" i="8"/>
  <c r="CI121" i="8"/>
  <c r="CJ120" i="8"/>
  <c r="CI120" i="8"/>
  <c r="CL120" i="8" s="1"/>
  <c r="CB120" i="8"/>
  <c r="CA120" i="8"/>
  <c r="CG119" i="8"/>
  <c r="CI119" i="8" s="1"/>
  <c r="CL119" i="8" s="1"/>
  <c r="CE119" i="8"/>
  <c r="CA119" i="8"/>
  <c r="CJ119" i="8" s="1"/>
  <c r="CJ118" i="8"/>
  <c r="CI118" i="8"/>
  <c r="CL118" i="8" s="1"/>
  <c r="CJ117" i="8"/>
  <c r="CG117" i="8"/>
  <c r="CI117" i="8" s="1"/>
  <c r="CL117" i="8" s="1"/>
  <c r="CF117" i="8"/>
  <c r="CJ116" i="8"/>
  <c r="CG116" i="8"/>
  <c r="CI116" i="8" s="1"/>
  <c r="CL116" i="8" s="1"/>
  <c r="CF116" i="8"/>
  <c r="CL115" i="8"/>
  <c r="CJ115" i="8"/>
  <c r="CI115" i="8"/>
  <c r="CJ114" i="8"/>
  <c r="CI114" i="8"/>
  <c r="CL114" i="8" s="1"/>
  <c r="CL113" i="8"/>
  <c r="CJ113" i="8"/>
  <c r="CI113" i="8"/>
  <c r="CL112" i="8"/>
  <c r="CJ112" i="8"/>
  <c r="CI112" i="8"/>
  <c r="CJ111" i="8"/>
  <c r="CI111" i="8"/>
  <c r="CL111" i="8" s="1"/>
  <c r="CJ110" i="8"/>
  <c r="CD110" i="8"/>
  <c r="CI110" i="8" s="1"/>
  <c r="CL110" i="8" s="1"/>
  <c r="CA110" i="8"/>
  <c r="CL109" i="8"/>
  <c r="CJ109" i="8"/>
  <c r="CI109" i="8"/>
  <c r="CD109" i="8"/>
  <c r="CL108" i="8"/>
  <c r="CJ108" i="8"/>
  <c r="CI108" i="8"/>
  <c r="CE108" i="8"/>
  <c r="CL107" i="8"/>
  <c r="CJ107" i="8"/>
  <c r="CI107" i="8"/>
  <c r="CD107" i="8"/>
  <c r="CL106" i="8"/>
  <c r="CJ106" i="8"/>
  <c r="CI106" i="8"/>
  <c r="CD106" i="8"/>
  <c r="CL105" i="8"/>
  <c r="CJ105" i="8"/>
  <c r="CI105" i="8"/>
  <c r="CD105" i="8"/>
  <c r="CL104" i="8"/>
  <c r="CJ104" i="8"/>
  <c r="CI104" i="8"/>
  <c r="CD104" i="8"/>
  <c r="CI103" i="8"/>
  <c r="CL103" i="8" s="1"/>
  <c r="CE103" i="8"/>
  <c r="CD103" i="8"/>
  <c r="CA103" i="8"/>
  <c r="CJ103" i="8" s="1"/>
  <c r="CL102" i="8"/>
  <c r="CJ102" i="8"/>
  <c r="CI102" i="8"/>
  <c r="CL101" i="8"/>
  <c r="CJ101" i="8"/>
  <c r="CI101" i="8"/>
  <c r="CJ100" i="8"/>
  <c r="CI100" i="8"/>
  <c r="CL100" i="8" s="1"/>
  <c r="CJ99" i="8"/>
  <c r="CI99" i="8"/>
  <c r="CL99" i="8" s="1"/>
  <c r="CG98" i="8"/>
  <c r="CE98" i="8"/>
  <c r="CD98" i="8"/>
  <c r="CB98" i="8"/>
  <c r="CI98" i="8" s="1"/>
  <c r="CL98" i="8" s="1"/>
  <c r="CA98" i="8"/>
  <c r="CJ98" i="8" s="1"/>
  <c r="CJ97" i="8"/>
  <c r="CI97" i="8"/>
  <c r="CL97" i="8" s="1"/>
  <c r="CJ96" i="8"/>
  <c r="CH96" i="8"/>
  <c r="CF96" i="8"/>
  <c r="CE96" i="8"/>
  <c r="CD96" i="8"/>
  <c r="CA96" i="8"/>
  <c r="CL95" i="8"/>
  <c r="CJ95" i="8"/>
  <c r="CI95" i="8"/>
  <c r="CJ94" i="8"/>
  <c r="CI94" i="8"/>
  <c r="CL94" i="8" s="1"/>
  <c r="CH93" i="8"/>
  <c r="CI93" i="8" s="1"/>
  <c r="CL93" i="8" s="1"/>
  <c r="CD93" i="8"/>
  <c r="CA93" i="8"/>
  <c r="CJ93" i="8" s="1"/>
  <c r="CJ92" i="8"/>
  <c r="CD92" i="8"/>
  <c r="CI92" i="8" s="1"/>
  <c r="CL92" i="8" s="1"/>
  <c r="CJ91" i="8"/>
  <c r="CH91" i="8"/>
  <c r="CI91" i="8" s="1"/>
  <c r="CL91" i="8" s="1"/>
  <c r="CE91" i="8"/>
  <c r="CD91" i="8"/>
  <c r="CA91" i="8"/>
  <c r="CL90" i="8"/>
  <c r="CJ90" i="8"/>
  <c r="CI90" i="8"/>
  <c r="CJ89" i="8"/>
  <c r="CI89" i="8"/>
  <c r="CL89" i="8" s="1"/>
  <c r="CD89" i="8"/>
  <c r="CA89" i="8"/>
  <c r="CJ88" i="8"/>
  <c r="CI88" i="8"/>
  <c r="CL88" i="8" s="1"/>
  <c r="CJ87" i="8"/>
  <c r="CI87" i="8"/>
  <c r="CL87" i="8" s="1"/>
  <c r="CJ86" i="8"/>
  <c r="CI86" i="8"/>
  <c r="CL86" i="8" s="1"/>
  <c r="CE86" i="8"/>
  <c r="CD86" i="8"/>
  <c r="CJ85" i="8"/>
  <c r="CI85" i="8"/>
  <c r="CL85" i="8" s="1"/>
  <c r="CH85" i="8"/>
  <c r="CE85" i="8"/>
  <c r="CL84" i="8"/>
  <c r="CJ84" i="8"/>
  <c r="CI84" i="8"/>
  <c r="CD84" i="8"/>
  <c r="CL83" i="8"/>
  <c r="CJ83" i="8"/>
  <c r="CI83" i="8"/>
  <c r="CJ82" i="8"/>
  <c r="CE82" i="8"/>
  <c r="CI82" i="8" s="1"/>
  <c r="CL82" i="8" s="1"/>
  <c r="CJ81" i="8"/>
  <c r="CI81" i="8"/>
  <c r="CL81" i="8" s="1"/>
  <c r="CH81" i="8"/>
  <c r="CE81" i="8"/>
  <c r="CJ80" i="8"/>
  <c r="CI80" i="8"/>
  <c r="CL80" i="8" s="1"/>
  <c r="CJ79" i="8"/>
  <c r="CI79" i="8"/>
  <c r="CL79" i="8" s="1"/>
  <c r="CJ78" i="8"/>
  <c r="CI78" i="8"/>
  <c r="CL78" i="8" s="1"/>
  <c r="CL77" i="8"/>
  <c r="CJ77" i="8"/>
  <c r="CI77" i="8"/>
  <c r="CG76" i="8"/>
  <c r="CE76" i="8"/>
  <c r="CC76" i="8"/>
  <c r="CJ76" i="8" s="1"/>
  <c r="CB76" i="8"/>
  <c r="CI76" i="8" s="1"/>
  <c r="CL76" i="8" s="1"/>
  <c r="CA76" i="8"/>
  <c r="CJ75" i="8"/>
  <c r="CI75" i="8"/>
  <c r="CL75" i="8" s="1"/>
  <c r="CJ74" i="8"/>
  <c r="CI74" i="8"/>
  <c r="CL74" i="8" s="1"/>
  <c r="CG73" i="8"/>
  <c r="CI73" i="8" s="1"/>
  <c r="CL73" i="8" s="1"/>
  <c r="CE73" i="8"/>
  <c r="CC73" i="8"/>
  <c r="CB73" i="8"/>
  <c r="CA73" i="8"/>
  <c r="CJ73" i="8" s="1"/>
  <c r="CE72" i="8"/>
  <c r="CI72" i="8" s="1"/>
  <c r="CL72" i="8" s="1"/>
  <c r="CD72" i="8"/>
  <c r="CA72" i="8"/>
  <c r="CJ72" i="8" s="1"/>
  <c r="CG71" i="8"/>
  <c r="CF71" i="8"/>
  <c r="CC71" i="8"/>
  <c r="CJ71" i="8" s="1"/>
  <c r="CB71" i="8"/>
  <c r="CI71" i="8" s="1"/>
  <c r="CL71" i="8" s="1"/>
  <c r="CA70" i="8"/>
  <c r="CI70" i="8" s="1"/>
  <c r="CL70" i="8" s="1"/>
  <c r="CJ69" i="8"/>
  <c r="CI69" i="8"/>
  <c r="CL69" i="8" s="1"/>
  <c r="CB69" i="8"/>
  <c r="CJ68" i="8"/>
  <c r="CG68" i="8"/>
  <c r="CI68" i="8" s="1"/>
  <c r="CL68" i="8" s="1"/>
  <c r="CC68" i="8"/>
  <c r="CB68" i="8"/>
  <c r="CB67" i="8"/>
  <c r="CA67" i="8"/>
  <c r="CJ67" i="8" s="1"/>
  <c r="CG66" i="8"/>
  <c r="CB66" i="8"/>
  <c r="CI66" i="8" s="1"/>
  <c r="CL66" i="8" s="1"/>
  <c r="CA66" i="8"/>
  <c r="CJ66" i="8" s="1"/>
  <c r="CG65" i="8"/>
  <c r="CC65" i="8"/>
  <c r="CB65" i="8"/>
  <c r="CA65" i="8"/>
  <c r="CJ65" i="8" s="1"/>
  <c r="CJ64" i="8"/>
  <c r="CI64" i="8"/>
  <c r="CL64" i="8" s="1"/>
  <c r="CB64" i="8"/>
  <c r="CJ63" i="8"/>
  <c r="CI63" i="8"/>
  <c r="CL63" i="8" s="1"/>
  <c r="CG62" i="8"/>
  <c r="CD62" i="8"/>
  <c r="CC62" i="8"/>
  <c r="CB62" i="8"/>
  <c r="CA62" i="8"/>
  <c r="CJ62" i="8" s="1"/>
  <c r="CG61" i="8"/>
  <c r="CE61" i="8"/>
  <c r="CB61" i="8"/>
  <c r="CA61" i="8"/>
  <c r="CJ61" i="8" s="1"/>
  <c r="CJ60" i="8"/>
  <c r="CG60" i="8"/>
  <c r="CI60" i="8" s="1"/>
  <c r="CL60" i="8" s="1"/>
  <c r="CD60" i="8"/>
  <c r="CB60" i="8"/>
  <c r="CG59" i="8"/>
  <c r="CE59" i="8"/>
  <c r="CC59" i="8"/>
  <c r="CJ59" i="8" s="1"/>
  <c r="CB59" i="8"/>
  <c r="CI59" i="8" s="1"/>
  <c r="CL59" i="8" s="1"/>
  <c r="CB58" i="8"/>
  <c r="CI58" i="8" s="1"/>
  <c r="CL58" i="8" s="1"/>
  <c r="CA58" i="8"/>
  <c r="CJ58" i="8" s="1"/>
  <c r="CJ57" i="8"/>
  <c r="CB57" i="8"/>
  <c r="CI57" i="8" s="1"/>
  <c r="CL57" i="8" s="1"/>
  <c r="CA57" i="8"/>
  <c r="CG56" i="8"/>
  <c r="CB56" i="8"/>
  <c r="CI56" i="8" s="1"/>
  <c r="CL56" i="8" s="1"/>
  <c r="CA56" i="8"/>
  <c r="CJ56" i="8" s="1"/>
  <c r="CG55" i="8"/>
  <c r="CI55" i="8" s="1"/>
  <c r="CL55" i="8" s="1"/>
  <c r="CF55" i="8"/>
  <c r="CC55" i="8"/>
  <c r="CJ55" i="8" s="1"/>
  <c r="CJ54" i="8"/>
  <c r="CG54" i="8"/>
  <c r="CE54" i="8"/>
  <c r="CI54" i="8" s="1"/>
  <c r="CL54" i="8" s="1"/>
  <c r="CC54" i="8"/>
  <c r="CB54" i="8"/>
  <c r="CA54" i="8"/>
  <c r="CJ53" i="8"/>
  <c r="CG53" i="8"/>
  <c r="CE53" i="8"/>
  <c r="CB53" i="8"/>
  <c r="CA53" i="8"/>
  <c r="CJ52" i="8"/>
  <c r="CA52" i="8"/>
  <c r="CI52" i="8" s="1"/>
  <c r="CL52" i="8" s="1"/>
  <c r="CG51" i="8"/>
  <c r="CI51" i="8" s="1"/>
  <c r="CL51" i="8" s="1"/>
  <c r="CF51" i="8"/>
  <c r="CE51" i="8"/>
  <c r="CD51" i="8"/>
  <c r="CC51" i="8"/>
  <c r="CB51" i="8"/>
  <c r="CA51" i="8"/>
  <c r="CJ50" i="8"/>
  <c r="CH50" i="8"/>
  <c r="CE50" i="8"/>
  <c r="CD50" i="8"/>
  <c r="CJ49" i="8"/>
  <c r="CI49" i="8"/>
  <c r="CL49" i="8" s="1"/>
  <c r="CB49" i="8"/>
  <c r="CA49" i="8"/>
  <c r="CL48" i="8"/>
  <c r="CB48" i="8"/>
  <c r="CA48" i="8"/>
  <c r="CI48" i="8" s="1"/>
  <c r="CL47" i="8"/>
  <c r="CJ47" i="8"/>
  <c r="CH47" i="8"/>
  <c r="CI47" i="8" s="1"/>
  <c r="CE47" i="8"/>
  <c r="CE46" i="8"/>
  <c r="CB46" i="8"/>
  <c r="CA46" i="8"/>
  <c r="CJ46" i="8" s="1"/>
  <c r="CG45" i="8"/>
  <c r="CE45" i="8"/>
  <c r="CC45" i="8"/>
  <c r="CI45" i="8" s="1"/>
  <c r="CL45" i="8" s="1"/>
  <c r="CB45" i="8"/>
  <c r="CA45" i="8"/>
  <c r="CI44" i="8"/>
  <c r="CL44" i="8" s="1"/>
  <c r="CE44" i="8"/>
  <c r="CB44" i="8"/>
  <c r="CA44" i="8"/>
  <c r="CJ44" i="8" s="1"/>
  <c r="CB43" i="8"/>
  <c r="CA43" i="8"/>
  <c r="CJ43" i="8" s="1"/>
  <c r="CJ42" i="8"/>
  <c r="CG42" i="8"/>
  <c r="CF42" i="8"/>
  <c r="CE42" i="8"/>
  <c r="CI42" i="8" s="1"/>
  <c r="CL42" i="8" s="1"/>
  <c r="CB42" i="8"/>
  <c r="CA42" i="8"/>
  <c r="CJ41" i="8"/>
  <c r="CI41" i="8"/>
  <c r="CL41" i="8" s="1"/>
  <c r="CB40" i="8"/>
  <c r="CI40" i="8" s="1"/>
  <c r="CL40" i="8" s="1"/>
  <c r="CA40" i="8"/>
  <c r="CJ40" i="8" s="1"/>
  <c r="CJ39" i="8"/>
  <c r="CF39" i="8"/>
  <c r="CE39" i="8"/>
  <c r="CI39" i="8" s="1"/>
  <c r="CL39" i="8" s="1"/>
  <c r="CB39" i="8"/>
  <c r="CJ38" i="8"/>
  <c r="CI38" i="8"/>
  <c r="CL38" i="8" s="1"/>
  <c r="CE38" i="8"/>
  <c r="CI37" i="8"/>
  <c r="CL37" i="8" s="1"/>
  <c r="CE37" i="8"/>
  <c r="CB37" i="8"/>
  <c r="CA37" i="8"/>
  <c r="CJ37" i="8" s="1"/>
  <c r="CG36" i="8"/>
  <c r="CE36" i="8"/>
  <c r="CB36" i="8"/>
  <c r="CA36" i="8"/>
  <c r="CJ36" i="8" s="1"/>
  <c r="CJ35" i="8"/>
  <c r="CB35" i="8"/>
  <c r="CI35" i="8" s="1"/>
  <c r="CL35" i="8" s="1"/>
  <c r="CA35" i="8"/>
  <c r="CB34" i="8"/>
  <c r="CI34" i="8" s="1"/>
  <c r="CL34" i="8" s="1"/>
  <c r="CA34" i="8"/>
  <c r="CJ34" i="8" s="1"/>
  <c r="CJ33" i="8"/>
  <c r="CB33" i="8"/>
  <c r="CI33" i="8" s="1"/>
  <c r="CL33" i="8" s="1"/>
  <c r="CA33" i="8"/>
  <c r="CI32" i="8"/>
  <c r="CL32" i="8" s="1"/>
  <c r="CH32" i="8"/>
  <c r="CA32" i="8"/>
  <c r="CJ32" i="8" s="1"/>
  <c r="CJ31" i="8"/>
  <c r="CE31" i="8"/>
  <c r="CD31" i="8"/>
  <c r="CA31" i="8"/>
  <c r="CJ30" i="8"/>
  <c r="CB30" i="8"/>
  <c r="CI30" i="8" s="1"/>
  <c r="CL30" i="8" s="1"/>
  <c r="CA30" i="8"/>
  <c r="CB29" i="8"/>
  <c r="CA29" i="8"/>
  <c r="CJ29" i="8" s="1"/>
  <c r="CJ28" i="8"/>
  <c r="CB28" i="8"/>
  <c r="CI28" i="8" s="1"/>
  <c r="CL28" i="8" s="1"/>
  <c r="CD27" i="8"/>
  <c r="CB27" i="8"/>
  <c r="CA27" i="8"/>
  <c r="CJ27" i="8" s="1"/>
  <c r="CJ26" i="8"/>
  <c r="CI26" i="8"/>
  <c r="CL26" i="8" s="1"/>
  <c r="CJ25" i="8"/>
  <c r="CD25" i="8"/>
  <c r="CI25" i="8" s="1"/>
  <c r="CL25" i="8" s="1"/>
  <c r="CJ24" i="8"/>
  <c r="CD24" i="8"/>
  <c r="CI24" i="8" s="1"/>
  <c r="CL24" i="8" s="1"/>
  <c r="CL23" i="8"/>
  <c r="CJ23" i="8"/>
  <c r="CI23" i="8"/>
  <c r="CJ22" i="8"/>
  <c r="CD22" i="8"/>
  <c r="CI22" i="8" s="1"/>
  <c r="CL22" i="8" s="1"/>
  <c r="CJ21" i="8"/>
  <c r="CD21" i="8"/>
  <c r="CI21" i="8" s="1"/>
  <c r="CL21" i="8" s="1"/>
  <c r="CL20" i="8"/>
  <c r="CJ20" i="8"/>
  <c r="CI20" i="8"/>
  <c r="CF19" i="8"/>
  <c r="CD19" i="8"/>
  <c r="CI19" i="8" s="1"/>
  <c r="CL19" i="8" s="1"/>
  <c r="CA19" i="8"/>
  <c r="CJ19" i="8" s="1"/>
  <c r="CJ18" i="8"/>
  <c r="CI18" i="8"/>
  <c r="CL18" i="8" s="1"/>
  <c r="CL17" i="8"/>
  <c r="CJ17" i="8"/>
  <c r="CI17" i="8"/>
  <c r="CJ16" i="8"/>
  <c r="CE16" i="8"/>
  <c r="CC16" i="8"/>
  <c r="CI16" i="8" s="1"/>
  <c r="CL16" i="8" s="1"/>
  <c r="CB16" i="8"/>
  <c r="CA16" i="8"/>
  <c r="CJ15" i="8"/>
  <c r="CB15" i="8"/>
  <c r="CI15" i="8" s="1"/>
  <c r="CL15" i="8" s="1"/>
  <c r="CA15" i="8"/>
  <c r="CI14" i="8"/>
  <c r="CD14" i="8"/>
  <c r="CA14" i="8"/>
  <c r="CJ14" i="8" s="1"/>
  <c r="CL13" i="8"/>
  <c r="CJ13" i="8"/>
  <c r="CA13" i="8"/>
  <c r="CI13" i="8" s="1"/>
  <c r="CJ12" i="8"/>
  <c r="CD12" i="8"/>
  <c r="CL11" i="8"/>
  <c r="CJ11" i="8"/>
  <c r="CI11" i="8"/>
  <c r="CB10" i="8"/>
  <c r="CA10" i="8"/>
  <c r="CJ10" i="8" s="1"/>
  <c r="CB9" i="8"/>
  <c r="CA9" i="8"/>
  <c r="CJ9" i="8" s="1"/>
  <c r="CH8" i="8"/>
  <c r="CE8" i="8"/>
  <c r="CI8" i="8" s="1"/>
  <c r="CL8" i="8" s="1"/>
  <c r="CB8" i="8"/>
  <c r="CA8" i="8"/>
  <c r="CJ8" i="8" s="1"/>
  <c r="CJ7" i="8"/>
  <c r="CE7" i="8"/>
  <c r="CB7" i="8"/>
  <c r="CB248" i="8" s="1"/>
  <c r="CA7" i="8"/>
  <c r="CI248" i="7" l="1"/>
  <c r="CL7" i="7"/>
  <c r="CI9" i="7"/>
  <c r="CL9" i="7" s="1"/>
  <c r="CJ12" i="7"/>
  <c r="CJ248" i="7" s="1"/>
  <c r="CI14" i="7"/>
  <c r="CL14" i="7" s="1"/>
  <c r="CJ17" i="7"/>
  <c r="CJ19" i="7"/>
  <c r="CJ21" i="7"/>
  <c r="CI23" i="7"/>
  <c r="CL23" i="7" s="1"/>
  <c r="CJ25" i="7"/>
  <c r="CI30" i="7"/>
  <c r="CL30" i="7" s="1"/>
  <c r="CJ32" i="7"/>
  <c r="CA248" i="7"/>
  <c r="CI8" i="7"/>
  <c r="CL8" i="7" s="1"/>
  <c r="CB248" i="7"/>
  <c r="CD248" i="8"/>
  <c r="CI12" i="8"/>
  <c r="CL12" i="8" s="1"/>
  <c r="CJ45" i="8"/>
  <c r="CI61" i="8"/>
  <c r="CL61" i="8" s="1"/>
  <c r="CI10" i="8"/>
  <c r="CL10" i="8" s="1"/>
  <c r="CI27" i="8"/>
  <c r="CL27" i="8" s="1"/>
  <c r="CI29" i="8"/>
  <c r="CL29" i="8" s="1"/>
  <c r="CG248" i="8"/>
  <c r="CJ51" i="8"/>
  <c r="CI62" i="8"/>
  <c r="CL62" i="8" s="1"/>
  <c r="CI132" i="8"/>
  <c r="CL132" i="8" s="1"/>
  <c r="CI179" i="8"/>
  <c r="CL179" i="8" s="1"/>
  <c r="CJ179" i="8"/>
  <c r="CE248" i="8"/>
  <c r="CI7" i="8"/>
  <c r="CI31" i="8"/>
  <c r="CL31" i="8" s="1"/>
  <c r="CI36" i="8"/>
  <c r="CL36" i="8" s="1"/>
  <c r="CI43" i="8"/>
  <c r="CL43" i="8" s="1"/>
  <c r="CI46" i="8"/>
  <c r="CL46" i="8" s="1"/>
  <c r="CJ48" i="8"/>
  <c r="CJ248" i="8" s="1"/>
  <c r="CI50" i="8"/>
  <c r="CL50" i="8" s="1"/>
  <c r="CI53" i="8"/>
  <c r="CL53" i="8" s="1"/>
  <c r="CI134" i="8"/>
  <c r="CL134" i="8" s="1"/>
  <c r="CA248" i="8"/>
  <c r="CH248" i="8"/>
  <c r="CI9" i="8"/>
  <c r="CL9" i="8" s="1"/>
  <c r="CC248" i="8"/>
  <c r="CF248" i="8"/>
  <c r="CI65" i="8"/>
  <c r="CL65" i="8" s="1"/>
  <c r="CJ70" i="8"/>
  <c r="CI128" i="8"/>
  <c r="CL128" i="8" s="1"/>
  <c r="CI150" i="8"/>
  <c r="CL150" i="8" s="1"/>
  <c r="CJ145" i="8"/>
  <c r="CI149" i="8"/>
  <c r="CL149" i="8" s="1"/>
  <c r="CI154" i="8"/>
  <c r="CL154" i="8" s="1"/>
  <c r="CJ161" i="8"/>
  <c r="CI166" i="8"/>
  <c r="CL166" i="8" s="1"/>
  <c r="CI67" i="8"/>
  <c r="CL67" i="8" s="1"/>
  <c r="CI96" i="8"/>
  <c r="CL96" i="8" s="1"/>
  <c r="CI123" i="8"/>
  <c r="CL123" i="8" s="1"/>
  <c r="CI171" i="8"/>
  <c r="CL171" i="8" s="1"/>
  <c r="CI125" i="8"/>
  <c r="CL125" i="8" s="1"/>
  <c r="CI155" i="8"/>
  <c r="CL155" i="8" s="1"/>
  <c r="CI159" i="8"/>
  <c r="CL159" i="8" s="1"/>
  <c r="CI162" i="8"/>
  <c r="CL162" i="8" s="1"/>
  <c r="CI168" i="8"/>
  <c r="CL168" i="8" s="1"/>
  <c r="CI178" i="8"/>
  <c r="CL178" i="8" s="1"/>
  <c r="CI181" i="8"/>
  <c r="CL181" i="8" s="1"/>
  <c r="CL248" i="7" l="1"/>
  <c r="CI248" i="8"/>
  <c r="CL7" i="8"/>
  <c r="CU289" i="8" l="1"/>
  <c r="G251" i="8" l="1"/>
  <c r="G250" i="8"/>
  <c r="Q259" i="6"/>
  <c r="J259" i="8"/>
  <c r="J283" i="8" s="1"/>
  <c r="H289" i="8"/>
  <c r="I289" i="8"/>
  <c r="CX289" i="8"/>
  <c r="CZ289" i="8"/>
  <c r="DA289" i="8"/>
  <c r="DB289" i="8"/>
  <c r="DC289" i="8"/>
  <c r="DD289" i="8"/>
  <c r="DE289" i="8"/>
  <c r="DF289" i="8"/>
  <c r="DG289" i="8"/>
  <c r="DH289" i="8"/>
  <c r="DI289" i="8"/>
  <c r="DJ289" i="8"/>
  <c r="DK289" i="8"/>
  <c r="DL289" i="8"/>
  <c r="DM289" i="8"/>
  <c r="DN289" i="8"/>
  <c r="DO289" i="8"/>
  <c r="DP289" i="8"/>
  <c r="DQ289" i="8"/>
  <c r="DR289" i="8"/>
  <c r="DS289" i="8"/>
  <c r="DT289" i="8"/>
  <c r="DU289" i="8"/>
  <c r="DV289" i="8"/>
  <c r="DW289" i="8"/>
  <c r="DX289" i="8"/>
  <c r="DY289" i="8"/>
  <c r="DZ289" i="8"/>
  <c r="EA289" i="8"/>
  <c r="EB289" i="8"/>
  <c r="EC289" i="8"/>
  <c r="G289" i="8"/>
  <c r="DC248" i="8"/>
  <c r="DD248" i="8"/>
  <c r="DE248" i="8"/>
  <c r="DF248" i="8"/>
  <c r="DG248" i="8"/>
  <c r="DH248" i="8"/>
  <c r="DI248" i="8"/>
  <c r="DJ248" i="8"/>
  <c r="DK248" i="8"/>
  <c r="DL248" i="8"/>
  <c r="DM248" i="8"/>
  <c r="DN248" i="8"/>
  <c r="DO248" i="8"/>
  <c r="DP248" i="8"/>
  <c r="DQ248" i="8"/>
  <c r="DR248" i="8"/>
  <c r="DS248" i="8"/>
  <c r="DT248" i="8"/>
  <c r="DU248" i="8"/>
  <c r="DV248" i="8"/>
  <c r="DW248" i="8"/>
  <c r="DX248" i="8"/>
  <c r="DY248" i="8"/>
  <c r="DZ248" i="8"/>
  <c r="EA248" i="8"/>
  <c r="EB248" i="8"/>
  <c r="EC248" i="8"/>
  <c r="DB248" i="8"/>
  <c r="CZ248" i="8"/>
  <c r="CY248" i="8"/>
  <c r="CY289" i="8" s="1"/>
  <c r="CW248" i="8"/>
  <c r="CV248" i="8"/>
  <c r="AC248" i="8"/>
  <c r="AD248" i="8"/>
  <c r="AE248" i="8"/>
  <c r="AF248" i="8"/>
  <c r="AG248" i="8"/>
  <c r="AH248" i="8"/>
  <c r="AI248" i="8"/>
  <c r="AJ248" i="8"/>
  <c r="AK248" i="8"/>
  <c r="AL248" i="8"/>
  <c r="AM248" i="8"/>
  <c r="AN248" i="8"/>
  <c r="AO248" i="8"/>
  <c r="AP248" i="8"/>
  <c r="AQ248" i="8"/>
  <c r="AR248" i="8"/>
  <c r="AS248" i="8"/>
  <c r="AT248" i="8"/>
  <c r="AU248" i="8"/>
  <c r="AV248" i="8"/>
  <c r="AW248" i="8"/>
  <c r="AX248" i="8"/>
  <c r="AY248" i="8"/>
  <c r="AZ248" i="8"/>
  <c r="BA248" i="8"/>
  <c r="BB248" i="8"/>
  <c r="BC248" i="8"/>
  <c r="BD248" i="8"/>
  <c r="BE248" i="8"/>
  <c r="BF248" i="8"/>
  <c r="BG248" i="8"/>
  <c r="BH248" i="8"/>
  <c r="BI248" i="8"/>
  <c r="BJ248" i="8"/>
  <c r="BK248" i="8"/>
  <c r="BL248" i="8"/>
  <c r="BM248" i="8"/>
  <c r="BN248" i="8"/>
  <c r="BO248" i="8"/>
  <c r="BP248" i="8"/>
  <c r="BQ248" i="8"/>
  <c r="BR248" i="8"/>
  <c r="BS248" i="8"/>
  <c r="BT248" i="8"/>
  <c r="BU248" i="8"/>
  <c r="BV248" i="8"/>
  <c r="BW248" i="8"/>
  <c r="BX248" i="8"/>
  <c r="BY248" i="8"/>
  <c r="BZ248" i="8"/>
  <c r="CM248" i="8"/>
  <c r="CN248" i="8"/>
  <c r="CO248" i="8"/>
  <c r="CP248" i="8"/>
  <c r="CQ248" i="8"/>
  <c r="CR248" i="8"/>
  <c r="CS248" i="8"/>
  <c r="CT248" i="8"/>
  <c r="AA248" i="8"/>
  <c r="AB248" i="8"/>
  <c r="X248" i="8"/>
  <c r="Y248" i="8"/>
  <c r="Z248" i="8"/>
  <c r="W248" i="8"/>
  <c r="T248" i="8"/>
  <c r="R248" i="8"/>
  <c r="S248" i="8"/>
  <c r="P248" i="8"/>
  <c r="Q248" i="8"/>
  <c r="N248" i="8"/>
  <c r="O248" i="8"/>
  <c r="M248" i="8"/>
  <c r="K248" i="8"/>
  <c r="L248" i="8"/>
  <c r="J248" i="8"/>
  <c r="G248" i="8"/>
  <c r="H274" i="8"/>
  <c r="I274" i="8"/>
  <c r="H275" i="8"/>
  <c r="I275" i="8"/>
  <c r="H276" i="8"/>
  <c r="I276" i="8"/>
  <c r="H277" i="8"/>
  <c r="I277" i="8"/>
  <c r="H278" i="8"/>
  <c r="I278" i="8"/>
  <c r="H279" i="8"/>
  <c r="I279" i="8"/>
  <c r="H280" i="8"/>
  <c r="I280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Z281" i="8"/>
  <c r="AA281" i="8"/>
  <c r="AB281" i="8"/>
  <c r="AC281" i="8"/>
  <c r="AD281" i="8"/>
  <c r="AE281" i="8"/>
  <c r="AF281" i="8"/>
  <c r="AG281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Z282" i="8"/>
  <c r="AA282" i="8"/>
  <c r="AB282" i="8"/>
  <c r="AC282" i="8"/>
  <c r="AD282" i="8"/>
  <c r="AE282" i="8"/>
  <c r="AF282" i="8"/>
  <c r="AG282" i="8"/>
  <c r="H283" i="8"/>
  <c r="I283" i="8"/>
  <c r="CX274" i="8"/>
  <c r="DA274" i="8"/>
  <c r="CX275" i="8"/>
  <c r="DA275" i="8"/>
  <c r="CX276" i="8"/>
  <c r="DA276" i="8"/>
  <c r="CX277" i="8"/>
  <c r="DA277" i="8"/>
  <c r="CX278" i="8"/>
  <c r="DA278" i="8"/>
  <c r="CX279" i="8"/>
  <c r="DA279" i="8"/>
  <c r="CX280" i="8"/>
  <c r="DA280" i="8"/>
  <c r="AI281" i="8"/>
  <c r="AJ281" i="8"/>
  <c r="AK281" i="8"/>
  <c r="AL281" i="8"/>
  <c r="AM281" i="8"/>
  <c r="AN281" i="8"/>
  <c r="AO281" i="8"/>
  <c r="AP281" i="8"/>
  <c r="AQ281" i="8"/>
  <c r="AR281" i="8"/>
  <c r="AS281" i="8"/>
  <c r="AT281" i="8"/>
  <c r="AU281" i="8"/>
  <c r="AV281" i="8"/>
  <c r="AW281" i="8"/>
  <c r="AX281" i="8"/>
  <c r="AY281" i="8"/>
  <c r="AZ281" i="8"/>
  <c r="BA281" i="8"/>
  <c r="BB281" i="8"/>
  <c r="BC281" i="8"/>
  <c r="BD281" i="8"/>
  <c r="BE281" i="8"/>
  <c r="BF281" i="8"/>
  <c r="BG281" i="8"/>
  <c r="BH281" i="8"/>
  <c r="BI281" i="8"/>
  <c r="BJ281" i="8"/>
  <c r="BK281" i="8"/>
  <c r="BL281" i="8"/>
  <c r="BM281" i="8"/>
  <c r="BN281" i="8"/>
  <c r="BO281" i="8"/>
  <c r="BP281" i="8"/>
  <c r="BQ281" i="8"/>
  <c r="BR281" i="8"/>
  <c r="BS281" i="8"/>
  <c r="BT281" i="8"/>
  <c r="BU281" i="8"/>
  <c r="BV281" i="8"/>
  <c r="BW281" i="8"/>
  <c r="BX281" i="8"/>
  <c r="BY281" i="8"/>
  <c r="BZ281" i="8"/>
  <c r="CM281" i="8"/>
  <c r="CN281" i="8"/>
  <c r="CO281" i="8"/>
  <c r="CP281" i="8"/>
  <c r="CQ281" i="8"/>
  <c r="CR281" i="8"/>
  <c r="CS281" i="8"/>
  <c r="CT281" i="8"/>
  <c r="CV281" i="8"/>
  <c r="CW281" i="8"/>
  <c r="CX281" i="8"/>
  <c r="CY281" i="8"/>
  <c r="CZ281" i="8"/>
  <c r="DA281" i="8"/>
  <c r="DB281" i="8"/>
  <c r="DC281" i="8"/>
  <c r="DD281" i="8"/>
  <c r="DE281" i="8"/>
  <c r="DF281" i="8"/>
  <c r="DG281" i="8"/>
  <c r="DH281" i="8"/>
  <c r="DI281" i="8"/>
  <c r="DJ281" i="8"/>
  <c r="DK281" i="8"/>
  <c r="DL281" i="8"/>
  <c r="DM281" i="8"/>
  <c r="DN281" i="8"/>
  <c r="DO281" i="8"/>
  <c r="DP281" i="8"/>
  <c r="DQ281" i="8"/>
  <c r="DR281" i="8"/>
  <c r="DS281" i="8"/>
  <c r="DT281" i="8"/>
  <c r="DU281" i="8"/>
  <c r="DV281" i="8"/>
  <c r="DW281" i="8"/>
  <c r="DX281" i="8"/>
  <c r="DY281" i="8"/>
  <c r="DZ281" i="8"/>
  <c r="EA281" i="8"/>
  <c r="EB281" i="8"/>
  <c r="EC281" i="8"/>
  <c r="AI282" i="8"/>
  <c r="AJ282" i="8"/>
  <c r="AK282" i="8"/>
  <c r="AL282" i="8"/>
  <c r="AM282" i="8"/>
  <c r="AN282" i="8"/>
  <c r="AO282" i="8"/>
  <c r="AP282" i="8"/>
  <c r="AQ282" i="8"/>
  <c r="AR282" i="8"/>
  <c r="AS282" i="8"/>
  <c r="AT282" i="8"/>
  <c r="AU282" i="8"/>
  <c r="AV282" i="8"/>
  <c r="AW282" i="8"/>
  <c r="AX282" i="8"/>
  <c r="AY282" i="8"/>
  <c r="AZ282" i="8"/>
  <c r="BA282" i="8"/>
  <c r="BB282" i="8"/>
  <c r="BC282" i="8"/>
  <c r="BD282" i="8"/>
  <c r="BE282" i="8"/>
  <c r="BF282" i="8"/>
  <c r="BG282" i="8"/>
  <c r="BH282" i="8"/>
  <c r="BI282" i="8"/>
  <c r="BJ282" i="8"/>
  <c r="BK282" i="8"/>
  <c r="BL282" i="8"/>
  <c r="BM282" i="8"/>
  <c r="BN282" i="8"/>
  <c r="BO282" i="8"/>
  <c r="BP282" i="8"/>
  <c r="BQ282" i="8"/>
  <c r="BR282" i="8"/>
  <c r="BS282" i="8"/>
  <c r="BT282" i="8"/>
  <c r="BU282" i="8"/>
  <c r="BV282" i="8"/>
  <c r="BW282" i="8"/>
  <c r="BX282" i="8"/>
  <c r="BY282" i="8"/>
  <c r="BZ282" i="8"/>
  <c r="CM282" i="8"/>
  <c r="CN282" i="8"/>
  <c r="CO282" i="8"/>
  <c r="CP282" i="8"/>
  <c r="CQ282" i="8"/>
  <c r="CR282" i="8"/>
  <c r="CS282" i="8"/>
  <c r="CT282" i="8"/>
  <c r="CV282" i="8"/>
  <c r="CW282" i="8"/>
  <c r="CX282" i="8"/>
  <c r="CY282" i="8"/>
  <c r="CZ282" i="8"/>
  <c r="DA282" i="8"/>
  <c r="DB282" i="8"/>
  <c r="DC282" i="8"/>
  <c r="DD282" i="8"/>
  <c r="DE282" i="8"/>
  <c r="DF282" i="8"/>
  <c r="DG282" i="8"/>
  <c r="DH282" i="8"/>
  <c r="DI282" i="8"/>
  <c r="DJ282" i="8"/>
  <c r="DK282" i="8"/>
  <c r="DL282" i="8"/>
  <c r="DM282" i="8"/>
  <c r="DN282" i="8"/>
  <c r="DO282" i="8"/>
  <c r="DP282" i="8"/>
  <c r="DQ282" i="8"/>
  <c r="DR282" i="8"/>
  <c r="DS282" i="8"/>
  <c r="DT282" i="8"/>
  <c r="DU282" i="8"/>
  <c r="DV282" i="8"/>
  <c r="DW282" i="8"/>
  <c r="DX282" i="8"/>
  <c r="DY282" i="8"/>
  <c r="DZ282" i="8"/>
  <c r="EA282" i="8"/>
  <c r="EB282" i="8"/>
  <c r="EC282" i="8"/>
  <c r="CX283" i="8"/>
  <c r="DA283" i="8"/>
  <c r="AH281" i="8"/>
  <c r="AH282" i="8"/>
  <c r="EB259" i="8"/>
  <c r="EB283" i="8" s="1"/>
  <c r="EA259" i="8"/>
  <c r="EA283" i="8" s="1"/>
  <c r="DZ259" i="8"/>
  <c r="DZ283" i="8" s="1"/>
  <c r="DY259" i="8"/>
  <c r="DY283" i="8" s="1"/>
  <c r="DX259" i="8"/>
  <c r="DX283" i="8" s="1"/>
  <c r="DW259" i="8"/>
  <c r="DW283" i="8" s="1"/>
  <c r="DV259" i="8"/>
  <c r="DV283" i="8" s="1"/>
  <c r="DU259" i="8"/>
  <c r="DU283" i="8" s="1"/>
  <c r="DT259" i="8"/>
  <c r="DT283" i="8" s="1"/>
  <c r="DS259" i="8"/>
  <c r="DS283" i="8" s="1"/>
  <c r="DR259" i="8"/>
  <c r="DR283" i="8" s="1"/>
  <c r="DQ259" i="8"/>
  <c r="DQ283" i="8" s="1"/>
  <c r="DP259" i="8"/>
  <c r="DP283" i="8" s="1"/>
  <c r="DO259" i="8"/>
  <c r="DO283" i="8" s="1"/>
  <c r="DN259" i="8"/>
  <c r="DN283" i="8" s="1"/>
  <c r="DM259" i="8"/>
  <c r="DM283" i="8" s="1"/>
  <c r="DK259" i="8"/>
  <c r="DK283" i="8" s="1"/>
  <c r="DJ259" i="8"/>
  <c r="DJ283" i="8" s="1"/>
  <c r="DI259" i="8"/>
  <c r="DI283" i="8" s="1"/>
  <c r="DH259" i="8"/>
  <c r="DH283" i="8" s="1"/>
  <c r="DG259" i="8"/>
  <c r="DG283" i="8" s="1"/>
  <c r="DF259" i="8"/>
  <c r="DF283" i="8" s="1"/>
  <c r="DE259" i="8"/>
  <c r="DE283" i="8" s="1"/>
  <c r="DD259" i="8"/>
  <c r="DD283" i="8" s="1"/>
  <c r="DC259" i="8"/>
  <c r="DC283" i="8" s="1"/>
  <c r="DB259" i="8"/>
  <c r="DB283" i="8" s="1"/>
  <c r="CU259" i="8"/>
  <c r="CM259" i="8"/>
  <c r="CM283" i="8" s="1"/>
  <c r="BZ259" i="8"/>
  <c r="BZ283" i="8" s="1"/>
  <c r="BY259" i="8"/>
  <c r="BY283" i="8" s="1"/>
  <c r="BW259" i="8"/>
  <c r="BW283" i="8" s="1"/>
  <c r="BV259" i="8"/>
  <c r="BV283" i="8" s="1"/>
  <c r="BT259" i="8"/>
  <c r="BT283" i="8" s="1"/>
  <c r="BS259" i="8"/>
  <c r="BS283" i="8" s="1"/>
  <c r="BI259" i="8"/>
  <c r="BI283" i="8" s="1"/>
  <c r="BH259" i="8"/>
  <c r="BH283" i="8" s="1"/>
  <c r="BG259" i="8"/>
  <c r="BG283" i="8" s="1"/>
  <c r="BF259" i="8"/>
  <c r="BF283" i="8" s="1"/>
  <c r="BE259" i="8"/>
  <c r="BE283" i="8" s="1"/>
  <c r="BD259" i="8"/>
  <c r="BD283" i="8" s="1"/>
  <c r="BC259" i="8"/>
  <c r="BC283" i="8" s="1"/>
  <c r="BB259" i="8"/>
  <c r="BB283" i="8" s="1"/>
  <c r="BA259" i="8"/>
  <c r="BA283" i="8" s="1"/>
  <c r="AZ259" i="8"/>
  <c r="AZ283" i="8" s="1"/>
  <c r="AY259" i="8"/>
  <c r="AY283" i="8" s="1"/>
  <c r="AX259" i="8"/>
  <c r="AX283" i="8" s="1"/>
  <c r="AW259" i="8"/>
  <c r="AW283" i="8" s="1"/>
  <c r="AV259" i="8"/>
  <c r="AV283" i="8" s="1"/>
  <c r="AT259" i="8"/>
  <c r="AT283" i="8" s="1"/>
  <c r="AS259" i="8"/>
  <c r="AS283" i="8" s="1"/>
  <c r="AQ259" i="8"/>
  <c r="AQ283" i="8" s="1"/>
  <c r="AP259" i="8"/>
  <c r="AP283" i="8" s="1"/>
  <c r="AO259" i="8"/>
  <c r="AO283" i="8" s="1"/>
  <c r="AN259" i="8"/>
  <c r="AN283" i="8" s="1"/>
  <c r="AM259" i="8"/>
  <c r="AM283" i="8" s="1"/>
  <c r="AL259" i="8"/>
  <c r="AL283" i="8" s="1"/>
  <c r="AK259" i="8"/>
  <c r="AK283" i="8" s="1"/>
  <c r="AJ259" i="8"/>
  <c r="AJ283" i="8" s="1"/>
  <c r="AH259" i="8"/>
  <c r="AH283" i="8" s="1"/>
  <c r="AG259" i="8"/>
  <c r="AG283" i="8" s="1"/>
  <c r="AF259" i="8"/>
  <c r="AF283" i="8" s="1"/>
  <c r="AE259" i="8"/>
  <c r="AE283" i="8" s="1"/>
  <c r="AB259" i="8"/>
  <c r="AB283" i="8" s="1"/>
  <c r="AA259" i="8"/>
  <c r="AA283" i="8" s="1"/>
  <c r="Z259" i="8"/>
  <c r="Z283" i="8" s="1"/>
  <c r="Y259" i="8"/>
  <c r="Y283" i="8" s="1"/>
  <c r="X259" i="8"/>
  <c r="X283" i="8" s="1"/>
  <c r="W259" i="8"/>
  <c r="W283" i="8" s="1"/>
  <c r="Q259" i="8"/>
  <c r="Q283" i="8" s="1"/>
  <c r="P259" i="8"/>
  <c r="P283" i="8" s="1"/>
  <c r="O259" i="8"/>
  <c r="O283" i="8" s="1"/>
  <c r="N259" i="8"/>
  <c r="N283" i="8" s="1"/>
  <c r="M259" i="8"/>
  <c r="M283" i="8" s="1"/>
  <c r="L259" i="8"/>
  <c r="L283" i="8" s="1"/>
  <c r="K259" i="8"/>
  <c r="K283" i="8" s="1"/>
  <c r="G259" i="8"/>
  <c r="G283" i="8" s="1"/>
  <c r="EB256" i="8"/>
  <c r="EB280" i="8" s="1"/>
  <c r="EA256" i="8"/>
  <c r="EA280" i="8" s="1"/>
  <c r="DZ256" i="8"/>
  <c r="DZ280" i="8" s="1"/>
  <c r="DY256" i="8"/>
  <c r="DY280" i="8" s="1"/>
  <c r="DX256" i="8"/>
  <c r="DX280" i="8" s="1"/>
  <c r="DW256" i="8"/>
  <c r="DW280" i="8" s="1"/>
  <c r="DV256" i="8"/>
  <c r="DV280" i="8" s="1"/>
  <c r="DU256" i="8"/>
  <c r="DU280" i="8" s="1"/>
  <c r="DT256" i="8"/>
  <c r="DT280" i="8" s="1"/>
  <c r="DS256" i="8"/>
  <c r="DS280" i="8" s="1"/>
  <c r="DR256" i="8"/>
  <c r="DR280" i="8" s="1"/>
  <c r="DQ256" i="8"/>
  <c r="DQ280" i="8" s="1"/>
  <c r="DP256" i="8"/>
  <c r="DP280" i="8" s="1"/>
  <c r="DO256" i="8"/>
  <c r="DO280" i="8" s="1"/>
  <c r="DN256" i="8"/>
  <c r="DN280" i="8" s="1"/>
  <c r="DM256" i="8"/>
  <c r="DM280" i="8" s="1"/>
  <c r="DK256" i="8"/>
  <c r="DK280" i="8" s="1"/>
  <c r="DJ256" i="8"/>
  <c r="DJ280" i="8" s="1"/>
  <c r="DI256" i="8"/>
  <c r="DI280" i="8" s="1"/>
  <c r="DH256" i="8"/>
  <c r="DH280" i="8" s="1"/>
  <c r="DG256" i="8"/>
  <c r="DG280" i="8" s="1"/>
  <c r="DF256" i="8"/>
  <c r="DF280" i="8" s="1"/>
  <c r="DE256" i="8"/>
  <c r="DE280" i="8" s="1"/>
  <c r="DD256" i="8"/>
  <c r="DD280" i="8" s="1"/>
  <c r="DC256" i="8"/>
  <c r="DC280" i="8" s="1"/>
  <c r="DB256" i="8"/>
  <c r="DB280" i="8" s="1"/>
  <c r="CU256" i="8"/>
  <c r="BZ256" i="8"/>
  <c r="BZ280" i="8" s="1"/>
  <c r="BY256" i="8"/>
  <c r="BY280" i="8" s="1"/>
  <c r="BW256" i="8"/>
  <c r="BW280" i="8" s="1"/>
  <c r="BV256" i="8"/>
  <c r="BV280" i="8" s="1"/>
  <c r="BS256" i="8"/>
  <c r="BS280" i="8" s="1"/>
  <c r="BI256" i="8"/>
  <c r="BI280" i="8" s="1"/>
  <c r="BF256" i="8"/>
  <c r="BF280" i="8" s="1"/>
  <c r="BC256" i="8"/>
  <c r="BC280" i="8" s="1"/>
  <c r="BB256" i="8"/>
  <c r="BB280" i="8" s="1"/>
  <c r="BA256" i="8"/>
  <c r="BA280" i="8" s="1"/>
  <c r="AZ256" i="8"/>
  <c r="AZ280" i="8" s="1"/>
  <c r="AX256" i="8"/>
  <c r="AX280" i="8" s="1"/>
  <c r="AV256" i="8"/>
  <c r="AV280" i="8" s="1"/>
  <c r="AT256" i="8"/>
  <c r="AT280" i="8" s="1"/>
  <c r="AR256" i="8"/>
  <c r="AR280" i="8" s="1"/>
  <c r="AQ256" i="8"/>
  <c r="AQ280" i="8" s="1"/>
  <c r="AP256" i="8"/>
  <c r="AP280" i="8" s="1"/>
  <c r="AO256" i="8"/>
  <c r="AO280" i="8" s="1"/>
  <c r="AN256" i="8"/>
  <c r="AN280" i="8" s="1"/>
  <c r="AM256" i="8"/>
  <c r="AM280" i="8" s="1"/>
  <c r="AL256" i="8"/>
  <c r="AL280" i="8" s="1"/>
  <c r="AK256" i="8"/>
  <c r="AK280" i="8" s="1"/>
  <c r="AJ256" i="8"/>
  <c r="AJ280" i="8" s="1"/>
  <c r="AE256" i="8"/>
  <c r="AE280" i="8" s="1"/>
  <c r="AB256" i="8"/>
  <c r="AB280" i="8" s="1"/>
  <c r="AA256" i="8"/>
  <c r="AA280" i="8" s="1"/>
  <c r="Z256" i="8"/>
  <c r="Z280" i="8" s="1"/>
  <c r="Y256" i="8"/>
  <c r="Y280" i="8" s="1"/>
  <c r="X256" i="8"/>
  <c r="X280" i="8" s="1"/>
  <c r="W256" i="8"/>
  <c r="W280" i="8" s="1"/>
  <c r="Q256" i="8"/>
  <c r="Q280" i="8" s="1"/>
  <c r="P256" i="8"/>
  <c r="P280" i="8" s="1"/>
  <c r="M256" i="8"/>
  <c r="M280" i="8" s="1"/>
  <c r="K256" i="8"/>
  <c r="K280" i="8" s="1"/>
  <c r="J256" i="8"/>
  <c r="J280" i="8" s="1"/>
  <c r="G256" i="8"/>
  <c r="G280" i="8" s="1"/>
  <c r="EC255" i="8"/>
  <c r="EC279" i="8" s="1"/>
  <c r="EB255" i="8"/>
  <c r="EB279" i="8" s="1"/>
  <c r="EA255" i="8"/>
  <c r="EA279" i="8" s="1"/>
  <c r="DZ255" i="8"/>
  <c r="DZ279" i="8" s="1"/>
  <c r="DY255" i="8"/>
  <c r="DY279" i="8" s="1"/>
  <c r="DX255" i="8"/>
  <c r="DX279" i="8" s="1"/>
  <c r="DW255" i="8"/>
  <c r="DW279" i="8" s="1"/>
  <c r="DV255" i="8"/>
  <c r="DV279" i="8" s="1"/>
  <c r="DU255" i="8"/>
  <c r="DU279" i="8" s="1"/>
  <c r="DT255" i="8"/>
  <c r="DT279" i="8" s="1"/>
  <c r="DS255" i="8"/>
  <c r="DS279" i="8" s="1"/>
  <c r="DR255" i="8"/>
  <c r="DR279" i="8" s="1"/>
  <c r="DQ255" i="8"/>
  <c r="DQ279" i="8" s="1"/>
  <c r="DP255" i="8"/>
  <c r="DP279" i="8" s="1"/>
  <c r="DO255" i="8"/>
  <c r="DO279" i="8" s="1"/>
  <c r="DN255" i="8"/>
  <c r="DN279" i="8" s="1"/>
  <c r="DM255" i="8"/>
  <c r="DM279" i="8" s="1"/>
  <c r="DK255" i="8"/>
  <c r="DK279" i="8" s="1"/>
  <c r="DJ255" i="8"/>
  <c r="DJ279" i="8" s="1"/>
  <c r="DI255" i="8"/>
  <c r="DI279" i="8" s="1"/>
  <c r="DH255" i="8"/>
  <c r="DH279" i="8" s="1"/>
  <c r="DG255" i="8"/>
  <c r="DG279" i="8" s="1"/>
  <c r="DF255" i="8"/>
  <c r="DF279" i="8" s="1"/>
  <c r="DE255" i="8"/>
  <c r="DE279" i="8" s="1"/>
  <c r="DD255" i="8"/>
  <c r="DD279" i="8" s="1"/>
  <c r="DC255" i="8"/>
  <c r="DC279" i="8" s="1"/>
  <c r="DB255" i="8"/>
  <c r="DB279" i="8" s="1"/>
  <c r="CU255" i="8"/>
  <c r="CM255" i="8"/>
  <c r="CM279" i="8" s="1"/>
  <c r="BZ255" i="8"/>
  <c r="BZ279" i="8" s="1"/>
  <c r="BY255" i="8"/>
  <c r="BY279" i="8" s="1"/>
  <c r="BW255" i="8"/>
  <c r="BW279" i="8" s="1"/>
  <c r="BV255" i="8"/>
  <c r="BV279" i="8" s="1"/>
  <c r="BT255" i="8"/>
  <c r="BT279" i="8" s="1"/>
  <c r="BS255" i="8"/>
  <c r="BS279" i="8" s="1"/>
  <c r="BI255" i="8"/>
  <c r="BI279" i="8" s="1"/>
  <c r="BH255" i="8"/>
  <c r="BH279" i="8" s="1"/>
  <c r="BG255" i="8"/>
  <c r="BG279" i="8" s="1"/>
  <c r="BF255" i="8"/>
  <c r="BF279" i="8" s="1"/>
  <c r="BE255" i="8"/>
  <c r="BE279" i="8" s="1"/>
  <c r="BD255" i="8"/>
  <c r="BD279" i="8" s="1"/>
  <c r="BC255" i="8"/>
  <c r="BC279" i="8" s="1"/>
  <c r="BB255" i="8"/>
  <c r="BB279" i="8" s="1"/>
  <c r="BA255" i="8"/>
  <c r="BA279" i="8" s="1"/>
  <c r="AZ255" i="8"/>
  <c r="AZ279" i="8" s="1"/>
  <c r="AY255" i="8"/>
  <c r="AY279" i="8" s="1"/>
  <c r="AX255" i="8"/>
  <c r="AX279" i="8" s="1"/>
  <c r="AW255" i="8"/>
  <c r="AW279" i="8" s="1"/>
  <c r="AV255" i="8"/>
  <c r="AV279" i="8" s="1"/>
  <c r="AT255" i="8"/>
  <c r="AT279" i="8" s="1"/>
  <c r="AS255" i="8"/>
  <c r="AS279" i="8" s="1"/>
  <c r="AR255" i="8"/>
  <c r="AR279" i="8" s="1"/>
  <c r="AQ255" i="8"/>
  <c r="AQ279" i="8" s="1"/>
  <c r="AP255" i="8"/>
  <c r="AP279" i="8" s="1"/>
  <c r="AO255" i="8"/>
  <c r="AO279" i="8" s="1"/>
  <c r="AN255" i="8"/>
  <c r="AN279" i="8" s="1"/>
  <c r="AM255" i="8"/>
  <c r="AM279" i="8" s="1"/>
  <c r="AL255" i="8"/>
  <c r="AL279" i="8" s="1"/>
  <c r="AK255" i="8"/>
  <c r="AK279" i="8" s="1"/>
  <c r="AJ255" i="8"/>
  <c r="AJ279" i="8" s="1"/>
  <c r="AH255" i="8"/>
  <c r="AH279" i="8" s="1"/>
  <c r="AG255" i="8"/>
  <c r="AG279" i="8" s="1"/>
  <c r="AE255" i="8"/>
  <c r="AE279" i="8" s="1"/>
  <c r="AB255" i="8"/>
  <c r="AB279" i="8" s="1"/>
  <c r="AA255" i="8"/>
  <c r="AA279" i="8" s="1"/>
  <c r="Z255" i="8"/>
  <c r="Z279" i="8" s="1"/>
  <c r="Y255" i="8"/>
  <c r="Y279" i="8" s="1"/>
  <c r="X255" i="8"/>
  <c r="X279" i="8" s="1"/>
  <c r="W255" i="8"/>
  <c r="W279" i="8" s="1"/>
  <c r="S255" i="8"/>
  <c r="S279" i="8" s="1"/>
  <c r="Q255" i="8"/>
  <c r="Q279" i="8" s="1"/>
  <c r="P255" i="8"/>
  <c r="P279" i="8" s="1"/>
  <c r="O255" i="8"/>
  <c r="O279" i="8" s="1"/>
  <c r="N255" i="8"/>
  <c r="N279" i="8" s="1"/>
  <c r="M255" i="8"/>
  <c r="M279" i="8" s="1"/>
  <c r="L255" i="8"/>
  <c r="L279" i="8" s="1"/>
  <c r="K255" i="8"/>
  <c r="K279" i="8" s="1"/>
  <c r="J255" i="8"/>
  <c r="J279" i="8" s="1"/>
  <c r="G255" i="8"/>
  <c r="G279" i="8" s="1"/>
  <c r="EB254" i="8"/>
  <c r="EB278" i="8" s="1"/>
  <c r="EA254" i="8"/>
  <c r="EA278" i="8" s="1"/>
  <c r="DZ254" i="8"/>
  <c r="DZ278" i="8" s="1"/>
  <c r="DY254" i="8"/>
  <c r="DY278" i="8" s="1"/>
  <c r="DX254" i="8"/>
  <c r="DX278" i="8" s="1"/>
  <c r="DW254" i="8"/>
  <c r="DW278" i="8" s="1"/>
  <c r="DV254" i="8"/>
  <c r="DV278" i="8" s="1"/>
  <c r="DU254" i="8"/>
  <c r="DU278" i="8" s="1"/>
  <c r="DT254" i="8"/>
  <c r="DT278" i="8" s="1"/>
  <c r="DS254" i="8"/>
  <c r="DS278" i="8" s="1"/>
  <c r="DR254" i="8"/>
  <c r="DR278" i="8" s="1"/>
  <c r="DQ254" i="8"/>
  <c r="DQ278" i="8" s="1"/>
  <c r="DP254" i="8"/>
  <c r="DP278" i="8" s="1"/>
  <c r="DO254" i="8"/>
  <c r="DO278" i="8" s="1"/>
  <c r="DN254" i="8"/>
  <c r="DN278" i="8" s="1"/>
  <c r="DM254" i="8"/>
  <c r="DM278" i="8" s="1"/>
  <c r="DK254" i="8"/>
  <c r="DK278" i="8" s="1"/>
  <c r="DJ254" i="8"/>
  <c r="DJ278" i="8" s="1"/>
  <c r="DI254" i="8"/>
  <c r="DI278" i="8" s="1"/>
  <c r="DH254" i="8"/>
  <c r="DH278" i="8" s="1"/>
  <c r="DG254" i="8"/>
  <c r="DG278" i="8" s="1"/>
  <c r="DF254" i="8"/>
  <c r="DF278" i="8" s="1"/>
  <c r="DE254" i="8"/>
  <c r="DE278" i="8" s="1"/>
  <c r="DD254" i="8"/>
  <c r="DD278" i="8" s="1"/>
  <c r="DC254" i="8"/>
  <c r="DC278" i="8" s="1"/>
  <c r="DB254" i="8"/>
  <c r="DB278" i="8" s="1"/>
  <c r="CU254" i="8"/>
  <c r="BZ254" i="8"/>
  <c r="BZ278" i="8" s="1"/>
  <c r="BY254" i="8"/>
  <c r="BY278" i="8" s="1"/>
  <c r="BX254" i="8"/>
  <c r="BX278" i="8" s="1"/>
  <c r="BV254" i="8"/>
  <c r="BV278" i="8" s="1"/>
  <c r="BU254" i="8"/>
  <c r="BU278" i="8" s="1"/>
  <c r="BS254" i="8"/>
  <c r="BS278" i="8" s="1"/>
  <c r="AQ254" i="8"/>
  <c r="AQ278" i="8" s="1"/>
  <c r="AN254" i="8"/>
  <c r="AN278" i="8" s="1"/>
  <c r="AJ254" i="8"/>
  <c r="AJ278" i="8" s="1"/>
  <c r="AH254" i="8"/>
  <c r="AH278" i="8" s="1"/>
  <c r="AE254" i="8"/>
  <c r="AB254" i="8"/>
  <c r="AB278" i="8" s="1"/>
  <c r="AA254" i="8"/>
  <c r="AA278" i="8" s="1"/>
  <c r="Z254" i="8"/>
  <c r="Z278" i="8" s="1"/>
  <c r="Y254" i="8"/>
  <c r="Y278" i="8" s="1"/>
  <c r="X254" i="8"/>
  <c r="X278" i="8" s="1"/>
  <c r="W254" i="8"/>
  <c r="W278" i="8" s="1"/>
  <c r="S254" i="8"/>
  <c r="S278" i="8" s="1"/>
  <c r="Q254" i="8"/>
  <c r="Q278" i="8" s="1"/>
  <c r="P254" i="8"/>
  <c r="P278" i="8" s="1"/>
  <c r="L254" i="8"/>
  <c r="L278" i="8" s="1"/>
  <c r="G254" i="8"/>
  <c r="G278" i="8" s="1"/>
  <c r="EB253" i="8"/>
  <c r="EB277" i="8" s="1"/>
  <c r="EA253" i="8"/>
  <c r="EA277" i="8" s="1"/>
  <c r="DZ253" i="8"/>
  <c r="DZ277" i="8" s="1"/>
  <c r="DY253" i="8"/>
  <c r="DY277" i="8" s="1"/>
  <c r="DX253" i="8"/>
  <c r="DX277" i="8" s="1"/>
  <c r="DW253" i="8"/>
  <c r="DW277" i="8" s="1"/>
  <c r="DV253" i="8"/>
  <c r="DV277" i="8" s="1"/>
  <c r="DU253" i="8"/>
  <c r="DU277" i="8" s="1"/>
  <c r="DT253" i="8"/>
  <c r="DT277" i="8" s="1"/>
  <c r="DS253" i="8"/>
  <c r="DS277" i="8" s="1"/>
  <c r="DR253" i="8"/>
  <c r="DR277" i="8" s="1"/>
  <c r="DQ253" i="8"/>
  <c r="DQ277" i="8" s="1"/>
  <c r="DP253" i="8"/>
  <c r="DP277" i="8" s="1"/>
  <c r="DO253" i="8"/>
  <c r="DO277" i="8" s="1"/>
  <c r="DN253" i="8"/>
  <c r="DN277" i="8" s="1"/>
  <c r="DM253" i="8"/>
  <c r="DM277" i="8" s="1"/>
  <c r="DK253" i="8"/>
  <c r="DK277" i="8" s="1"/>
  <c r="DJ253" i="8"/>
  <c r="DJ277" i="8" s="1"/>
  <c r="DI253" i="8"/>
  <c r="DI277" i="8" s="1"/>
  <c r="DH253" i="8"/>
  <c r="DH277" i="8" s="1"/>
  <c r="DG253" i="8"/>
  <c r="DG277" i="8" s="1"/>
  <c r="DF253" i="8"/>
  <c r="DF277" i="8" s="1"/>
  <c r="DE253" i="8"/>
  <c r="DE277" i="8" s="1"/>
  <c r="DD253" i="8"/>
  <c r="DD277" i="8" s="1"/>
  <c r="DC253" i="8"/>
  <c r="DC277" i="8" s="1"/>
  <c r="DB253" i="8"/>
  <c r="DB277" i="8" s="1"/>
  <c r="CU253" i="8"/>
  <c r="BZ253" i="8"/>
  <c r="BZ277" i="8" s="1"/>
  <c r="BY253" i="8"/>
  <c r="BY277" i="8" s="1"/>
  <c r="BX253" i="8"/>
  <c r="BX277" i="8" s="1"/>
  <c r="BW253" i="8"/>
  <c r="BW277" i="8" s="1"/>
  <c r="BS253" i="8"/>
  <c r="BS277" i="8" s="1"/>
  <c r="BF253" i="8"/>
  <c r="BF277" i="8" s="1"/>
  <c r="AQ253" i="8"/>
  <c r="AQ277" i="8" s="1"/>
  <c r="AN253" i="8"/>
  <c r="AN277" i="8" s="1"/>
  <c r="AJ253" i="8"/>
  <c r="AJ277" i="8" s="1"/>
  <c r="AH253" i="8"/>
  <c r="AH277" i="8" s="1"/>
  <c r="AE253" i="8"/>
  <c r="AE277" i="8" s="1"/>
  <c r="AB253" i="8"/>
  <c r="AB277" i="8" s="1"/>
  <c r="AA253" i="8"/>
  <c r="AA277" i="8" s="1"/>
  <c r="Z253" i="8"/>
  <c r="Z277" i="8" s="1"/>
  <c r="Y253" i="8"/>
  <c r="Y277" i="8" s="1"/>
  <c r="X253" i="8"/>
  <c r="X277" i="8" s="1"/>
  <c r="W253" i="8"/>
  <c r="W277" i="8" s="1"/>
  <c r="Q253" i="8"/>
  <c r="Q277" i="8" s="1"/>
  <c r="P253" i="8"/>
  <c r="P277" i="8" s="1"/>
  <c r="O253" i="8"/>
  <c r="O277" i="8" s="1"/>
  <c r="L253" i="8"/>
  <c r="L277" i="8" s="1"/>
  <c r="G253" i="8"/>
  <c r="G277" i="8" s="1"/>
  <c r="EB252" i="8"/>
  <c r="EB276" i="8" s="1"/>
  <c r="EA252" i="8"/>
  <c r="DZ252" i="8"/>
  <c r="DZ276" i="8" s="1"/>
  <c r="DY252" i="8"/>
  <c r="DY276" i="8" s="1"/>
  <c r="DX252" i="8"/>
  <c r="DX276" i="8" s="1"/>
  <c r="DW252" i="8"/>
  <c r="DV252" i="8"/>
  <c r="DV276" i="8" s="1"/>
  <c r="DU252" i="8"/>
  <c r="DU276" i="8" s="1"/>
  <c r="DT252" i="8"/>
  <c r="DS252" i="8"/>
  <c r="DR252" i="8"/>
  <c r="DR276" i="8" s="1"/>
  <c r="DQ252" i="8"/>
  <c r="DQ276" i="8" s="1"/>
  <c r="DP252" i="8"/>
  <c r="DP276" i="8" s="1"/>
  <c r="DO252" i="8"/>
  <c r="DN252" i="8"/>
  <c r="DN276" i="8" s="1"/>
  <c r="DM252" i="8"/>
  <c r="DM276" i="8" s="1"/>
  <c r="DK252" i="8"/>
  <c r="DK276" i="8" s="1"/>
  <c r="DJ252" i="8"/>
  <c r="DJ276" i="8" s="1"/>
  <c r="DI252" i="8"/>
  <c r="DI276" i="8" s="1"/>
  <c r="DH252" i="8"/>
  <c r="DH276" i="8" s="1"/>
  <c r="DG252" i="8"/>
  <c r="DG276" i="8" s="1"/>
  <c r="DF252" i="8"/>
  <c r="DF276" i="8" s="1"/>
  <c r="DE252" i="8"/>
  <c r="DE276" i="8" s="1"/>
  <c r="DD252" i="8"/>
  <c r="DD276" i="8" s="1"/>
  <c r="DC252" i="8"/>
  <c r="DC276" i="8" s="1"/>
  <c r="DB252" i="8"/>
  <c r="DB276" i="8" s="1"/>
  <c r="CU252" i="8"/>
  <c r="BZ252" i="8"/>
  <c r="BZ276" i="8" s="1"/>
  <c r="BY252" i="8"/>
  <c r="BW252" i="8"/>
  <c r="BW276" i="8" s="1"/>
  <c r="BV252" i="8"/>
  <c r="BV276" i="8" s="1"/>
  <c r="BS252" i="8"/>
  <c r="BS276" i="8" s="1"/>
  <c r="BI252" i="8"/>
  <c r="BI276" i="8" s="1"/>
  <c r="BH252" i="8"/>
  <c r="BH276" i="8" s="1"/>
  <c r="BG252" i="8"/>
  <c r="BG276" i="8" s="1"/>
  <c r="BC252" i="8"/>
  <c r="BC276" i="8" s="1"/>
  <c r="BB252" i="8"/>
  <c r="BB276" i="8" s="1"/>
  <c r="AX252" i="8"/>
  <c r="AX276" i="8" s="1"/>
  <c r="AW252" i="8"/>
  <c r="AW276" i="8" s="1"/>
  <c r="AQ252" i="8"/>
  <c r="AQ276" i="8" s="1"/>
  <c r="AP252" i="8"/>
  <c r="AP276" i="8" s="1"/>
  <c r="AN252" i="8"/>
  <c r="AJ252" i="8"/>
  <c r="AJ276" i="8" s="1"/>
  <c r="AH252" i="8"/>
  <c r="AH276" i="8" s="1"/>
  <c r="AE252" i="8"/>
  <c r="AE276" i="8" s="1"/>
  <c r="AB252" i="8"/>
  <c r="AB276" i="8" s="1"/>
  <c r="AA252" i="8"/>
  <c r="AA276" i="8" s="1"/>
  <c r="Z252" i="8"/>
  <c r="Z276" i="8" s="1"/>
  <c r="Y252" i="8"/>
  <c r="Y276" i="8" s="1"/>
  <c r="X252" i="8"/>
  <c r="X276" i="8" s="1"/>
  <c r="W252" i="8"/>
  <c r="W276" i="8" s="1"/>
  <c r="S252" i="8"/>
  <c r="S276" i="8" s="1"/>
  <c r="Q252" i="8"/>
  <c r="Q276" i="8" s="1"/>
  <c r="P252" i="8"/>
  <c r="P276" i="8" s="1"/>
  <c r="O252" i="8"/>
  <c r="O276" i="8" s="1"/>
  <c r="M252" i="8"/>
  <c r="M276" i="8" s="1"/>
  <c r="L252" i="8"/>
  <c r="L276" i="8" s="1"/>
  <c r="G252" i="8"/>
  <c r="G276" i="8" s="1"/>
  <c r="EA251" i="8"/>
  <c r="EA275" i="8" s="1"/>
  <c r="DZ251" i="8"/>
  <c r="DY251" i="8"/>
  <c r="DY275" i="8" s="1"/>
  <c r="DX251" i="8"/>
  <c r="DW251" i="8"/>
  <c r="DW275" i="8" s="1"/>
  <c r="DV251" i="8"/>
  <c r="DV275" i="8" s="1"/>
  <c r="DU251" i="8"/>
  <c r="DU275" i="8" s="1"/>
  <c r="DT251" i="8"/>
  <c r="DT275" i="8" s="1"/>
  <c r="DS251" i="8"/>
  <c r="DS275" i="8" s="1"/>
  <c r="DR251" i="8"/>
  <c r="DQ251" i="8"/>
  <c r="DQ275" i="8" s="1"/>
  <c r="DP251" i="8"/>
  <c r="DP275" i="8" s="1"/>
  <c r="DO251" i="8"/>
  <c r="DO275" i="8" s="1"/>
  <c r="DN251" i="8"/>
  <c r="DM251" i="8"/>
  <c r="DJ251" i="8"/>
  <c r="DJ275" i="8" s="1"/>
  <c r="DI251" i="8"/>
  <c r="DI275" i="8" s="1"/>
  <c r="DH251" i="8"/>
  <c r="DG251" i="8"/>
  <c r="DG275" i="8" s="1"/>
  <c r="DE251" i="8"/>
  <c r="DD251" i="8"/>
  <c r="DD275" i="8" s="1"/>
  <c r="DC251" i="8"/>
  <c r="DC275" i="8" s="1"/>
  <c r="DB251" i="8"/>
  <c r="BZ251" i="8"/>
  <c r="BZ275" i="8" s="1"/>
  <c r="BY251" i="8"/>
  <c r="BY275" i="8" s="1"/>
  <c r="BI251" i="8"/>
  <c r="BI275" i="8" s="1"/>
  <c r="AV251" i="8"/>
  <c r="AV275" i="8" s="1"/>
  <c r="AQ251" i="8"/>
  <c r="AN251" i="8"/>
  <c r="AN275" i="8" s="1"/>
  <c r="AM251" i="8"/>
  <c r="AM275" i="8" s="1"/>
  <c r="AK251" i="8"/>
  <c r="AK275" i="8" s="1"/>
  <c r="AJ251" i="8"/>
  <c r="AE251" i="8"/>
  <c r="AE275" i="8" s="1"/>
  <c r="AB251" i="8"/>
  <c r="AA251" i="8"/>
  <c r="Z251" i="8"/>
  <c r="Z275" i="8" s="1"/>
  <c r="Y251" i="8"/>
  <c r="Y275" i="8" s="1"/>
  <c r="X251" i="8"/>
  <c r="W251" i="8"/>
  <c r="Q251" i="8"/>
  <c r="P251" i="8"/>
  <c r="P275" i="8" s="1"/>
  <c r="M251" i="8"/>
  <c r="M275" i="8" s="1"/>
  <c r="DL153" i="8"/>
  <c r="CX153" i="8"/>
  <c r="CW153" i="8"/>
  <c r="CV153" i="8"/>
  <c r="CR153" i="8"/>
  <c r="CQ153" i="8" s="1"/>
  <c r="CP153" i="8"/>
  <c r="CO153" i="8" s="1"/>
  <c r="CN153" i="8"/>
  <c r="BU153" i="8"/>
  <c r="BR153" i="8"/>
  <c r="BQ153" i="8"/>
  <c r="BP153" i="8"/>
  <c r="BO153" i="8"/>
  <c r="BN153" i="8"/>
  <c r="BM153" i="8"/>
  <c r="BL153" i="8"/>
  <c r="BK153" i="8"/>
  <c r="BJ153" i="8"/>
  <c r="AU153" i="8"/>
  <c r="AD153" i="8"/>
  <c r="V153" i="8"/>
  <c r="U153" i="8"/>
  <c r="T153" i="8"/>
  <c r="DL152" i="8"/>
  <c r="CP152" i="8"/>
  <c r="BT152" i="8"/>
  <c r="BR152" i="8"/>
  <c r="BP152" i="8"/>
  <c r="BO152" i="8"/>
  <c r="BN152" i="8"/>
  <c r="BM152" i="8"/>
  <c r="BL152" i="8"/>
  <c r="BK152" i="8"/>
  <c r="BJ152" i="8"/>
  <c r="BE152" i="8"/>
  <c r="BD152" i="8"/>
  <c r="BC152" i="8"/>
  <c r="BB152" i="8"/>
  <c r="BA152" i="8"/>
  <c r="AZ152" i="8"/>
  <c r="AY152" i="8"/>
  <c r="AX152" i="8"/>
  <c r="AW152" i="8"/>
  <c r="CR152" i="8" s="1"/>
  <c r="AT152" i="8"/>
  <c r="AS152" i="8"/>
  <c r="AR152" i="8"/>
  <c r="AP152" i="8"/>
  <c r="AF152" i="8"/>
  <c r="V152" i="8"/>
  <c r="T152" i="8"/>
  <c r="R152" i="8"/>
  <c r="CX152" i="8" s="1"/>
  <c r="M152" i="8"/>
  <c r="K152" i="8"/>
  <c r="J152" i="8"/>
  <c r="DL151" i="8"/>
  <c r="CX151" i="8"/>
  <c r="CW151" i="8"/>
  <c r="CV151" i="8"/>
  <c r="CR151" i="8"/>
  <c r="CQ151" i="8" s="1"/>
  <c r="CP151" i="8"/>
  <c r="CN151" i="8"/>
  <c r="BU151" i="8"/>
  <c r="BR151" i="8"/>
  <c r="BQ151" i="8"/>
  <c r="BP151" i="8"/>
  <c r="BO151" i="8"/>
  <c r="BN151" i="8"/>
  <c r="BM151" i="8"/>
  <c r="BL151" i="8"/>
  <c r="BK151" i="8"/>
  <c r="BJ151" i="8"/>
  <c r="BE151" i="8"/>
  <c r="BD151" i="8"/>
  <c r="AU151" i="8"/>
  <c r="AF151" i="8"/>
  <c r="AD151" i="8" s="1"/>
  <c r="V151" i="8"/>
  <c r="U151" i="8"/>
  <c r="T151" i="8"/>
  <c r="DL150" i="8"/>
  <c r="CX150" i="8"/>
  <c r="CW150" i="8"/>
  <c r="CV150" i="8"/>
  <c r="CP150" i="8"/>
  <c r="CM150" i="8"/>
  <c r="BW150" i="8"/>
  <c r="BW254" i="8" s="1"/>
  <c r="BW278" i="8" s="1"/>
  <c r="BT150" i="8"/>
  <c r="BR150" i="8"/>
  <c r="BQ150" i="8"/>
  <c r="BP150" i="8"/>
  <c r="BO150" i="8"/>
  <c r="BN150" i="8"/>
  <c r="BM150" i="8"/>
  <c r="BL150" i="8"/>
  <c r="BK150" i="8"/>
  <c r="BJ150" i="8"/>
  <c r="BF150" i="8"/>
  <c r="BE150" i="8"/>
  <c r="BD150" i="8"/>
  <c r="BC150" i="8"/>
  <c r="BB150" i="8"/>
  <c r="BA150" i="8"/>
  <c r="AZ150" i="8"/>
  <c r="AY150" i="8"/>
  <c r="AX150" i="8"/>
  <c r="AW150" i="8"/>
  <c r="CR150" i="8" s="1"/>
  <c r="CQ150" i="8" s="1"/>
  <c r="AT150" i="8"/>
  <c r="AS150" i="8"/>
  <c r="AR150" i="8"/>
  <c r="AP150" i="8"/>
  <c r="AO150" i="8"/>
  <c r="AM150" i="8"/>
  <c r="AL150" i="8"/>
  <c r="AK150" i="8"/>
  <c r="AF150" i="8"/>
  <c r="AD150" i="8" s="1"/>
  <c r="AC150" i="8" s="1"/>
  <c r="AI150" i="8" s="1"/>
  <c r="CY150" i="8" s="1"/>
  <c r="V150" i="8"/>
  <c r="U150" i="8"/>
  <c r="T150" i="8"/>
  <c r="M150" i="8"/>
  <c r="K150" i="8"/>
  <c r="J150" i="8"/>
  <c r="EC187" i="8"/>
  <c r="EB187" i="8"/>
  <c r="DK187" i="8"/>
  <c r="DK251" i="8" s="1"/>
  <c r="DK275" i="8" s="1"/>
  <c r="DF187" i="8"/>
  <c r="CX187" i="8"/>
  <c r="CW187" i="8"/>
  <c r="CV187" i="8"/>
  <c r="CP187" i="8"/>
  <c r="CO187" i="8" s="1"/>
  <c r="CM187" i="8"/>
  <c r="BT187" i="8"/>
  <c r="BS187" i="8"/>
  <c r="BR187" i="8"/>
  <c r="BQ187" i="8"/>
  <c r="BP187" i="8"/>
  <c r="BO187" i="8"/>
  <c r="BN187" i="8"/>
  <c r="BM187" i="8"/>
  <c r="BL187" i="8"/>
  <c r="BK187" i="8"/>
  <c r="BJ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U187" i="8" s="1"/>
  <c r="AT187" i="8"/>
  <c r="AS187" i="8"/>
  <c r="AR187" i="8"/>
  <c r="AP187" i="8"/>
  <c r="AO187" i="8"/>
  <c r="AL187" i="8"/>
  <c r="AD187" i="8"/>
  <c r="V187" i="8"/>
  <c r="U187" i="8"/>
  <c r="T187" i="8"/>
  <c r="L187" i="8"/>
  <c r="K187" i="8"/>
  <c r="J187" i="8"/>
  <c r="DL186" i="8"/>
  <c r="CX186" i="8"/>
  <c r="CW186" i="8"/>
  <c r="CV186" i="8"/>
  <c r="CR186" i="8"/>
  <c r="CQ186" i="8" s="1"/>
  <c r="CP186" i="8"/>
  <c r="CO186" i="8" s="1"/>
  <c r="CN186" i="8"/>
  <c r="BR186" i="8"/>
  <c r="BQ186" i="8"/>
  <c r="BP186" i="8"/>
  <c r="BO186" i="8"/>
  <c r="BN186" i="8"/>
  <c r="BM186" i="8"/>
  <c r="BL186" i="8"/>
  <c r="BK186" i="8"/>
  <c r="BJ186" i="8"/>
  <c r="AU186" i="8"/>
  <c r="AR186" i="8"/>
  <c r="AD186" i="8"/>
  <c r="V186" i="8"/>
  <c r="U186" i="8"/>
  <c r="T186" i="8"/>
  <c r="DL185" i="8"/>
  <c r="CX185" i="8"/>
  <c r="CW185" i="8"/>
  <c r="CV185" i="8"/>
  <c r="CR185" i="8"/>
  <c r="CQ185" i="8" s="1"/>
  <c r="CP185" i="8"/>
  <c r="CN185" i="8"/>
  <c r="BR185" i="8"/>
  <c r="BQ185" i="8"/>
  <c r="BP185" i="8"/>
  <c r="BO185" i="8"/>
  <c r="BN185" i="8"/>
  <c r="BM185" i="8"/>
  <c r="BL185" i="8"/>
  <c r="BK185" i="8"/>
  <c r="BJ185" i="8"/>
  <c r="AU185" i="8"/>
  <c r="AR185" i="8"/>
  <c r="AD185" i="8"/>
  <c r="AC185" i="8" s="1"/>
  <c r="AI185" i="8" s="1"/>
  <c r="V185" i="8"/>
  <c r="U185" i="8"/>
  <c r="T185" i="8"/>
  <c r="DL184" i="8"/>
  <c r="CX184" i="8"/>
  <c r="CW184" i="8"/>
  <c r="CV184" i="8"/>
  <c r="CR184" i="8"/>
  <c r="CP184" i="8"/>
  <c r="CN184" i="8"/>
  <c r="BR184" i="8"/>
  <c r="BQ184" i="8"/>
  <c r="BP184" i="8"/>
  <c r="BO184" i="8"/>
  <c r="BN184" i="8"/>
  <c r="BM184" i="8"/>
  <c r="BL184" i="8"/>
  <c r="BK184" i="8"/>
  <c r="BJ184" i="8"/>
  <c r="AU184" i="8"/>
  <c r="AR184" i="8"/>
  <c r="AD184" i="8"/>
  <c r="AC184" i="8" s="1"/>
  <c r="AI184" i="8" s="1"/>
  <c r="V184" i="8"/>
  <c r="U184" i="8"/>
  <c r="T184" i="8"/>
  <c r="DL183" i="8"/>
  <c r="CP183" i="8"/>
  <c r="CO183" i="8" s="1"/>
  <c r="CM183" i="8"/>
  <c r="BV183" i="8"/>
  <c r="BU183" i="8"/>
  <c r="BT183" i="8"/>
  <c r="BR183" i="8"/>
  <c r="BP183" i="8"/>
  <c r="BO183" i="8"/>
  <c r="BN183" i="8"/>
  <c r="BM183" i="8"/>
  <c r="BL183" i="8"/>
  <c r="BK183" i="8"/>
  <c r="BJ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CR183" i="8" s="1"/>
  <c r="CQ183" i="8" s="1"/>
  <c r="AT183" i="8"/>
  <c r="AS183" i="8"/>
  <c r="AR183" i="8"/>
  <c r="AP183" i="8"/>
  <c r="BX183" i="8" s="1"/>
  <c r="AO183" i="8"/>
  <c r="AL183" i="8"/>
  <c r="AD183" i="8"/>
  <c r="V183" i="8"/>
  <c r="T183" i="8"/>
  <c r="R183" i="8"/>
  <c r="L183" i="8"/>
  <c r="K183" i="8"/>
  <c r="J183" i="8"/>
  <c r="DL182" i="8"/>
  <c r="CX182" i="8"/>
  <c r="CW182" i="8"/>
  <c r="CV182" i="8"/>
  <c r="CR182" i="8"/>
  <c r="CP182" i="8"/>
  <c r="CO182" i="8" s="1"/>
  <c r="CN182" i="8"/>
  <c r="BX182" i="8"/>
  <c r="BR182" i="8"/>
  <c r="BQ182" i="8"/>
  <c r="BP182" i="8"/>
  <c r="BO182" i="8"/>
  <c r="BN182" i="8"/>
  <c r="BM182" i="8"/>
  <c r="BL182" i="8"/>
  <c r="BK182" i="8"/>
  <c r="BJ182" i="8"/>
  <c r="AU182" i="8"/>
  <c r="AR182" i="8"/>
  <c r="AD182" i="8"/>
  <c r="AC182" i="8" s="1"/>
  <c r="V182" i="8"/>
  <c r="U182" i="8"/>
  <c r="T182" i="8"/>
  <c r="DL181" i="8"/>
  <c r="CR181" i="8"/>
  <c r="CP181" i="8"/>
  <c r="CN181" i="8"/>
  <c r="BX181" i="8"/>
  <c r="BR181" i="8"/>
  <c r="BQ181" i="8"/>
  <c r="BP181" i="8"/>
  <c r="BO181" i="8"/>
  <c r="BN181" i="8"/>
  <c r="BM181" i="8"/>
  <c r="BL181" i="8"/>
  <c r="BJ181" i="8"/>
  <c r="AU181" i="8"/>
  <c r="AR181" i="8"/>
  <c r="AD181" i="8"/>
  <c r="AC181" i="8" s="1"/>
  <c r="V181" i="8"/>
  <c r="T181" i="8"/>
  <c r="R181" i="8"/>
  <c r="CX181" i="8" s="1"/>
  <c r="DL180" i="8"/>
  <c r="CP180" i="8"/>
  <c r="CO180" i="8" s="1"/>
  <c r="CM180" i="8"/>
  <c r="BV180" i="8"/>
  <c r="BU180" i="8"/>
  <c r="BT180" i="8"/>
  <c r="BR180" i="8"/>
  <c r="BP180" i="8"/>
  <c r="BO180" i="8"/>
  <c r="BN180" i="8"/>
  <c r="BM180" i="8"/>
  <c r="BL180" i="8"/>
  <c r="BK180" i="8"/>
  <c r="BJ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T180" i="8"/>
  <c r="AS180" i="8"/>
  <c r="AR180" i="8"/>
  <c r="AP180" i="8"/>
  <c r="BX180" i="8" s="1"/>
  <c r="AO180" i="8"/>
  <c r="AL180" i="8"/>
  <c r="AF180" i="8"/>
  <c r="V180" i="8"/>
  <c r="T180" i="8"/>
  <c r="R180" i="8"/>
  <c r="L180" i="8"/>
  <c r="K180" i="8"/>
  <c r="J180" i="8"/>
  <c r="DL179" i="8"/>
  <c r="CX179" i="8"/>
  <c r="CW179" i="8"/>
  <c r="CV179" i="8"/>
  <c r="CR179" i="8"/>
  <c r="CP179" i="8"/>
  <c r="CN179" i="8"/>
  <c r="BR179" i="8"/>
  <c r="BQ179" i="8"/>
  <c r="BP179" i="8"/>
  <c r="BO179" i="8"/>
  <c r="BN179" i="8"/>
  <c r="BM179" i="8"/>
  <c r="BL179" i="8"/>
  <c r="BK179" i="8"/>
  <c r="BJ179" i="8"/>
  <c r="AU179" i="8"/>
  <c r="AR179" i="8"/>
  <c r="AD179" i="8"/>
  <c r="AC179" i="8" s="1"/>
  <c r="AI179" i="8" s="1"/>
  <c r="DA179" i="8" s="1"/>
  <c r="V179" i="8"/>
  <c r="U179" i="8"/>
  <c r="T179" i="8"/>
  <c r="DL178" i="8"/>
  <c r="CX178" i="8"/>
  <c r="CW178" i="8"/>
  <c r="CV178" i="8"/>
  <c r="CR178" i="8"/>
  <c r="CP178" i="8"/>
  <c r="CN178" i="8"/>
  <c r="BR178" i="8"/>
  <c r="BQ178" i="8"/>
  <c r="BP178" i="8"/>
  <c r="BO178" i="8"/>
  <c r="BN178" i="8"/>
  <c r="BM178" i="8"/>
  <c r="BL178" i="8"/>
  <c r="BK178" i="8"/>
  <c r="BJ178" i="8"/>
  <c r="AU178" i="8"/>
  <c r="AR178" i="8"/>
  <c r="AD178" i="8"/>
  <c r="AC178" i="8" s="1"/>
  <c r="AI178" i="8" s="1"/>
  <c r="CY178" i="8" s="1"/>
  <c r="V178" i="8"/>
  <c r="U178" i="8"/>
  <c r="T178" i="8"/>
  <c r="DL177" i="8"/>
  <c r="CX177" i="8"/>
  <c r="CW177" i="8"/>
  <c r="CV177" i="8"/>
  <c r="CR177" i="8"/>
  <c r="CP177" i="8"/>
  <c r="CN177" i="8"/>
  <c r="BX177" i="8"/>
  <c r="BR177" i="8"/>
  <c r="BQ177" i="8"/>
  <c r="BP177" i="8"/>
  <c r="BO177" i="8"/>
  <c r="BN177" i="8"/>
  <c r="BM177" i="8"/>
  <c r="BL177" i="8"/>
  <c r="BK177" i="8"/>
  <c r="BJ177" i="8"/>
  <c r="BE177" i="8"/>
  <c r="BE252" i="8" s="1"/>
  <c r="BE276" i="8" s="1"/>
  <c r="BD177" i="8"/>
  <c r="BD252" i="8" s="1"/>
  <c r="BD276" i="8" s="1"/>
  <c r="AU177" i="8"/>
  <c r="AR177" i="8"/>
  <c r="AF177" i="8"/>
  <c r="AD177" i="8" s="1"/>
  <c r="V177" i="8"/>
  <c r="U177" i="8"/>
  <c r="T177" i="8"/>
  <c r="DL176" i="8"/>
  <c r="CX176" i="8"/>
  <c r="CW176" i="8"/>
  <c r="CV176" i="8"/>
  <c r="CR176" i="8"/>
  <c r="CQ176" i="8" s="1"/>
  <c r="CP176" i="8"/>
  <c r="CO176" i="8" s="1"/>
  <c r="CN176" i="8"/>
  <c r="BR176" i="8"/>
  <c r="BQ176" i="8"/>
  <c r="BP176" i="8"/>
  <c r="BO176" i="8"/>
  <c r="BN176" i="8"/>
  <c r="BM176" i="8"/>
  <c r="BL176" i="8"/>
  <c r="BK176" i="8"/>
  <c r="BJ176" i="8"/>
  <c r="AU176" i="8"/>
  <c r="AR176" i="8"/>
  <c r="AD176" i="8"/>
  <c r="V176" i="8"/>
  <c r="U176" i="8"/>
  <c r="T176" i="8"/>
  <c r="DL175" i="8"/>
  <c r="CR175" i="8"/>
  <c r="CP175" i="8"/>
  <c r="CN175" i="8"/>
  <c r="BX175" i="8"/>
  <c r="BR175" i="8"/>
  <c r="BQ175" i="8"/>
  <c r="BP175" i="8"/>
  <c r="BO175" i="8"/>
  <c r="BN175" i="8"/>
  <c r="BM175" i="8"/>
  <c r="BL175" i="8"/>
  <c r="BJ175" i="8"/>
  <c r="AU175" i="8"/>
  <c r="AR175" i="8"/>
  <c r="AD175" i="8"/>
  <c r="V175" i="8"/>
  <c r="R175" i="8"/>
  <c r="CW175" i="8" s="1"/>
  <c r="N175" i="8"/>
  <c r="N252" i="8" s="1"/>
  <c r="N276" i="8" s="1"/>
  <c r="DL174" i="8"/>
  <c r="CX174" i="8"/>
  <c r="CW174" i="8"/>
  <c r="CV174" i="8"/>
  <c r="CR174" i="8"/>
  <c r="CQ174" i="8" s="1"/>
  <c r="CP174" i="8"/>
  <c r="CO174" i="8" s="1"/>
  <c r="CN174" i="8"/>
  <c r="BR174" i="8"/>
  <c r="BQ174" i="8"/>
  <c r="BP174" i="8"/>
  <c r="BO174" i="8"/>
  <c r="BN174" i="8"/>
  <c r="BM174" i="8"/>
  <c r="BL174" i="8"/>
  <c r="BK174" i="8"/>
  <c r="BJ174" i="8"/>
  <c r="AU174" i="8"/>
  <c r="AR174" i="8"/>
  <c r="AD174" i="8"/>
  <c r="V174" i="8"/>
  <c r="U174" i="8"/>
  <c r="T174" i="8"/>
  <c r="DL173" i="8"/>
  <c r="CX173" i="8"/>
  <c r="CW173" i="8"/>
  <c r="CV173" i="8"/>
  <c r="CR173" i="8"/>
  <c r="CQ173" i="8" s="1"/>
  <c r="CP173" i="8"/>
  <c r="CN173" i="8"/>
  <c r="BR173" i="8"/>
  <c r="BQ173" i="8"/>
  <c r="BP173" i="8"/>
  <c r="BO173" i="8"/>
  <c r="BN173" i="8"/>
  <c r="BM173" i="8"/>
  <c r="BL173" i="8"/>
  <c r="BK173" i="8"/>
  <c r="BJ173" i="8"/>
  <c r="BE173" i="8"/>
  <c r="BD173" i="8"/>
  <c r="AU173" i="8"/>
  <c r="AR173" i="8"/>
  <c r="AD173" i="8"/>
  <c r="AC173" i="8" s="1"/>
  <c r="AI173" i="8" s="1"/>
  <c r="V173" i="8"/>
  <c r="U173" i="8"/>
  <c r="T173" i="8"/>
  <c r="DL172" i="8"/>
  <c r="CX172" i="8"/>
  <c r="CW172" i="8"/>
  <c r="CV172" i="8"/>
  <c r="CR172" i="8"/>
  <c r="CQ172" i="8" s="1"/>
  <c r="CP172" i="8"/>
  <c r="CO172" i="8" s="1"/>
  <c r="CN172" i="8"/>
  <c r="BU172" i="8"/>
  <c r="BR172" i="8"/>
  <c r="BQ172" i="8"/>
  <c r="BP172" i="8"/>
  <c r="BO172" i="8"/>
  <c r="BN172" i="8"/>
  <c r="BM172" i="8"/>
  <c r="BL172" i="8"/>
  <c r="BK172" i="8"/>
  <c r="BJ172" i="8"/>
  <c r="AU172" i="8"/>
  <c r="AD172" i="8"/>
  <c r="V172" i="8"/>
  <c r="U172" i="8"/>
  <c r="T172" i="8"/>
  <c r="DL171" i="8"/>
  <c r="CX171" i="8"/>
  <c r="CW171" i="8"/>
  <c r="CV171" i="8"/>
  <c r="CR171" i="8"/>
  <c r="CQ171" i="8" s="1"/>
  <c r="CP171" i="8"/>
  <c r="CO171" i="8" s="1"/>
  <c r="CN171" i="8"/>
  <c r="BX171" i="8"/>
  <c r="BU171" i="8"/>
  <c r="BR171" i="8"/>
  <c r="BQ171" i="8"/>
  <c r="BP171" i="8"/>
  <c r="BO171" i="8"/>
  <c r="BN171" i="8"/>
  <c r="BM171" i="8"/>
  <c r="BL171" i="8"/>
  <c r="BK171" i="8"/>
  <c r="BJ171" i="8"/>
  <c r="AU171" i="8"/>
  <c r="AD171" i="8"/>
  <c r="V171" i="8"/>
  <c r="U171" i="8"/>
  <c r="T171" i="8"/>
  <c r="DL170" i="8"/>
  <c r="CX170" i="8"/>
  <c r="CW170" i="8"/>
  <c r="CV170" i="8"/>
  <c r="CR170" i="8"/>
  <c r="CQ170" i="8" s="1"/>
  <c r="CP170" i="8"/>
  <c r="CO170" i="8" s="1"/>
  <c r="CN170" i="8"/>
  <c r="BR170" i="8"/>
  <c r="BQ170" i="8"/>
  <c r="BP170" i="8"/>
  <c r="BO170" i="8"/>
  <c r="BN170" i="8"/>
  <c r="BM170" i="8"/>
  <c r="BL170" i="8"/>
  <c r="BK170" i="8"/>
  <c r="BJ170" i="8"/>
  <c r="AU170" i="8"/>
  <c r="AR170" i="8"/>
  <c r="AD170" i="8"/>
  <c r="V170" i="8"/>
  <c r="U170" i="8"/>
  <c r="T170" i="8"/>
  <c r="DL169" i="8"/>
  <c r="CR169" i="8"/>
  <c r="CQ169" i="8" s="1"/>
  <c r="CP169" i="8"/>
  <c r="CO169" i="8" s="1"/>
  <c r="CN169" i="8"/>
  <c r="BR169" i="8"/>
  <c r="BQ169" i="8"/>
  <c r="BP169" i="8"/>
  <c r="BO169" i="8"/>
  <c r="BM169" i="8"/>
  <c r="BL169" i="8"/>
  <c r="BK169" i="8"/>
  <c r="BJ169" i="8"/>
  <c r="AU169" i="8"/>
  <c r="AD169" i="8"/>
  <c r="AC169" i="8" s="1"/>
  <c r="V169" i="8"/>
  <c r="T169" i="8"/>
  <c r="R169" i="8"/>
  <c r="DL168" i="8"/>
  <c r="CR168" i="8"/>
  <c r="CQ168" i="8" s="1"/>
  <c r="CP168" i="8"/>
  <c r="CN168" i="8"/>
  <c r="BX168" i="8"/>
  <c r="BU168" i="8"/>
  <c r="BR168" i="8"/>
  <c r="BQ168" i="8"/>
  <c r="BP168" i="8"/>
  <c r="BO168" i="8"/>
  <c r="BN168" i="8"/>
  <c r="BM168" i="8"/>
  <c r="BL168" i="8"/>
  <c r="BJ168" i="8"/>
  <c r="AU168" i="8"/>
  <c r="AD168" i="8"/>
  <c r="AC168" i="8" s="1"/>
  <c r="V168" i="8"/>
  <c r="T168" i="8"/>
  <c r="R168" i="8"/>
  <c r="CW168" i="8" s="1"/>
  <c r="DL167" i="8"/>
  <c r="CR167" i="8"/>
  <c r="CQ167" i="8" s="1"/>
  <c r="CP167" i="8"/>
  <c r="CN167" i="8"/>
  <c r="BU167" i="8"/>
  <c r="BR167" i="8"/>
  <c r="BQ167" i="8"/>
  <c r="BP167" i="8"/>
  <c r="BO167" i="8"/>
  <c r="BM167" i="8"/>
  <c r="BL167" i="8"/>
  <c r="BK167" i="8"/>
  <c r="BJ167" i="8"/>
  <c r="AU167" i="8"/>
  <c r="AG167" i="8"/>
  <c r="AD167" i="8"/>
  <c r="V167" i="8"/>
  <c r="T167" i="8"/>
  <c r="R167" i="8"/>
  <c r="DL166" i="8"/>
  <c r="CR166" i="8"/>
  <c r="CQ166" i="8" s="1"/>
  <c r="CP166" i="8"/>
  <c r="CO166" i="8" s="1"/>
  <c r="CN166" i="8"/>
  <c r="BX166" i="8"/>
  <c r="BU166" i="8"/>
  <c r="BR166" i="8"/>
  <c r="BQ166" i="8"/>
  <c r="BP166" i="8"/>
  <c r="BO166" i="8"/>
  <c r="BN166" i="8"/>
  <c r="BM166" i="8"/>
  <c r="BL166" i="8"/>
  <c r="BJ166" i="8"/>
  <c r="AU166" i="8"/>
  <c r="AD166" i="8"/>
  <c r="V166" i="8"/>
  <c r="T166" i="8"/>
  <c r="R166" i="8"/>
  <c r="CX166" i="8" s="1"/>
  <c r="DL165" i="8"/>
  <c r="CR165" i="8"/>
  <c r="CQ165" i="8" s="1"/>
  <c r="CP165" i="8"/>
  <c r="CO165" i="8" s="1"/>
  <c r="CN165" i="8"/>
  <c r="BR165" i="8"/>
  <c r="BQ165" i="8"/>
  <c r="BP165" i="8"/>
  <c r="BO165" i="8"/>
  <c r="BM165" i="8"/>
  <c r="BL165" i="8"/>
  <c r="BK165" i="8"/>
  <c r="BJ165" i="8"/>
  <c r="BE165" i="8"/>
  <c r="BD165" i="8"/>
  <c r="AU165" i="8"/>
  <c r="AD165" i="8"/>
  <c r="AC165" i="8" s="1"/>
  <c r="V165" i="8"/>
  <c r="T165" i="8"/>
  <c r="R165" i="8"/>
  <c r="CX165" i="8" s="1"/>
  <c r="DL164" i="8"/>
  <c r="CR164" i="8"/>
  <c r="CQ164" i="8" s="1"/>
  <c r="CP164" i="8"/>
  <c r="CN164" i="8"/>
  <c r="BU164" i="8"/>
  <c r="BR164" i="8"/>
  <c r="BQ164" i="8"/>
  <c r="BP164" i="8"/>
  <c r="BO164" i="8"/>
  <c r="BM164" i="8"/>
  <c r="BL164" i="8"/>
  <c r="BK164" i="8"/>
  <c r="BJ164" i="8"/>
  <c r="AU164" i="8"/>
  <c r="AD164" i="8"/>
  <c r="AC164" i="8" s="1"/>
  <c r="V164" i="8"/>
  <c r="T164" i="8"/>
  <c r="R164" i="8"/>
  <c r="DL163" i="8"/>
  <c r="CR163" i="8"/>
  <c r="CQ163" i="8" s="1"/>
  <c r="CP163" i="8"/>
  <c r="CN163" i="8"/>
  <c r="BU163" i="8"/>
  <c r="BR163" i="8"/>
  <c r="BQ163" i="8"/>
  <c r="BP163" i="8"/>
  <c r="BO163" i="8"/>
  <c r="BM163" i="8"/>
  <c r="BL163" i="8"/>
  <c r="BK163" i="8"/>
  <c r="BJ163" i="8"/>
  <c r="AU163" i="8"/>
  <c r="AD163" i="8"/>
  <c r="V163" i="8"/>
  <c r="T163" i="8"/>
  <c r="R163" i="8"/>
  <c r="CV163" i="8" s="1"/>
  <c r="DL162" i="8"/>
  <c r="CR162" i="8"/>
  <c r="CQ162" i="8" s="1"/>
  <c r="CP162" i="8"/>
  <c r="CN162" i="8"/>
  <c r="BU162" i="8"/>
  <c r="BR162" i="8"/>
  <c r="BQ162" i="8"/>
  <c r="BP162" i="8"/>
  <c r="BO162" i="8"/>
  <c r="BM162" i="8"/>
  <c r="BL162" i="8"/>
  <c r="BK162" i="8"/>
  <c r="BJ162" i="8"/>
  <c r="AU162" i="8"/>
  <c r="AD162" i="8"/>
  <c r="AC162" i="8" s="1"/>
  <c r="V162" i="8"/>
  <c r="T162" i="8"/>
  <c r="R162" i="8"/>
  <c r="CX162" i="8" s="1"/>
  <c r="DL161" i="8"/>
  <c r="CX161" i="8"/>
  <c r="CW161" i="8"/>
  <c r="CV161" i="8"/>
  <c r="CR161" i="8"/>
  <c r="CQ161" i="8" s="1"/>
  <c r="CP161" i="8"/>
  <c r="CN161" i="8"/>
  <c r="BX161" i="8"/>
  <c r="BU161" i="8"/>
  <c r="BR161" i="8"/>
  <c r="BQ161" i="8"/>
  <c r="BP161" i="8"/>
  <c r="BO161" i="8"/>
  <c r="BN161" i="8"/>
  <c r="BM161" i="8"/>
  <c r="BL161" i="8"/>
  <c r="BK161" i="8"/>
  <c r="BJ161" i="8"/>
  <c r="AU161" i="8"/>
  <c r="AD161" i="8"/>
  <c r="V161" i="8"/>
  <c r="U161" i="8"/>
  <c r="T161" i="8"/>
  <c r="DL160" i="8"/>
  <c r="CX160" i="8"/>
  <c r="CW160" i="8"/>
  <c r="CV160" i="8"/>
  <c r="CR160" i="8"/>
  <c r="CQ160" i="8" s="1"/>
  <c r="CP160" i="8"/>
  <c r="CN160" i="8"/>
  <c r="BU160" i="8"/>
  <c r="BR160" i="8"/>
  <c r="BQ160" i="8"/>
  <c r="BP160" i="8"/>
  <c r="BO160" i="8"/>
  <c r="BN160" i="8"/>
  <c r="BM160" i="8"/>
  <c r="BL160" i="8"/>
  <c r="BK160" i="8"/>
  <c r="BJ160" i="8"/>
  <c r="AU160" i="8"/>
  <c r="AD160" i="8"/>
  <c r="AC160" i="8" s="1"/>
  <c r="AI160" i="8" s="1"/>
  <c r="V160" i="8"/>
  <c r="U160" i="8"/>
  <c r="T160" i="8"/>
  <c r="DL159" i="8"/>
  <c r="CR159" i="8"/>
  <c r="CQ159" i="8" s="1"/>
  <c r="CP159" i="8"/>
  <c r="CO159" i="8" s="1"/>
  <c r="CN159" i="8"/>
  <c r="BR159" i="8"/>
  <c r="BQ159" i="8"/>
  <c r="BP159" i="8"/>
  <c r="BO159" i="8"/>
  <c r="BM159" i="8"/>
  <c r="BL159" i="8"/>
  <c r="BK159" i="8"/>
  <c r="BJ159" i="8"/>
  <c r="AU159" i="8"/>
  <c r="AD159" i="8"/>
  <c r="V159" i="8"/>
  <c r="T159" i="8"/>
  <c r="R159" i="8"/>
  <c r="DL158" i="8"/>
  <c r="CR158" i="8"/>
  <c r="CQ158" i="8" s="1"/>
  <c r="CP158" i="8"/>
  <c r="CO158" i="8" s="1"/>
  <c r="CN158" i="8"/>
  <c r="BU158" i="8"/>
  <c r="BR158" i="8"/>
  <c r="BQ158" i="8"/>
  <c r="BP158" i="8"/>
  <c r="BO158" i="8"/>
  <c r="BM158" i="8"/>
  <c r="BL158" i="8"/>
  <c r="BK158" i="8"/>
  <c r="BJ158" i="8"/>
  <c r="AU158" i="8"/>
  <c r="AG158" i="8"/>
  <c r="AF158" i="8"/>
  <c r="AD158" i="8" s="1"/>
  <c r="V158" i="8"/>
  <c r="T158" i="8"/>
  <c r="R158" i="8"/>
  <c r="DL157" i="8"/>
  <c r="CX157" i="8"/>
  <c r="CW157" i="8"/>
  <c r="CV157" i="8"/>
  <c r="CR157" i="8"/>
  <c r="CQ157" i="8" s="1"/>
  <c r="CP157" i="8"/>
  <c r="CN157" i="8"/>
  <c r="BR157" i="8"/>
  <c r="BQ157" i="8"/>
  <c r="BP157" i="8"/>
  <c r="BO157" i="8"/>
  <c r="BN157" i="8"/>
  <c r="BM157" i="8"/>
  <c r="BL157" i="8"/>
  <c r="BK157" i="8"/>
  <c r="BJ157" i="8"/>
  <c r="AU157" i="8"/>
  <c r="AD157" i="8"/>
  <c r="V157" i="8"/>
  <c r="U157" i="8"/>
  <c r="T157" i="8"/>
  <c r="DL156" i="8"/>
  <c r="CX156" i="8"/>
  <c r="CW156" i="8"/>
  <c r="CV156" i="8"/>
  <c r="CR156" i="8"/>
  <c r="CQ156" i="8" s="1"/>
  <c r="CP156" i="8"/>
  <c r="CO156" i="8" s="1"/>
  <c r="CN156" i="8"/>
  <c r="BU156" i="8"/>
  <c r="BR156" i="8"/>
  <c r="BQ156" i="8"/>
  <c r="BP156" i="8"/>
  <c r="BO156" i="8"/>
  <c r="BN156" i="8"/>
  <c r="BM156" i="8"/>
  <c r="BL156" i="8"/>
  <c r="BK156" i="8"/>
  <c r="BJ156" i="8"/>
  <c r="AU156" i="8"/>
  <c r="AD156" i="8"/>
  <c r="AC156" i="8" s="1"/>
  <c r="AI156" i="8" s="1"/>
  <c r="DA156" i="8" s="1"/>
  <c r="V156" i="8"/>
  <c r="U156" i="8"/>
  <c r="T156" i="8"/>
  <c r="DL155" i="8"/>
  <c r="CP155" i="8"/>
  <c r="BR155" i="8"/>
  <c r="BP155" i="8"/>
  <c r="BO155" i="8"/>
  <c r="BN155" i="8"/>
  <c r="BM155" i="8"/>
  <c r="BL155" i="8"/>
  <c r="BK155" i="8"/>
  <c r="BJ155" i="8"/>
  <c r="BE155" i="8"/>
  <c r="BD155" i="8"/>
  <c r="BC155" i="8"/>
  <c r="BB155" i="8"/>
  <c r="BA155" i="8"/>
  <c r="AZ155" i="8"/>
  <c r="AY155" i="8"/>
  <c r="AX155" i="8"/>
  <c r="AW155" i="8"/>
  <c r="AT155" i="8"/>
  <c r="AS155" i="8"/>
  <c r="AR155" i="8"/>
  <c r="AP155" i="8"/>
  <c r="AD155" i="8"/>
  <c r="V155" i="8"/>
  <c r="T155" i="8"/>
  <c r="R155" i="8"/>
  <c r="CV155" i="8" s="1"/>
  <c r="M155" i="8"/>
  <c r="K155" i="8"/>
  <c r="CN155" i="8" s="1"/>
  <c r="J155" i="8"/>
  <c r="DL154" i="8"/>
  <c r="CP154" i="8"/>
  <c r="CM154" i="8"/>
  <c r="BT154" i="8"/>
  <c r="BR154" i="8"/>
  <c r="BP154" i="8"/>
  <c r="BO154" i="8"/>
  <c r="BN154" i="8"/>
  <c r="BM154" i="8"/>
  <c r="BL154" i="8"/>
  <c r="BK154" i="8"/>
  <c r="BJ154" i="8"/>
  <c r="BF154" i="8"/>
  <c r="BE154" i="8"/>
  <c r="BD154" i="8"/>
  <c r="BC154" i="8"/>
  <c r="BB154" i="8"/>
  <c r="BA154" i="8"/>
  <c r="AZ154" i="8"/>
  <c r="AY154" i="8"/>
  <c r="AX154" i="8"/>
  <c r="AW154" i="8"/>
  <c r="CR154" i="8" s="1"/>
  <c r="CQ154" i="8" s="1"/>
  <c r="AT154" i="8"/>
  <c r="AS154" i="8"/>
  <c r="AR154" i="8"/>
  <c r="AP154" i="8"/>
  <c r="AO154" i="8"/>
  <c r="AM154" i="8"/>
  <c r="AL154" i="8"/>
  <c r="AK154" i="8"/>
  <c r="AD154" i="8"/>
  <c r="V154" i="8"/>
  <c r="T154" i="8"/>
  <c r="R154" i="8"/>
  <c r="CV154" i="8" s="1"/>
  <c r="M154" i="8"/>
  <c r="K154" i="8"/>
  <c r="J154" i="8"/>
  <c r="DL149" i="8"/>
  <c r="CX149" i="8"/>
  <c r="CW149" i="8"/>
  <c r="CV149" i="8"/>
  <c r="CR149" i="8"/>
  <c r="CQ149" i="8" s="1"/>
  <c r="CP149" i="8"/>
  <c r="CO149" i="8" s="1"/>
  <c r="CM149" i="8"/>
  <c r="BT149" i="8"/>
  <c r="BT253" i="8" s="1"/>
  <c r="BT277" i="8" s="1"/>
  <c r="BR149" i="8"/>
  <c r="BQ149" i="8"/>
  <c r="BP149" i="8"/>
  <c r="BO149" i="8"/>
  <c r="BN149" i="8"/>
  <c r="BM149" i="8"/>
  <c r="BL149" i="8"/>
  <c r="BK149" i="8"/>
  <c r="BJ149" i="8"/>
  <c r="BE149" i="8"/>
  <c r="BD149" i="8"/>
  <c r="BC149" i="8"/>
  <c r="BB149" i="8"/>
  <c r="BA149" i="8"/>
  <c r="BU149" i="8" s="1"/>
  <c r="AZ149" i="8"/>
  <c r="AY149" i="8"/>
  <c r="AX149" i="8"/>
  <c r="AU149" i="8"/>
  <c r="AT149" i="8"/>
  <c r="AS149" i="8"/>
  <c r="AR149" i="8"/>
  <c r="AP149" i="8"/>
  <c r="AO149" i="8"/>
  <c r="AO253" i="8" s="1"/>
  <c r="AO277" i="8" s="1"/>
  <c r="AM149" i="8"/>
  <c r="AM253" i="8" s="1"/>
  <c r="AM277" i="8" s="1"/>
  <c r="AL149" i="8"/>
  <c r="AL253" i="8" s="1"/>
  <c r="AL277" i="8" s="1"/>
  <c r="AK149" i="8"/>
  <c r="AK253" i="8" s="1"/>
  <c r="AK277" i="8" s="1"/>
  <c r="AF149" i="8"/>
  <c r="AD149" i="8" s="1"/>
  <c r="AC149" i="8" s="1"/>
  <c r="AI149" i="8" s="1"/>
  <c r="CZ149" i="8" s="1"/>
  <c r="V149" i="8"/>
  <c r="U149" i="8"/>
  <c r="T149" i="8"/>
  <c r="M149" i="8"/>
  <c r="K149" i="8"/>
  <c r="J149" i="8"/>
  <c r="J253" i="8" s="1"/>
  <c r="J277" i="8" s="1"/>
  <c r="DL148" i="8"/>
  <c r="CP148" i="8"/>
  <c r="CO148" i="8" s="1"/>
  <c r="CN148" i="8"/>
  <c r="BX148" i="8"/>
  <c r="BU148" i="8"/>
  <c r="BR148" i="8"/>
  <c r="BQ148" i="8"/>
  <c r="BP148" i="8"/>
  <c r="BO148" i="8"/>
  <c r="BN148" i="8"/>
  <c r="BM148" i="8"/>
  <c r="BL148" i="8"/>
  <c r="BJ148" i="8"/>
  <c r="BG148" i="8"/>
  <c r="BE148" i="8"/>
  <c r="BD148" i="8"/>
  <c r="AW148" i="8"/>
  <c r="CR148" i="8" s="1"/>
  <c r="CQ148" i="8" s="1"/>
  <c r="AG148" i="8"/>
  <c r="AF148" i="8"/>
  <c r="AD148" i="8" s="1"/>
  <c r="V148" i="8"/>
  <c r="R148" i="8"/>
  <c r="O148" i="8"/>
  <c r="N148" i="8"/>
  <c r="T148" i="8" s="1"/>
  <c r="EC147" i="8"/>
  <c r="DL147" i="8"/>
  <c r="CR147" i="8"/>
  <c r="CQ147" i="8" s="1"/>
  <c r="CP147" i="8"/>
  <c r="CO147" i="8" s="1"/>
  <c r="CN147" i="8"/>
  <c r="BX147" i="8"/>
  <c r="BU147" i="8"/>
  <c r="BR147" i="8"/>
  <c r="BQ147" i="8"/>
  <c r="BP147" i="8"/>
  <c r="BO147" i="8"/>
  <c r="BN147" i="8"/>
  <c r="BM147" i="8"/>
  <c r="BL147" i="8"/>
  <c r="BJ147" i="8"/>
  <c r="AU147" i="8"/>
  <c r="AD147" i="8"/>
  <c r="AC147" i="8" s="1"/>
  <c r="V147" i="8"/>
  <c r="T147" i="8"/>
  <c r="R147" i="8"/>
  <c r="CX147" i="8" s="1"/>
  <c r="DL145" i="8"/>
  <c r="CR145" i="8"/>
  <c r="CQ145" i="8" s="1"/>
  <c r="CP145" i="8"/>
  <c r="CO145" i="8" s="1"/>
  <c r="CN145" i="8"/>
  <c r="BR145" i="8"/>
  <c r="BQ145" i="8"/>
  <c r="BP145" i="8"/>
  <c r="BO145" i="8"/>
  <c r="BM145" i="8"/>
  <c r="BL145" i="8"/>
  <c r="BK145" i="8"/>
  <c r="BJ145" i="8"/>
  <c r="AU145" i="8"/>
  <c r="AD145" i="8"/>
  <c r="V145" i="8"/>
  <c r="T145" i="8"/>
  <c r="R145" i="8"/>
  <c r="BN145" i="8" s="1"/>
  <c r="DL144" i="8"/>
  <c r="CR144" i="8"/>
  <c r="CQ144" i="8" s="1"/>
  <c r="BR144" i="8"/>
  <c r="BQ144" i="8"/>
  <c r="BP144" i="8"/>
  <c r="BO144" i="8"/>
  <c r="BM144" i="8"/>
  <c r="BL144" i="8"/>
  <c r="BK144" i="8"/>
  <c r="BJ144" i="8"/>
  <c r="BI144" i="8"/>
  <c r="BH144" i="8"/>
  <c r="BG144" i="8"/>
  <c r="BD144" i="8"/>
  <c r="BC144" i="8"/>
  <c r="BB144" i="8"/>
  <c r="BA144" i="8"/>
  <c r="AZ144" i="8"/>
  <c r="AY144" i="8"/>
  <c r="AX144" i="8"/>
  <c r="AV144" i="8"/>
  <c r="AT144" i="8"/>
  <c r="AS144" i="8"/>
  <c r="AR144" i="8"/>
  <c r="AP144" i="8"/>
  <c r="AO144" i="8"/>
  <c r="AM144" i="8"/>
  <c r="AL144" i="8"/>
  <c r="AK144" i="8"/>
  <c r="AG144" i="8"/>
  <c r="AD144" i="8"/>
  <c r="V144" i="8"/>
  <c r="T144" i="8"/>
  <c r="R144" i="8"/>
  <c r="CW144" i="8" s="1"/>
  <c r="M144" i="8"/>
  <c r="K144" i="8"/>
  <c r="CN144" i="8" s="1"/>
  <c r="J144" i="8"/>
  <c r="DL143" i="8"/>
  <c r="CX143" i="8"/>
  <c r="CW143" i="8"/>
  <c r="CV143" i="8"/>
  <c r="CR143" i="8"/>
  <c r="CQ143" i="8" s="1"/>
  <c r="CP143" i="8"/>
  <c r="CO143" i="8" s="1"/>
  <c r="CN143" i="8"/>
  <c r="BX143" i="8"/>
  <c r="BU143" i="8"/>
  <c r="BR143" i="8"/>
  <c r="BQ143" i="8"/>
  <c r="BP143" i="8"/>
  <c r="BO143" i="8"/>
  <c r="BN143" i="8"/>
  <c r="BM143" i="8"/>
  <c r="BL143" i="8"/>
  <c r="BK143" i="8"/>
  <c r="BJ143" i="8"/>
  <c r="AU143" i="8"/>
  <c r="AD143" i="8"/>
  <c r="V143" i="8"/>
  <c r="U143" i="8"/>
  <c r="T143" i="8"/>
  <c r="DL142" i="8"/>
  <c r="CX142" i="8"/>
  <c r="CW142" i="8"/>
  <c r="CV142" i="8"/>
  <c r="CR142" i="8"/>
  <c r="CQ142" i="8" s="1"/>
  <c r="BX142" i="8"/>
  <c r="BT142" i="8"/>
  <c r="BT252" i="8" s="1"/>
  <c r="BT276" i="8" s="1"/>
  <c r="BR142" i="8"/>
  <c r="BQ142" i="8"/>
  <c r="BP142" i="8"/>
  <c r="BO142" i="8"/>
  <c r="BN142" i="8"/>
  <c r="BM142" i="8"/>
  <c r="BL142" i="8"/>
  <c r="BK142" i="8"/>
  <c r="BJ142" i="8"/>
  <c r="BF142" i="8"/>
  <c r="BF252" i="8" s="1"/>
  <c r="BF276" i="8" s="1"/>
  <c r="BA142" i="8"/>
  <c r="BA252" i="8" s="1"/>
  <c r="BA276" i="8" s="1"/>
  <c r="AZ142" i="8"/>
  <c r="AZ252" i="8" s="1"/>
  <c r="AZ276" i="8" s="1"/>
  <c r="AY142" i="8"/>
  <c r="AY252" i="8" s="1"/>
  <c r="AY276" i="8" s="1"/>
  <c r="AV142" i="8"/>
  <c r="AT142" i="8"/>
  <c r="AT252" i="8" s="1"/>
  <c r="AT276" i="8" s="1"/>
  <c r="AS142" i="8"/>
  <c r="AS252" i="8" s="1"/>
  <c r="AS276" i="8" s="1"/>
  <c r="AR142" i="8"/>
  <c r="AO142" i="8"/>
  <c r="AO252" i="8" s="1"/>
  <c r="AO276" i="8" s="1"/>
  <c r="AM142" i="8"/>
  <c r="AL142" i="8"/>
  <c r="AL252" i="8" s="1"/>
  <c r="AL276" i="8" s="1"/>
  <c r="AK142" i="8"/>
  <c r="AF142" i="8"/>
  <c r="AD142" i="8" s="1"/>
  <c r="V142" i="8"/>
  <c r="U142" i="8"/>
  <c r="T142" i="8"/>
  <c r="K142" i="8"/>
  <c r="J142" i="8"/>
  <c r="J252" i="8" s="1"/>
  <c r="J276" i="8" s="1"/>
  <c r="EC141" i="8"/>
  <c r="DL141" i="8"/>
  <c r="CR141" i="8"/>
  <c r="CQ141" i="8" s="1"/>
  <c r="CP141" i="8"/>
  <c r="CN141" i="8"/>
  <c r="BR141" i="8"/>
  <c r="BQ141" i="8"/>
  <c r="BP141" i="8"/>
  <c r="BO141" i="8"/>
  <c r="BM141" i="8"/>
  <c r="BL141" i="8"/>
  <c r="BK141" i="8"/>
  <c r="BJ141" i="8"/>
  <c r="AU141" i="8"/>
  <c r="AD141" i="8"/>
  <c r="AC141" i="8" s="1"/>
  <c r="V141" i="8"/>
  <c r="R141" i="8"/>
  <c r="CW141" i="8" s="1"/>
  <c r="O141" i="8"/>
  <c r="N141" i="8"/>
  <c r="T141" i="8" s="1"/>
  <c r="DL140" i="8"/>
  <c r="CX140" i="8"/>
  <c r="CW140" i="8"/>
  <c r="CV140" i="8"/>
  <c r="CR140" i="8"/>
  <c r="CQ140" i="8" s="1"/>
  <c r="CP140" i="8"/>
  <c r="CO140" i="8" s="1"/>
  <c r="CN140" i="8"/>
  <c r="BR140" i="8"/>
  <c r="BQ140" i="8"/>
  <c r="BP140" i="8"/>
  <c r="BO140" i="8"/>
  <c r="BN140" i="8"/>
  <c r="BM140" i="8"/>
  <c r="BL140" i="8"/>
  <c r="BK140" i="8"/>
  <c r="BJ140" i="8"/>
  <c r="AU140" i="8"/>
  <c r="AG140" i="8"/>
  <c r="AD140" i="8"/>
  <c r="V140" i="8"/>
  <c r="U140" i="8"/>
  <c r="T140" i="8"/>
  <c r="DL139" i="8"/>
  <c r="CR139" i="8"/>
  <c r="CQ139" i="8" s="1"/>
  <c r="CP139" i="8"/>
  <c r="CN139" i="8"/>
  <c r="BR139" i="8"/>
  <c r="BQ139" i="8"/>
  <c r="BP139" i="8"/>
  <c r="BO139" i="8"/>
  <c r="BM139" i="8"/>
  <c r="BL139" i="8"/>
  <c r="BK139" i="8"/>
  <c r="BJ139" i="8"/>
  <c r="AU139" i="8"/>
  <c r="AD139" i="8"/>
  <c r="AC139" i="8" s="1"/>
  <c r="V139" i="8"/>
  <c r="T139" i="8"/>
  <c r="R139" i="8"/>
  <c r="CW139" i="8" s="1"/>
  <c r="EC138" i="8"/>
  <c r="DL138" i="8"/>
  <c r="CX138" i="8"/>
  <c r="CW138" i="8"/>
  <c r="CV138" i="8"/>
  <c r="CR138" i="8"/>
  <c r="CQ138" i="8" s="1"/>
  <c r="CP138" i="8"/>
  <c r="CN138" i="8"/>
  <c r="BX138" i="8"/>
  <c r="BU138" i="8"/>
  <c r="BR138" i="8"/>
  <c r="BQ138" i="8"/>
  <c r="BP138" i="8"/>
  <c r="BO138" i="8"/>
  <c r="BN138" i="8"/>
  <c r="BM138" i="8"/>
  <c r="BL138" i="8"/>
  <c r="BK138" i="8"/>
  <c r="BJ138" i="8"/>
  <c r="AU138" i="8"/>
  <c r="AG138" i="8"/>
  <c r="AD138" i="8"/>
  <c r="V138" i="8"/>
  <c r="U138" i="8"/>
  <c r="T138" i="8"/>
  <c r="DL146" i="8"/>
  <c r="CR146" i="8"/>
  <c r="CQ146" i="8" s="1"/>
  <c r="CP146" i="8"/>
  <c r="CO146" i="8" s="1"/>
  <c r="CN146" i="8"/>
  <c r="BU146" i="8"/>
  <c r="BR146" i="8"/>
  <c r="BQ146" i="8"/>
  <c r="BP146" i="8"/>
  <c r="BO146" i="8"/>
  <c r="BM146" i="8"/>
  <c r="BL146" i="8"/>
  <c r="BK146" i="8"/>
  <c r="BJ146" i="8"/>
  <c r="AU146" i="8"/>
  <c r="AD146" i="8"/>
  <c r="V146" i="8"/>
  <c r="T146" i="8"/>
  <c r="R146" i="8"/>
  <c r="CW146" i="8" s="1"/>
  <c r="EC137" i="8"/>
  <c r="DL137" i="8"/>
  <c r="CR137" i="8"/>
  <c r="CQ137" i="8" s="1"/>
  <c r="CP137" i="8"/>
  <c r="CN137" i="8"/>
  <c r="BX137" i="8"/>
  <c r="BU137" i="8"/>
  <c r="BR137" i="8"/>
  <c r="BQ137" i="8"/>
  <c r="BP137" i="8"/>
  <c r="BO137" i="8"/>
  <c r="BN137" i="8"/>
  <c r="BM137" i="8"/>
  <c r="BL137" i="8"/>
  <c r="BJ137" i="8"/>
  <c r="AU137" i="8"/>
  <c r="AH137" i="8"/>
  <c r="AH256" i="8" s="1"/>
  <c r="AH280" i="8" s="1"/>
  <c r="AG137" i="8"/>
  <c r="AF137" i="8"/>
  <c r="AD137" i="8" s="1"/>
  <c r="V137" i="8"/>
  <c r="T137" i="8"/>
  <c r="R137" i="8"/>
  <c r="DL136" i="8"/>
  <c r="CR136" i="8"/>
  <c r="CQ136" i="8" s="1"/>
  <c r="CP136" i="8"/>
  <c r="CN136" i="8"/>
  <c r="BX136" i="8"/>
  <c r="BU136" i="8"/>
  <c r="BR136" i="8"/>
  <c r="BQ136" i="8"/>
  <c r="BP136" i="8"/>
  <c r="BO136" i="8"/>
  <c r="BN136" i="8"/>
  <c r="BM136" i="8"/>
  <c r="BL136" i="8"/>
  <c r="BJ136" i="8"/>
  <c r="AU136" i="8"/>
  <c r="AF136" i="8"/>
  <c r="AD136" i="8" s="1"/>
  <c r="V136" i="8"/>
  <c r="T136" i="8"/>
  <c r="R136" i="8"/>
  <c r="CW136" i="8" s="1"/>
  <c r="DL127" i="8"/>
  <c r="CX127" i="8"/>
  <c r="CW127" i="8"/>
  <c r="CV127" i="8"/>
  <c r="CR127" i="8"/>
  <c r="CQ127" i="8" s="1"/>
  <c r="CP127" i="8"/>
  <c r="CN127" i="8"/>
  <c r="BU127" i="8"/>
  <c r="BR127" i="8"/>
  <c r="BQ127" i="8"/>
  <c r="BP127" i="8"/>
  <c r="BO127" i="8"/>
  <c r="BN127" i="8"/>
  <c r="BM127" i="8"/>
  <c r="BL127" i="8"/>
  <c r="BK127" i="8"/>
  <c r="BJ127" i="8"/>
  <c r="AU127" i="8"/>
  <c r="AD127" i="8"/>
  <c r="V127" i="8"/>
  <c r="U127" i="8"/>
  <c r="T127" i="8"/>
  <c r="DL126" i="8"/>
  <c r="CX126" i="8"/>
  <c r="CW126" i="8"/>
  <c r="CV126" i="8"/>
  <c r="CR126" i="8"/>
  <c r="CQ126" i="8" s="1"/>
  <c r="CP126" i="8"/>
  <c r="CO126" i="8" s="1"/>
  <c r="CN126" i="8"/>
  <c r="BX126" i="8"/>
  <c r="BU126" i="8"/>
  <c r="BR126" i="8"/>
  <c r="BQ126" i="8"/>
  <c r="BP126" i="8"/>
  <c r="BO126" i="8"/>
  <c r="BN126" i="8"/>
  <c r="BM126" i="8"/>
  <c r="BL126" i="8"/>
  <c r="BK126" i="8"/>
  <c r="BJ126" i="8"/>
  <c r="AU126" i="8"/>
  <c r="AD126" i="8"/>
  <c r="V126" i="8"/>
  <c r="U126" i="8"/>
  <c r="T126" i="8"/>
  <c r="DL135" i="8"/>
  <c r="CR135" i="8"/>
  <c r="CQ135" i="8" s="1"/>
  <c r="CP135" i="8"/>
  <c r="CN135" i="8"/>
  <c r="BU135" i="8"/>
  <c r="BR135" i="8"/>
  <c r="BQ135" i="8"/>
  <c r="BP135" i="8"/>
  <c r="BO135" i="8"/>
  <c r="BM135" i="8"/>
  <c r="BL135" i="8"/>
  <c r="BK135" i="8"/>
  <c r="BJ135" i="8"/>
  <c r="AU135" i="8"/>
  <c r="AD135" i="8"/>
  <c r="AC135" i="8" s="1"/>
  <c r="V135" i="8"/>
  <c r="T135" i="8"/>
  <c r="R135" i="8"/>
  <c r="BN135" i="8" s="1"/>
  <c r="DL134" i="8"/>
  <c r="CX134" i="8"/>
  <c r="CW134" i="8"/>
  <c r="CV134" i="8"/>
  <c r="CR134" i="8"/>
  <c r="CQ134" i="8" s="1"/>
  <c r="CP134" i="8"/>
  <c r="CN134" i="8"/>
  <c r="BR134" i="8"/>
  <c r="BQ134" i="8"/>
  <c r="BP134" i="8"/>
  <c r="BO134" i="8"/>
  <c r="BN134" i="8"/>
  <c r="BM134" i="8"/>
  <c r="BL134" i="8"/>
  <c r="BK134" i="8"/>
  <c r="BJ134" i="8"/>
  <c r="AU134" i="8"/>
  <c r="AD134" i="8"/>
  <c r="AC134" i="8" s="1"/>
  <c r="AI134" i="8" s="1"/>
  <c r="CY134" i="8" s="1"/>
  <c r="V134" i="8"/>
  <c r="U134" i="8"/>
  <c r="T134" i="8"/>
  <c r="DL133" i="8"/>
  <c r="CX133" i="8"/>
  <c r="CW133" i="8"/>
  <c r="CV133" i="8"/>
  <c r="CR133" i="8"/>
  <c r="CQ133" i="8" s="1"/>
  <c r="CP133" i="8"/>
  <c r="CO133" i="8" s="1"/>
  <c r="CN133" i="8"/>
  <c r="BU133" i="8"/>
  <c r="BR133" i="8"/>
  <c r="BQ133" i="8"/>
  <c r="BP133" i="8"/>
  <c r="BO133" i="8"/>
  <c r="BN133" i="8"/>
  <c r="BM133" i="8"/>
  <c r="BL133" i="8"/>
  <c r="BK133" i="8"/>
  <c r="BJ133" i="8"/>
  <c r="AU133" i="8"/>
  <c r="AD133" i="8"/>
  <c r="V133" i="8"/>
  <c r="U133" i="8"/>
  <c r="T133" i="8"/>
  <c r="DL132" i="8"/>
  <c r="CR132" i="8"/>
  <c r="CQ132" i="8" s="1"/>
  <c r="CP132" i="8"/>
  <c r="CN132" i="8"/>
  <c r="BX132" i="8"/>
  <c r="BU132" i="8"/>
  <c r="BR132" i="8"/>
  <c r="BQ132" i="8"/>
  <c r="BP132" i="8"/>
  <c r="BO132" i="8"/>
  <c r="BN132" i="8"/>
  <c r="BM132" i="8"/>
  <c r="BL132" i="8"/>
  <c r="BJ132" i="8"/>
  <c r="AU132" i="8"/>
  <c r="AD132" i="8"/>
  <c r="V132" i="8"/>
  <c r="T132" i="8"/>
  <c r="R132" i="8"/>
  <c r="CW132" i="8" s="1"/>
  <c r="DL131" i="8"/>
  <c r="CR131" i="8"/>
  <c r="CQ131" i="8" s="1"/>
  <c r="CP131" i="8"/>
  <c r="CO131" i="8" s="1"/>
  <c r="CN131" i="8"/>
  <c r="BX131" i="8"/>
  <c r="BU131" i="8"/>
  <c r="BR131" i="8"/>
  <c r="BQ131" i="8"/>
  <c r="BP131" i="8"/>
  <c r="BO131" i="8"/>
  <c r="BN131" i="8"/>
  <c r="BM131" i="8"/>
  <c r="BL131" i="8"/>
  <c r="BJ131" i="8"/>
  <c r="AU131" i="8"/>
  <c r="AG131" i="8"/>
  <c r="AD131" i="8"/>
  <c r="V131" i="8"/>
  <c r="T131" i="8"/>
  <c r="R131" i="8"/>
  <c r="CX131" i="8" s="1"/>
  <c r="DL130" i="8"/>
  <c r="CR130" i="8"/>
  <c r="CQ130" i="8" s="1"/>
  <c r="CP130" i="8"/>
  <c r="CO130" i="8" s="1"/>
  <c r="CN130" i="8"/>
  <c r="BU130" i="8"/>
  <c r="BR130" i="8"/>
  <c r="BQ130" i="8"/>
  <c r="BP130" i="8"/>
  <c r="BO130" i="8"/>
  <c r="BM130" i="8"/>
  <c r="BL130" i="8"/>
  <c r="BK130" i="8"/>
  <c r="BJ130" i="8"/>
  <c r="AU130" i="8"/>
  <c r="AD130" i="8"/>
  <c r="AC130" i="8" s="1"/>
  <c r="V130" i="8"/>
  <c r="T130" i="8"/>
  <c r="R130" i="8"/>
  <c r="DL129" i="8"/>
  <c r="CR129" i="8"/>
  <c r="CQ129" i="8" s="1"/>
  <c r="CP129" i="8"/>
  <c r="CO129" i="8" s="1"/>
  <c r="CN129" i="8"/>
  <c r="BU129" i="8"/>
  <c r="BR129" i="8"/>
  <c r="BQ129" i="8"/>
  <c r="BP129" i="8"/>
  <c r="BO129" i="8"/>
  <c r="BM129" i="8"/>
  <c r="BL129" i="8"/>
  <c r="BK129" i="8"/>
  <c r="BJ129" i="8"/>
  <c r="AU129" i="8"/>
  <c r="AD129" i="8"/>
  <c r="V129" i="8"/>
  <c r="T129" i="8"/>
  <c r="R129" i="8"/>
  <c r="DL128" i="8"/>
  <c r="CX128" i="8"/>
  <c r="CW128" i="8"/>
  <c r="CV128" i="8"/>
  <c r="CR128" i="8"/>
  <c r="CQ128" i="8" s="1"/>
  <c r="CP128" i="8"/>
  <c r="CN128" i="8"/>
  <c r="BX128" i="8"/>
  <c r="BU128" i="8"/>
  <c r="BR128" i="8"/>
  <c r="BQ128" i="8"/>
  <c r="BP128" i="8"/>
  <c r="BO128" i="8"/>
  <c r="BN128" i="8"/>
  <c r="BM128" i="8"/>
  <c r="BL128" i="8"/>
  <c r="BK128" i="8"/>
  <c r="BJ128" i="8"/>
  <c r="AU128" i="8"/>
  <c r="AG128" i="8"/>
  <c r="AD128" i="8"/>
  <c r="V128" i="8"/>
  <c r="U128" i="8"/>
  <c r="T128" i="8"/>
  <c r="DL115" i="8"/>
  <c r="CR115" i="8"/>
  <c r="CQ115" i="8" s="1"/>
  <c r="CP115" i="8"/>
  <c r="CO115" i="8" s="1"/>
  <c r="CN115" i="8"/>
  <c r="BR115" i="8"/>
  <c r="BQ115" i="8"/>
  <c r="BP115" i="8"/>
  <c r="BO115" i="8"/>
  <c r="BM115" i="8"/>
  <c r="BL115" i="8"/>
  <c r="BK115" i="8"/>
  <c r="BJ115" i="8"/>
  <c r="AU115" i="8"/>
  <c r="AR115" i="8"/>
  <c r="AD115" i="8"/>
  <c r="V115" i="8"/>
  <c r="T115" i="8"/>
  <c r="R115" i="8"/>
  <c r="BN115" i="8" s="1"/>
  <c r="DL114" i="8"/>
  <c r="CX114" i="8"/>
  <c r="CW114" i="8"/>
  <c r="CV114" i="8"/>
  <c r="CR114" i="8"/>
  <c r="CQ114" i="8" s="1"/>
  <c r="CP114" i="8"/>
  <c r="CO114" i="8" s="1"/>
  <c r="CN114" i="8"/>
  <c r="BX114" i="8"/>
  <c r="BU114" i="8"/>
  <c r="BR114" i="8"/>
  <c r="BQ114" i="8"/>
  <c r="BP114" i="8"/>
  <c r="BO114" i="8"/>
  <c r="BN114" i="8"/>
  <c r="BM114" i="8"/>
  <c r="BL114" i="8"/>
  <c r="BK114" i="8"/>
  <c r="BJ114" i="8"/>
  <c r="AU114" i="8"/>
  <c r="AD114" i="8"/>
  <c r="AC114" i="8" s="1"/>
  <c r="AI114" i="8" s="1"/>
  <c r="CZ114" i="8" s="1"/>
  <c r="V114" i="8"/>
  <c r="U114" i="8"/>
  <c r="T114" i="8"/>
  <c r="DL113" i="8"/>
  <c r="CX113" i="8"/>
  <c r="CW113" i="8"/>
  <c r="CV113" i="8"/>
  <c r="CR113" i="8"/>
  <c r="CQ113" i="8" s="1"/>
  <c r="CP113" i="8"/>
  <c r="CO113" i="8" s="1"/>
  <c r="CN113" i="8"/>
  <c r="BR113" i="8"/>
  <c r="BQ113" i="8"/>
  <c r="BP113" i="8"/>
  <c r="BO113" i="8"/>
  <c r="BN113" i="8"/>
  <c r="BM113" i="8"/>
  <c r="BL113" i="8"/>
  <c r="BK113" i="8"/>
  <c r="BJ113" i="8"/>
  <c r="AU113" i="8"/>
  <c r="AR113" i="8"/>
  <c r="AD113" i="8"/>
  <c r="V113" i="8"/>
  <c r="U113" i="8"/>
  <c r="T113" i="8"/>
  <c r="DL112" i="8"/>
  <c r="CX112" i="8"/>
  <c r="CW112" i="8"/>
  <c r="CV112" i="8"/>
  <c r="CR112" i="8"/>
  <c r="CQ112" i="8" s="1"/>
  <c r="CP112" i="8"/>
  <c r="CO112" i="8" s="1"/>
  <c r="CN112" i="8"/>
  <c r="BR112" i="8"/>
  <c r="BQ112" i="8"/>
  <c r="BP112" i="8"/>
  <c r="BO112" i="8"/>
  <c r="BN112" i="8"/>
  <c r="BM112" i="8"/>
  <c r="BL112" i="8"/>
  <c r="BK112" i="8"/>
  <c r="BJ112" i="8"/>
  <c r="AU112" i="8"/>
  <c r="AR112" i="8"/>
  <c r="AD112" i="8"/>
  <c r="AC112" i="8" s="1"/>
  <c r="AI112" i="8" s="1"/>
  <c r="V112" i="8"/>
  <c r="U112" i="8"/>
  <c r="T112" i="8"/>
  <c r="DL111" i="8"/>
  <c r="CX111" i="8"/>
  <c r="CW111" i="8"/>
  <c r="CV111" i="8"/>
  <c r="CR111" i="8"/>
  <c r="CQ111" i="8" s="1"/>
  <c r="CP111" i="8"/>
  <c r="CO111" i="8" s="1"/>
  <c r="CN111" i="8"/>
  <c r="BX111" i="8"/>
  <c r="BU111" i="8"/>
  <c r="BR111" i="8"/>
  <c r="BQ111" i="8"/>
  <c r="BP111" i="8"/>
  <c r="BO111" i="8"/>
  <c r="BN111" i="8"/>
  <c r="BM111" i="8"/>
  <c r="BL111" i="8"/>
  <c r="BK111" i="8"/>
  <c r="BJ111" i="8"/>
  <c r="AU111" i="8"/>
  <c r="AG111" i="8"/>
  <c r="AD111" i="8"/>
  <c r="V111" i="8"/>
  <c r="U111" i="8"/>
  <c r="T111" i="8"/>
  <c r="DL110" i="8"/>
  <c r="CP110" i="8"/>
  <c r="CM110" i="8"/>
  <c r="CN110" i="8" s="1"/>
  <c r="BT110" i="8"/>
  <c r="BR110" i="8"/>
  <c r="BQ110" i="8"/>
  <c r="BP110" i="8"/>
  <c r="BO110" i="8"/>
  <c r="BN110" i="8"/>
  <c r="BM110" i="8"/>
  <c r="BL110" i="8"/>
  <c r="BJ110" i="8"/>
  <c r="BH110" i="8"/>
  <c r="BG110" i="8"/>
  <c r="BF110" i="8"/>
  <c r="BE110" i="8"/>
  <c r="BD110" i="8"/>
  <c r="BC110" i="8"/>
  <c r="BB110" i="8"/>
  <c r="BA110" i="8"/>
  <c r="AZ110" i="8"/>
  <c r="AY110" i="8"/>
  <c r="AW110" i="8"/>
  <c r="AT110" i="8"/>
  <c r="AS110" i="8"/>
  <c r="AR110" i="8"/>
  <c r="AP110" i="8"/>
  <c r="BX110" i="8" s="1"/>
  <c r="AO110" i="8"/>
  <c r="AL110" i="8"/>
  <c r="AD110" i="8"/>
  <c r="V110" i="8"/>
  <c r="T110" i="8"/>
  <c r="R110" i="8"/>
  <c r="L110" i="8"/>
  <c r="J110" i="8"/>
  <c r="DL125" i="8"/>
  <c r="CX125" i="8"/>
  <c r="CW125" i="8"/>
  <c r="CV125" i="8"/>
  <c r="CR125" i="8"/>
  <c r="CP125" i="8"/>
  <c r="CN125" i="8"/>
  <c r="BR125" i="8"/>
  <c r="BQ125" i="8"/>
  <c r="BP125" i="8"/>
  <c r="BO125" i="8"/>
  <c r="BN125" i="8"/>
  <c r="BM125" i="8"/>
  <c r="BL125" i="8"/>
  <c r="BK125" i="8"/>
  <c r="BJ125" i="8"/>
  <c r="AU125" i="8"/>
  <c r="AR125" i="8"/>
  <c r="AD125" i="8"/>
  <c r="AC125" i="8" s="1"/>
  <c r="AI125" i="8" s="1"/>
  <c r="CZ125" i="8" s="1"/>
  <c r="V125" i="8"/>
  <c r="U125" i="8"/>
  <c r="T125" i="8"/>
  <c r="DL124" i="8"/>
  <c r="CX124" i="8"/>
  <c r="CW124" i="8"/>
  <c r="CV124" i="8"/>
  <c r="CR124" i="8"/>
  <c r="CP124" i="8"/>
  <c r="CO124" i="8" s="1"/>
  <c r="CS124" i="8" s="1"/>
  <c r="CN124" i="8"/>
  <c r="BX124" i="8"/>
  <c r="BR124" i="8"/>
  <c r="BQ124" i="8"/>
  <c r="BP124" i="8"/>
  <c r="BO124" i="8"/>
  <c r="BN124" i="8"/>
  <c r="BM124" i="8"/>
  <c r="BL124" i="8"/>
  <c r="BK124" i="8"/>
  <c r="BJ124" i="8"/>
  <c r="AU124" i="8"/>
  <c r="AR124" i="8"/>
  <c r="AF124" i="8"/>
  <c r="AD124" i="8" s="1"/>
  <c r="AC124" i="8" s="1"/>
  <c r="AI124" i="8" s="1"/>
  <c r="V124" i="8"/>
  <c r="U124" i="8"/>
  <c r="T124" i="8"/>
  <c r="DL123" i="8"/>
  <c r="CR123" i="8"/>
  <c r="CQ123" i="8" s="1"/>
  <c r="CP123" i="8"/>
  <c r="CO123" i="8" s="1"/>
  <c r="CN123" i="8"/>
  <c r="BX123" i="8"/>
  <c r="BR123" i="8"/>
  <c r="BQ123" i="8"/>
  <c r="BP123" i="8"/>
  <c r="BO123" i="8"/>
  <c r="BN123" i="8"/>
  <c r="BM123" i="8"/>
  <c r="BJ123" i="8"/>
  <c r="AU123" i="8"/>
  <c r="AR123" i="8"/>
  <c r="AR259" i="8" s="1"/>
  <c r="AR283" i="8" s="1"/>
  <c r="AD123" i="8"/>
  <c r="AC123" i="8" s="1"/>
  <c r="T123" i="8"/>
  <c r="S123" i="8"/>
  <c r="BL123" i="8" s="1"/>
  <c r="R123" i="8"/>
  <c r="DL122" i="8"/>
  <c r="CR122" i="8"/>
  <c r="CQ122" i="8" s="1"/>
  <c r="CP122" i="8"/>
  <c r="CO122" i="8" s="1"/>
  <c r="CN122" i="8"/>
  <c r="BR122" i="8"/>
  <c r="BQ122" i="8"/>
  <c r="BP122" i="8"/>
  <c r="BO122" i="8"/>
  <c r="BM122" i="8"/>
  <c r="BL122" i="8"/>
  <c r="BK122" i="8"/>
  <c r="BJ122" i="8"/>
  <c r="AU122" i="8"/>
  <c r="AR122" i="8"/>
  <c r="AD122" i="8"/>
  <c r="AC122" i="8" s="1"/>
  <c r="V122" i="8"/>
  <c r="T122" i="8"/>
  <c r="R122" i="8"/>
  <c r="DL121" i="8"/>
  <c r="CX121" i="8"/>
  <c r="CW121" i="8"/>
  <c r="CV121" i="8"/>
  <c r="CR121" i="8"/>
  <c r="CQ121" i="8" s="1"/>
  <c r="CP121" i="8"/>
  <c r="CN121" i="8"/>
  <c r="BX121" i="8"/>
  <c r="BU121" i="8"/>
  <c r="BR121" i="8"/>
  <c r="BQ121" i="8"/>
  <c r="BP121" i="8"/>
  <c r="BO121" i="8"/>
  <c r="BN121" i="8"/>
  <c r="BM121" i="8"/>
  <c r="BL121" i="8"/>
  <c r="BK121" i="8"/>
  <c r="BJ121" i="8"/>
  <c r="AU121" i="8"/>
  <c r="AD121" i="8"/>
  <c r="V121" i="8"/>
  <c r="U121" i="8"/>
  <c r="T121" i="8"/>
  <c r="DL120" i="8"/>
  <c r="CX120" i="8"/>
  <c r="CW120" i="8"/>
  <c r="CV120" i="8"/>
  <c r="CR120" i="8"/>
  <c r="CP120" i="8"/>
  <c r="CO120" i="8" s="1"/>
  <c r="CS120" i="8" s="1"/>
  <c r="CN120" i="8"/>
  <c r="BR120" i="8"/>
  <c r="BQ120" i="8"/>
  <c r="BP120" i="8"/>
  <c r="BO120" i="8"/>
  <c r="BN120" i="8"/>
  <c r="BM120" i="8"/>
  <c r="BL120" i="8"/>
  <c r="BK120" i="8"/>
  <c r="BJ120" i="8"/>
  <c r="AU120" i="8"/>
  <c r="AR120" i="8"/>
  <c r="AD120" i="8"/>
  <c r="V120" i="8"/>
  <c r="U120" i="8"/>
  <c r="T120" i="8"/>
  <c r="DL119" i="8"/>
  <c r="CR119" i="8"/>
  <c r="CQ119" i="8" s="1"/>
  <c r="CP119" i="8"/>
  <c r="CO119" i="8" s="1"/>
  <c r="CN119" i="8"/>
  <c r="BU119" i="8"/>
  <c r="BR119" i="8"/>
  <c r="BQ119" i="8"/>
  <c r="BP119" i="8"/>
  <c r="BM119" i="8"/>
  <c r="BL119" i="8"/>
  <c r="BK119" i="8"/>
  <c r="BJ119" i="8"/>
  <c r="AU119" i="8"/>
  <c r="AD119" i="8"/>
  <c r="AC119" i="8" s="1"/>
  <c r="S119" i="8"/>
  <c r="R119" i="8"/>
  <c r="N119" i="8"/>
  <c r="DL118" i="8"/>
  <c r="CX118" i="8"/>
  <c r="CW118" i="8"/>
  <c r="CV118" i="8"/>
  <c r="CR118" i="8"/>
  <c r="CQ118" i="8" s="1"/>
  <c r="CP118" i="8"/>
  <c r="CO118" i="8" s="1"/>
  <c r="CN118" i="8"/>
  <c r="BR118" i="8"/>
  <c r="BQ118" i="8"/>
  <c r="BP118" i="8"/>
  <c r="BO118" i="8"/>
  <c r="BN118" i="8"/>
  <c r="BM118" i="8"/>
  <c r="BL118" i="8"/>
  <c r="BK118" i="8"/>
  <c r="BJ118" i="8"/>
  <c r="AU118" i="8"/>
  <c r="AR118" i="8"/>
  <c r="AD118" i="8"/>
  <c r="AC118" i="8" s="1"/>
  <c r="AI118" i="8" s="1"/>
  <c r="CZ118" i="8" s="1"/>
  <c r="V118" i="8"/>
  <c r="U118" i="8"/>
  <c r="T118" i="8"/>
  <c r="DL117" i="8"/>
  <c r="CX117" i="8"/>
  <c r="CW117" i="8"/>
  <c r="CV117" i="8"/>
  <c r="CR117" i="8"/>
  <c r="CQ117" i="8" s="1"/>
  <c r="CP117" i="8"/>
  <c r="CO117" i="8" s="1"/>
  <c r="CN117" i="8"/>
  <c r="BX117" i="8"/>
  <c r="BR117" i="8"/>
  <c r="BQ117" i="8"/>
  <c r="BP117" i="8"/>
  <c r="BO117" i="8"/>
  <c r="BN117" i="8"/>
  <c r="BM117" i="8"/>
  <c r="BL117" i="8"/>
  <c r="BK117" i="8"/>
  <c r="BJ117" i="8"/>
  <c r="AU117" i="8"/>
  <c r="AD117" i="8"/>
  <c r="AC117" i="8" s="1"/>
  <c r="AI117" i="8" s="1"/>
  <c r="CY117" i="8" s="1"/>
  <c r="V117" i="8"/>
  <c r="U117" i="8"/>
  <c r="T117" i="8"/>
  <c r="DL116" i="8"/>
  <c r="CX116" i="8"/>
  <c r="CW116" i="8"/>
  <c r="CV116" i="8"/>
  <c r="CR116" i="8"/>
  <c r="CQ116" i="8" s="1"/>
  <c r="CP116" i="8"/>
  <c r="CO116" i="8" s="1"/>
  <c r="CN116" i="8"/>
  <c r="BX116" i="8"/>
  <c r="BU116" i="8"/>
  <c r="BR116" i="8"/>
  <c r="BQ116" i="8"/>
  <c r="BP116" i="8"/>
  <c r="BO116" i="8"/>
  <c r="BN116" i="8"/>
  <c r="BM116" i="8"/>
  <c r="BL116" i="8"/>
  <c r="BK116" i="8"/>
  <c r="BJ116" i="8"/>
  <c r="AU116" i="8"/>
  <c r="AD116" i="8"/>
  <c r="AC116" i="8" s="1"/>
  <c r="AI116" i="8" s="1"/>
  <c r="DA116" i="8" s="1"/>
  <c r="V116" i="8"/>
  <c r="U116" i="8"/>
  <c r="T116" i="8"/>
  <c r="DL109" i="8"/>
  <c r="CX109" i="8"/>
  <c r="CW109" i="8"/>
  <c r="CV109" i="8"/>
  <c r="CR109" i="8"/>
  <c r="CQ109" i="8" s="1"/>
  <c r="CP109" i="8"/>
  <c r="CO109" i="8" s="1"/>
  <c r="CN109" i="8"/>
  <c r="BX109" i="8"/>
  <c r="BR109" i="8"/>
  <c r="BQ109" i="8"/>
  <c r="BP109" i="8"/>
  <c r="BO109" i="8"/>
  <c r="BN109" i="8"/>
  <c r="BM109" i="8"/>
  <c r="BL109" i="8"/>
  <c r="BK109" i="8"/>
  <c r="BJ109" i="8"/>
  <c r="AU109" i="8"/>
  <c r="AR109" i="8"/>
  <c r="AD109" i="8"/>
  <c r="V109" i="8"/>
  <c r="U109" i="8"/>
  <c r="T109" i="8"/>
  <c r="DL108" i="8"/>
  <c r="CX108" i="8"/>
  <c r="CW108" i="8"/>
  <c r="CV108" i="8"/>
  <c r="CR108" i="8"/>
  <c r="CQ108" i="8" s="1"/>
  <c r="CP108" i="8"/>
  <c r="CO108" i="8" s="1"/>
  <c r="CN108" i="8"/>
  <c r="BR108" i="8"/>
  <c r="BQ108" i="8"/>
  <c r="BP108" i="8"/>
  <c r="BO108" i="8"/>
  <c r="BN108" i="8"/>
  <c r="BM108" i="8"/>
  <c r="BL108" i="8"/>
  <c r="BK108" i="8"/>
  <c r="BJ108" i="8"/>
  <c r="AU108" i="8"/>
  <c r="AR108" i="8"/>
  <c r="AP108" i="8"/>
  <c r="BX108" i="8" s="1"/>
  <c r="AL108" i="8"/>
  <c r="AD108" i="8"/>
  <c r="V108" i="8"/>
  <c r="U108" i="8"/>
  <c r="T108" i="8"/>
  <c r="L108" i="8"/>
  <c r="DL107" i="8"/>
  <c r="CX107" i="8"/>
  <c r="CW107" i="8"/>
  <c r="CV107" i="8"/>
  <c r="CR107" i="8"/>
  <c r="CQ107" i="8" s="1"/>
  <c r="CP107" i="8"/>
  <c r="CO107" i="8" s="1"/>
  <c r="CN107" i="8"/>
  <c r="BR107" i="8"/>
  <c r="BQ107" i="8"/>
  <c r="BP107" i="8"/>
  <c r="BO107" i="8"/>
  <c r="BN107" i="8"/>
  <c r="BM107" i="8"/>
  <c r="BL107" i="8"/>
  <c r="BK107" i="8"/>
  <c r="BJ107" i="8"/>
  <c r="AU107" i="8"/>
  <c r="AR107" i="8"/>
  <c r="AD107" i="8"/>
  <c r="V107" i="8"/>
  <c r="U107" i="8"/>
  <c r="T107" i="8"/>
  <c r="DL106" i="8"/>
  <c r="CR106" i="8"/>
  <c r="CQ106" i="8" s="1"/>
  <c r="CP106" i="8"/>
  <c r="CN106" i="8"/>
  <c r="BR106" i="8"/>
  <c r="BQ106" i="8"/>
  <c r="BP106" i="8"/>
  <c r="BO106" i="8"/>
  <c r="BM106" i="8"/>
  <c r="BL106" i="8"/>
  <c r="BK106" i="8"/>
  <c r="BJ106" i="8"/>
  <c r="AU106" i="8"/>
  <c r="AR106" i="8"/>
  <c r="AD106" i="8"/>
  <c r="V106" i="8"/>
  <c r="T106" i="8"/>
  <c r="R106" i="8"/>
  <c r="DL105" i="8"/>
  <c r="CX105" i="8"/>
  <c r="CW105" i="8"/>
  <c r="CV105" i="8"/>
  <c r="CR105" i="8"/>
  <c r="CQ105" i="8" s="1"/>
  <c r="CP105" i="8"/>
  <c r="CO105" i="8" s="1"/>
  <c r="CN105" i="8"/>
  <c r="BR105" i="8"/>
  <c r="BQ105" i="8"/>
  <c r="BP105" i="8"/>
  <c r="BO105" i="8"/>
  <c r="BN105" i="8"/>
  <c r="BM105" i="8"/>
  <c r="BL105" i="8"/>
  <c r="BK105" i="8"/>
  <c r="BJ105" i="8"/>
  <c r="AU105" i="8"/>
  <c r="AR105" i="8"/>
  <c r="AD105" i="8"/>
  <c r="V105" i="8"/>
  <c r="U105" i="8"/>
  <c r="T105" i="8"/>
  <c r="DL104" i="8"/>
  <c r="CX104" i="8"/>
  <c r="CW104" i="8"/>
  <c r="CV104" i="8"/>
  <c r="CR104" i="8"/>
  <c r="CQ104" i="8" s="1"/>
  <c r="CP104" i="8"/>
  <c r="CN104" i="8"/>
  <c r="BR104" i="8"/>
  <c r="BQ104" i="8"/>
  <c r="BP104" i="8"/>
  <c r="BO104" i="8"/>
  <c r="BN104" i="8"/>
  <c r="BM104" i="8"/>
  <c r="BL104" i="8"/>
  <c r="BK104" i="8"/>
  <c r="BJ104" i="8"/>
  <c r="AU104" i="8"/>
  <c r="AR104" i="8"/>
  <c r="AD104" i="8"/>
  <c r="AC104" i="8" s="1"/>
  <c r="AI104" i="8" s="1"/>
  <c r="CY104" i="8" s="1"/>
  <c r="V104" i="8"/>
  <c r="U104" i="8"/>
  <c r="T104" i="8"/>
  <c r="DL103" i="8"/>
  <c r="CX103" i="8"/>
  <c r="CW103" i="8"/>
  <c r="CV103" i="8"/>
  <c r="CP103" i="8"/>
  <c r="CO103" i="8" s="1"/>
  <c r="CM103" i="8"/>
  <c r="BT103" i="8"/>
  <c r="BR103" i="8"/>
  <c r="BQ103" i="8"/>
  <c r="BP103" i="8"/>
  <c r="BO103" i="8"/>
  <c r="BN103" i="8"/>
  <c r="BM103" i="8"/>
  <c r="BL103" i="8"/>
  <c r="BK103" i="8"/>
  <c r="BJ103" i="8"/>
  <c r="BH103" i="8"/>
  <c r="BG103" i="8"/>
  <c r="BF103" i="8"/>
  <c r="BE103" i="8"/>
  <c r="BD103" i="8"/>
  <c r="BC103" i="8"/>
  <c r="BB103" i="8"/>
  <c r="BA103" i="8"/>
  <c r="AZ103" i="8"/>
  <c r="AY103" i="8"/>
  <c r="AW103" i="8"/>
  <c r="AT103" i="8"/>
  <c r="AS103" i="8"/>
  <c r="AR103" i="8"/>
  <c r="AP103" i="8"/>
  <c r="BX103" i="8" s="1"/>
  <c r="AO103" i="8"/>
  <c r="AL103" i="8"/>
  <c r="AD103" i="8"/>
  <c r="V103" i="8"/>
  <c r="U103" i="8"/>
  <c r="T103" i="8"/>
  <c r="L103" i="8"/>
  <c r="K103" i="8"/>
  <c r="J103" i="8"/>
  <c r="DL102" i="8"/>
  <c r="CX102" i="8"/>
  <c r="CW102" i="8"/>
  <c r="CV102" i="8"/>
  <c r="CR102" i="8"/>
  <c r="CQ102" i="8" s="1"/>
  <c r="CP102" i="8"/>
  <c r="CN102" i="8"/>
  <c r="BR102" i="8"/>
  <c r="BQ102" i="8"/>
  <c r="BP102" i="8"/>
  <c r="BO102" i="8"/>
  <c r="BN102" i="8"/>
  <c r="BM102" i="8"/>
  <c r="BL102" i="8"/>
  <c r="BK102" i="8"/>
  <c r="BJ102" i="8"/>
  <c r="AU102" i="8"/>
  <c r="AR102" i="8"/>
  <c r="AD102" i="8"/>
  <c r="AC102" i="8" s="1"/>
  <c r="AI102" i="8" s="1"/>
  <c r="CY102" i="8" s="1"/>
  <c r="V102" i="8"/>
  <c r="U102" i="8"/>
  <c r="T102" i="8"/>
  <c r="DL101" i="8"/>
  <c r="CR101" i="8"/>
  <c r="CQ101" i="8" s="1"/>
  <c r="CP101" i="8"/>
  <c r="CO101" i="8" s="1"/>
  <c r="CN101" i="8"/>
  <c r="BR101" i="8"/>
  <c r="BQ101" i="8"/>
  <c r="BP101" i="8"/>
  <c r="BO101" i="8"/>
  <c r="BM101" i="8"/>
  <c r="BL101" i="8"/>
  <c r="BK101" i="8"/>
  <c r="BJ101" i="8"/>
  <c r="AU101" i="8"/>
  <c r="AR101" i="8"/>
  <c r="AD101" i="8"/>
  <c r="AC101" i="8" s="1"/>
  <c r="V101" i="8"/>
  <c r="T101" i="8"/>
  <c r="R101" i="8"/>
  <c r="DL100" i="8"/>
  <c r="CR100" i="8"/>
  <c r="CQ100" i="8" s="1"/>
  <c r="CP100" i="8"/>
  <c r="CN100" i="8"/>
  <c r="BR100" i="8"/>
  <c r="BQ100" i="8"/>
  <c r="BP100" i="8"/>
  <c r="BO100" i="8"/>
  <c r="BM100" i="8"/>
  <c r="BL100" i="8"/>
  <c r="BK100" i="8"/>
  <c r="BJ100" i="8"/>
  <c r="AU100" i="8"/>
  <c r="AR100" i="8"/>
  <c r="AG100" i="8"/>
  <c r="AD100" i="8"/>
  <c r="V100" i="8"/>
  <c r="R100" i="8"/>
  <c r="CX100" i="8" s="1"/>
  <c r="O100" i="8"/>
  <c r="N100" i="8"/>
  <c r="T100" i="8" s="1"/>
  <c r="DL99" i="8"/>
  <c r="CX99" i="8"/>
  <c r="CW99" i="8"/>
  <c r="CV99" i="8"/>
  <c r="CR99" i="8"/>
  <c r="CQ99" i="8" s="1"/>
  <c r="CP99" i="8"/>
  <c r="CO99" i="8" s="1"/>
  <c r="CN99" i="8"/>
  <c r="BR99" i="8"/>
  <c r="BQ99" i="8"/>
  <c r="BP99" i="8"/>
  <c r="BO99" i="8"/>
  <c r="BN99" i="8"/>
  <c r="BM99" i="8"/>
  <c r="BL99" i="8"/>
  <c r="BK99" i="8"/>
  <c r="BJ99" i="8"/>
  <c r="AU99" i="8"/>
  <c r="AR99" i="8"/>
  <c r="AD99" i="8"/>
  <c r="V99" i="8"/>
  <c r="U99" i="8"/>
  <c r="T99" i="8"/>
  <c r="DL98" i="8"/>
  <c r="CX98" i="8"/>
  <c r="CW98" i="8"/>
  <c r="CV98" i="8"/>
  <c r="CR98" i="8"/>
  <c r="CP98" i="8"/>
  <c r="CO98" i="8" s="1"/>
  <c r="CS98" i="8" s="1"/>
  <c r="CN98" i="8"/>
  <c r="BR98" i="8"/>
  <c r="BQ98" i="8"/>
  <c r="BP98" i="8"/>
  <c r="BO98" i="8"/>
  <c r="BN98" i="8"/>
  <c r="BM98" i="8"/>
  <c r="BL98" i="8"/>
  <c r="BK98" i="8"/>
  <c r="BJ98" i="8"/>
  <c r="AU98" i="8"/>
  <c r="AR98" i="8"/>
  <c r="AD98" i="8"/>
  <c r="AC98" i="8" s="1"/>
  <c r="AI98" i="8" s="1"/>
  <c r="V98" i="8"/>
  <c r="U98" i="8"/>
  <c r="T98" i="8"/>
  <c r="DL97" i="8"/>
  <c r="CR97" i="8"/>
  <c r="CQ97" i="8" s="1"/>
  <c r="CP97" i="8"/>
  <c r="CO97" i="8" s="1"/>
  <c r="CN97" i="8"/>
  <c r="BX97" i="8"/>
  <c r="BR97" i="8"/>
  <c r="BQ97" i="8"/>
  <c r="BP97" i="8"/>
  <c r="BO97" i="8"/>
  <c r="BN97" i="8"/>
  <c r="BM97" i="8"/>
  <c r="BL97" i="8"/>
  <c r="BJ97" i="8"/>
  <c r="BE97" i="8"/>
  <c r="BD97" i="8"/>
  <c r="AU97" i="8"/>
  <c r="AR97" i="8"/>
  <c r="AD97" i="8"/>
  <c r="V97" i="8"/>
  <c r="T97" i="8"/>
  <c r="R97" i="8"/>
  <c r="CW97" i="8" s="1"/>
  <c r="DL96" i="8"/>
  <c r="CP96" i="8"/>
  <c r="BT96" i="8"/>
  <c r="BR96" i="8"/>
  <c r="BQ96" i="8"/>
  <c r="BP96" i="8"/>
  <c r="BO96" i="8"/>
  <c r="BN96" i="8"/>
  <c r="BM96" i="8"/>
  <c r="BL96" i="8"/>
  <c r="BJ96" i="8"/>
  <c r="BH96" i="8"/>
  <c r="BG96" i="8"/>
  <c r="BF96" i="8"/>
  <c r="BA96" i="8"/>
  <c r="AZ96" i="8"/>
  <c r="AY96" i="8"/>
  <c r="AW96" i="8"/>
  <c r="CR96" i="8" s="1"/>
  <c r="CQ96" i="8" s="1"/>
  <c r="AT96" i="8"/>
  <c r="AS96" i="8"/>
  <c r="AR96" i="8"/>
  <c r="AP96" i="8"/>
  <c r="BX96" i="8" s="1"/>
  <c r="AO96" i="8"/>
  <c r="AL96" i="8"/>
  <c r="AG96" i="8"/>
  <c r="AF96" i="8"/>
  <c r="AD96" i="8" s="1"/>
  <c r="V96" i="8"/>
  <c r="R96" i="8"/>
  <c r="CX96" i="8" s="1"/>
  <c r="O96" i="8"/>
  <c r="N96" i="8"/>
  <c r="T96" i="8" s="1"/>
  <c r="L96" i="8"/>
  <c r="K96" i="8"/>
  <c r="CN96" i="8" s="1"/>
  <c r="EC95" i="8"/>
  <c r="DL95" i="8"/>
  <c r="CR95" i="8"/>
  <c r="CQ95" i="8" s="1"/>
  <c r="CP95" i="8"/>
  <c r="CO95" i="8" s="1"/>
  <c r="CN95" i="8"/>
  <c r="BX95" i="8"/>
  <c r="BU95" i="8"/>
  <c r="BR95" i="8"/>
  <c r="BQ95" i="8"/>
  <c r="BP95" i="8"/>
  <c r="BO95" i="8"/>
  <c r="BN95" i="8"/>
  <c r="BM95" i="8"/>
  <c r="BL95" i="8"/>
  <c r="BJ95" i="8"/>
  <c r="AU95" i="8"/>
  <c r="AG95" i="8"/>
  <c r="AF95" i="8"/>
  <c r="AD95" i="8" s="1"/>
  <c r="V95" i="8"/>
  <c r="R95" i="8"/>
  <c r="U95" i="8" s="1"/>
  <c r="O95" i="8"/>
  <c r="N95" i="8"/>
  <c r="EC94" i="8"/>
  <c r="DL94" i="8"/>
  <c r="CR94" i="8"/>
  <c r="CQ94" i="8" s="1"/>
  <c r="CP94" i="8"/>
  <c r="CO94" i="8" s="1"/>
  <c r="CN94" i="8"/>
  <c r="BX94" i="8"/>
  <c r="BU94" i="8"/>
  <c r="BR94" i="8"/>
  <c r="BQ94" i="8"/>
  <c r="BP94" i="8"/>
  <c r="BO94" i="8"/>
  <c r="BN94" i="8"/>
  <c r="BM94" i="8"/>
  <c r="BL94" i="8"/>
  <c r="BJ94" i="8"/>
  <c r="AU94" i="8"/>
  <c r="AG94" i="8"/>
  <c r="AD94" i="8"/>
  <c r="V94" i="8"/>
  <c r="R94" i="8"/>
  <c r="U94" i="8" s="1"/>
  <c r="O94" i="8"/>
  <c r="N94" i="8"/>
  <c r="T94" i="8" s="1"/>
  <c r="DL93" i="8"/>
  <c r="CP93" i="8"/>
  <c r="CO93" i="8" s="1"/>
  <c r="CM93" i="8"/>
  <c r="CN93" i="8" s="1"/>
  <c r="BW93" i="8"/>
  <c r="BU93" i="8"/>
  <c r="BT93" i="8"/>
  <c r="BR93" i="8"/>
  <c r="BQ93" i="8"/>
  <c r="BP93" i="8"/>
  <c r="BO93" i="8"/>
  <c r="BN93" i="8"/>
  <c r="BM93" i="8"/>
  <c r="BJ93" i="8"/>
  <c r="BH93" i="8"/>
  <c r="BG93" i="8"/>
  <c r="BF93" i="8"/>
  <c r="BE93" i="8"/>
  <c r="BD93" i="8"/>
  <c r="BC93" i="8"/>
  <c r="BB93" i="8"/>
  <c r="BA93" i="8"/>
  <c r="AZ93" i="8"/>
  <c r="AY93" i="8"/>
  <c r="AW93" i="8"/>
  <c r="AT93" i="8"/>
  <c r="AS93" i="8"/>
  <c r="AR93" i="8"/>
  <c r="AP93" i="8"/>
  <c r="BX93" i="8" s="1"/>
  <c r="AO93" i="8"/>
  <c r="AL93" i="8"/>
  <c r="AH93" i="8"/>
  <c r="AG93" i="8"/>
  <c r="AF93" i="8"/>
  <c r="AD93" i="8" s="1"/>
  <c r="T93" i="8"/>
  <c r="S93" i="8"/>
  <c r="S251" i="8" s="1"/>
  <c r="S275" i="8" s="1"/>
  <c r="R93" i="8"/>
  <c r="CW93" i="8" s="1"/>
  <c r="L93" i="8"/>
  <c r="DL92" i="8"/>
  <c r="CX92" i="8"/>
  <c r="CW92" i="8"/>
  <c r="CV92" i="8"/>
  <c r="CP92" i="8"/>
  <c r="CO92" i="8" s="1"/>
  <c r="CN92" i="8"/>
  <c r="BR92" i="8"/>
  <c r="BQ92" i="8"/>
  <c r="BP92" i="8"/>
  <c r="BO92" i="8"/>
  <c r="BN92" i="8"/>
  <c r="BM92" i="8"/>
  <c r="BL92" i="8"/>
  <c r="BK92" i="8"/>
  <c r="BJ92" i="8"/>
  <c r="BH92" i="8"/>
  <c r="BG92" i="8"/>
  <c r="BF92" i="8"/>
  <c r="BE92" i="8"/>
  <c r="BD92" i="8"/>
  <c r="BC92" i="8"/>
  <c r="BB92" i="8"/>
  <c r="BA92" i="8"/>
  <c r="AZ92" i="8"/>
  <c r="AW92" i="8"/>
  <c r="AT92" i="8"/>
  <c r="AS92" i="8"/>
  <c r="AR92" i="8"/>
  <c r="AP92" i="8"/>
  <c r="BX92" i="8" s="1"/>
  <c r="AD92" i="8"/>
  <c r="AC92" i="8" s="1"/>
  <c r="AI92" i="8" s="1"/>
  <c r="V92" i="8"/>
  <c r="U92" i="8"/>
  <c r="T92" i="8"/>
  <c r="L92" i="8"/>
  <c r="J92" i="8"/>
  <c r="DL91" i="8"/>
  <c r="CX91" i="8"/>
  <c r="CW91" i="8"/>
  <c r="CV91" i="8"/>
  <c r="CP91" i="8"/>
  <c r="CO91" i="8" s="1"/>
  <c r="CM91" i="8"/>
  <c r="CN91" i="8" s="1"/>
  <c r="BT91" i="8"/>
  <c r="BR91" i="8"/>
  <c r="BQ91" i="8"/>
  <c r="BP91" i="8"/>
  <c r="BO91" i="8"/>
  <c r="BN91" i="8"/>
  <c r="BM91" i="8"/>
  <c r="BL91" i="8"/>
  <c r="BK91" i="8"/>
  <c r="BJ91" i="8"/>
  <c r="BH91" i="8"/>
  <c r="BG91" i="8"/>
  <c r="BF91" i="8"/>
  <c r="BE91" i="8"/>
  <c r="BD91" i="8"/>
  <c r="BC91" i="8"/>
  <c r="BB91" i="8"/>
  <c r="BA91" i="8"/>
  <c r="AZ91" i="8"/>
  <c r="AY91" i="8"/>
  <c r="AW91" i="8"/>
  <c r="AU91" i="8" s="1"/>
  <c r="AT91" i="8"/>
  <c r="AS91" i="8"/>
  <c r="AR91" i="8"/>
  <c r="AP91" i="8"/>
  <c r="BX91" i="8" s="1"/>
  <c r="AO91" i="8"/>
  <c r="AL91" i="8"/>
  <c r="AD91" i="8"/>
  <c r="V91" i="8"/>
  <c r="U91" i="8"/>
  <c r="T91" i="8"/>
  <c r="L91" i="8"/>
  <c r="EC90" i="8"/>
  <c r="DL90" i="8"/>
  <c r="CR90" i="8"/>
  <c r="CQ90" i="8" s="1"/>
  <c r="CP90" i="8"/>
  <c r="CN90" i="8"/>
  <c r="BX90" i="8"/>
  <c r="BU90" i="8"/>
  <c r="BR90" i="8"/>
  <c r="BQ90" i="8"/>
  <c r="BP90" i="8"/>
  <c r="BO90" i="8"/>
  <c r="BN90" i="8"/>
  <c r="BM90" i="8"/>
  <c r="BL90" i="8"/>
  <c r="BJ90" i="8"/>
  <c r="AU90" i="8"/>
  <c r="AG90" i="8"/>
  <c r="AF90" i="8"/>
  <c r="AD90" i="8" s="1"/>
  <c r="V90" i="8"/>
  <c r="T90" i="8"/>
  <c r="R90" i="8"/>
  <c r="DL89" i="8"/>
  <c r="CR89" i="8"/>
  <c r="CQ89" i="8" s="1"/>
  <c r="CP89" i="8"/>
  <c r="CN89" i="8"/>
  <c r="BX89" i="8"/>
  <c r="BU89" i="8"/>
  <c r="BR89" i="8"/>
  <c r="BQ89" i="8"/>
  <c r="BP89" i="8"/>
  <c r="BO89" i="8"/>
  <c r="BN89" i="8"/>
  <c r="BM89" i="8"/>
  <c r="BL89" i="8"/>
  <c r="BJ89" i="8"/>
  <c r="BE89" i="8"/>
  <c r="BD89" i="8"/>
  <c r="AU89" i="8"/>
  <c r="AG89" i="8"/>
  <c r="AD89" i="8"/>
  <c r="V89" i="8"/>
  <c r="T89" i="8"/>
  <c r="R89" i="8"/>
  <c r="CV89" i="8" s="1"/>
  <c r="EC88" i="8"/>
  <c r="DL88" i="8"/>
  <c r="CR88" i="8"/>
  <c r="CQ88" i="8" s="1"/>
  <c r="CP88" i="8"/>
  <c r="CO88" i="8" s="1"/>
  <c r="CN88" i="8"/>
  <c r="BX88" i="8"/>
  <c r="BU88" i="8"/>
  <c r="BR88" i="8"/>
  <c r="BQ88" i="8"/>
  <c r="BP88" i="8"/>
  <c r="BO88" i="8"/>
  <c r="BN88" i="8"/>
  <c r="BM88" i="8"/>
  <c r="BL88" i="8"/>
  <c r="BJ88" i="8"/>
  <c r="AU88" i="8"/>
  <c r="AF88" i="8"/>
  <c r="AD88" i="8" s="1"/>
  <c r="AC88" i="8" s="1"/>
  <c r="V88" i="8"/>
  <c r="R88" i="8"/>
  <c r="CV88" i="8" s="1"/>
  <c r="O88" i="8"/>
  <c r="N88" i="8"/>
  <c r="T88" i="8" s="1"/>
  <c r="DL87" i="8"/>
  <c r="CX87" i="8"/>
  <c r="CW87" i="8"/>
  <c r="CV87" i="8"/>
  <c r="CR87" i="8"/>
  <c r="CQ87" i="8" s="1"/>
  <c r="CP87" i="8"/>
  <c r="CO87" i="8" s="1"/>
  <c r="CN87" i="8"/>
  <c r="BX87" i="8"/>
  <c r="BU87" i="8"/>
  <c r="BR87" i="8"/>
  <c r="BQ87" i="8"/>
  <c r="BP87" i="8"/>
  <c r="BO87" i="8"/>
  <c r="BN87" i="8"/>
  <c r="BM87" i="8"/>
  <c r="BL87" i="8"/>
  <c r="BK87" i="8"/>
  <c r="BJ87" i="8"/>
  <c r="AU87" i="8"/>
  <c r="AF87" i="8"/>
  <c r="AD87" i="8" s="1"/>
  <c r="AC87" i="8" s="1"/>
  <c r="AI87" i="8" s="1"/>
  <c r="V87" i="8"/>
  <c r="U87" i="8"/>
  <c r="T87" i="8"/>
  <c r="DL86" i="8"/>
  <c r="CR86" i="8"/>
  <c r="CQ86" i="8" s="1"/>
  <c r="CP86" i="8"/>
  <c r="CO86" i="8" s="1"/>
  <c r="CN86" i="8"/>
  <c r="BX86" i="8"/>
  <c r="BU86" i="8"/>
  <c r="BR86" i="8"/>
  <c r="BQ86" i="8"/>
  <c r="BP86" i="8"/>
  <c r="BO86" i="8"/>
  <c r="BN86" i="8"/>
  <c r="BM86" i="8"/>
  <c r="BL86" i="8"/>
  <c r="BJ86" i="8"/>
  <c r="AU86" i="8"/>
  <c r="AD86" i="8"/>
  <c r="AC86" i="8" s="1"/>
  <c r="V86" i="8"/>
  <c r="T86" i="8"/>
  <c r="R86" i="8"/>
  <c r="CW86" i="8" s="1"/>
  <c r="EC85" i="8"/>
  <c r="DL85" i="8"/>
  <c r="CX85" i="8"/>
  <c r="CW85" i="8"/>
  <c r="CV85" i="8"/>
  <c r="CP85" i="8"/>
  <c r="CN85" i="8"/>
  <c r="BX85" i="8"/>
  <c r="BU85" i="8"/>
  <c r="BR85" i="8"/>
  <c r="BQ85" i="8"/>
  <c r="BP85" i="8"/>
  <c r="BO85" i="8"/>
  <c r="BN85" i="8"/>
  <c r="BM85" i="8"/>
  <c r="BL85" i="8"/>
  <c r="BK85" i="8"/>
  <c r="BJ85" i="8"/>
  <c r="BG85" i="8"/>
  <c r="BE85" i="8"/>
  <c r="BE256" i="8" s="1"/>
  <c r="BE280" i="8" s="1"/>
  <c r="BD85" i="8"/>
  <c r="AW85" i="8"/>
  <c r="AD85" i="8"/>
  <c r="V85" i="8"/>
  <c r="U85" i="8"/>
  <c r="T85" i="8"/>
  <c r="EC84" i="8"/>
  <c r="DL84" i="8"/>
  <c r="CR84" i="8"/>
  <c r="CQ84" i="8" s="1"/>
  <c r="CP84" i="8"/>
  <c r="CO84" i="8" s="1"/>
  <c r="CN84" i="8"/>
  <c r="BX84" i="8"/>
  <c r="BU84" i="8"/>
  <c r="BR84" i="8"/>
  <c r="BQ84" i="8"/>
  <c r="BP84" i="8"/>
  <c r="BO84" i="8"/>
  <c r="BN84" i="8"/>
  <c r="BM84" i="8"/>
  <c r="BL84" i="8"/>
  <c r="BJ84" i="8"/>
  <c r="AU84" i="8"/>
  <c r="AG84" i="8"/>
  <c r="AF84" i="8"/>
  <c r="AD84" i="8" s="1"/>
  <c r="V84" i="8"/>
  <c r="T84" i="8"/>
  <c r="R84" i="8"/>
  <c r="CW84" i="8" s="1"/>
  <c r="EC83" i="8"/>
  <c r="DL83" i="8"/>
  <c r="CR83" i="8"/>
  <c r="CQ83" i="8" s="1"/>
  <c r="CP83" i="8"/>
  <c r="CO83" i="8" s="1"/>
  <c r="CN83" i="8"/>
  <c r="BX83" i="8"/>
  <c r="BU83" i="8"/>
  <c r="BR83" i="8"/>
  <c r="BQ83" i="8"/>
  <c r="BP83" i="8"/>
  <c r="BO83" i="8"/>
  <c r="BN83" i="8"/>
  <c r="BM83" i="8"/>
  <c r="BL83" i="8"/>
  <c r="BJ83" i="8"/>
  <c r="BH83" i="8"/>
  <c r="BG83" i="8"/>
  <c r="AU83" i="8"/>
  <c r="AD83" i="8"/>
  <c r="AC83" i="8" s="1"/>
  <c r="V83" i="8"/>
  <c r="R83" i="8"/>
  <c r="CW83" i="8" s="1"/>
  <c r="N83" i="8"/>
  <c r="T83" i="8" s="1"/>
  <c r="DL74" i="8"/>
  <c r="CX74" i="8"/>
  <c r="CW74" i="8"/>
  <c r="CV74" i="8"/>
  <c r="CR74" i="8"/>
  <c r="CQ74" i="8" s="1"/>
  <c r="CP74" i="8"/>
  <c r="CO74" i="8" s="1"/>
  <c r="CN74" i="8"/>
  <c r="BR74" i="8"/>
  <c r="BQ74" i="8"/>
  <c r="BP74" i="8"/>
  <c r="BO74" i="8"/>
  <c r="BN74" i="8"/>
  <c r="BM74" i="8"/>
  <c r="BL74" i="8"/>
  <c r="BK74" i="8"/>
  <c r="BJ74" i="8"/>
  <c r="AU74" i="8"/>
  <c r="AR74" i="8"/>
  <c r="AD74" i="8"/>
  <c r="V74" i="8"/>
  <c r="U74" i="8"/>
  <c r="T74" i="8"/>
  <c r="DL73" i="8"/>
  <c r="CX73" i="8"/>
  <c r="CW73" i="8"/>
  <c r="CV73" i="8"/>
  <c r="CR73" i="8"/>
  <c r="CP73" i="8"/>
  <c r="CN73" i="8"/>
  <c r="BR73" i="8"/>
  <c r="BQ73" i="8"/>
  <c r="BP73" i="8"/>
  <c r="BO73" i="8"/>
  <c r="BN73" i="8"/>
  <c r="BM73" i="8"/>
  <c r="BL73" i="8"/>
  <c r="BK73" i="8"/>
  <c r="BJ73" i="8"/>
  <c r="AU73" i="8"/>
  <c r="AR73" i="8"/>
  <c r="AD73" i="8"/>
  <c r="AC73" i="8" s="1"/>
  <c r="AI73" i="8" s="1"/>
  <c r="CZ73" i="8" s="1"/>
  <c r="V73" i="8"/>
  <c r="U73" i="8"/>
  <c r="T73" i="8"/>
  <c r="DL72" i="8"/>
  <c r="CP72" i="8"/>
  <c r="CO72" i="8" s="1"/>
  <c r="BT72" i="8"/>
  <c r="BR72" i="8"/>
  <c r="BQ72" i="8"/>
  <c r="BP72" i="8"/>
  <c r="BO72" i="8"/>
  <c r="BN72" i="8"/>
  <c r="BM72" i="8"/>
  <c r="BL72" i="8"/>
  <c r="BJ72" i="8"/>
  <c r="BH72" i="8"/>
  <c r="BF72" i="8"/>
  <c r="BE72" i="8"/>
  <c r="BD72" i="8"/>
  <c r="BC72" i="8"/>
  <c r="BB72" i="8"/>
  <c r="BA72" i="8"/>
  <c r="AZ72" i="8"/>
  <c r="AY72" i="8"/>
  <c r="AW72" i="8"/>
  <c r="AU72" i="8" s="1"/>
  <c r="AT72" i="8"/>
  <c r="AS72" i="8"/>
  <c r="AR72" i="8"/>
  <c r="AP72" i="8"/>
  <c r="BX72" i="8" s="1"/>
  <c r="AO72" i="8"/>
  <c r="AL72" i="8"/>
  <c r="AD72" i="8"/>
  <c r="AC72" i="8" s="1"/>
  <c r="V72" i="8"/>
  <c r="T72" i="8"/>
  <c r="R72" i="8"/>
  <c r="CX72" i="8" s="1"/>
  <c r="L72" i="8"/>
  <c r="K72" i="8"/>
  <c r="CN72" i="8" s="1"/>
  <c r="J72" i="8"/>
  <c r="DL82" i="8"/>
  <c r="CR82" i="8"/>
  <c r="CQ82" i="8" s="1"/>
  <c r="CP82" i="8"/>
  <c r="CN82" i="8"/>
  <c r="BX82" i="8"/>
  <c r="BR82" i="8"/>
  <c r="BQ82" i="8"/>
  <c r="BP82" i="8"/>
  <c r="BO82" i="8"/>
  <c r="BN82" i="8"/>
  <c r="BM82" i="8"/>
  <c r="BL82" i="8"/>
  <c r="BJ82" i="8"/>
  <c r="AU82" i="8"/>
  <c r="AR82" i="8"/>
  <c r="AD82" i="8"/>
  <c r="AC82" i="8" s="1"/>
  <c r="V82" i="8"/>
  <c r="T82" i="8"/>
  <c r="R82" i="8"/>
  <c r="CX82" i="8" s="1"/>
  <c r="DL81" i="8"/>
  <c r="CX81" i="8"/>
  <c r="CW81" i="8"/>
  <c r="CV81" i="8"/>
  <c r="CR81" i="8"/>
  <c r="CP81" i="8"/>
  <c r="CO81" i="8" s="1"/>
  <c r="CN81" i="8"/>
  <c r="BX81" i="8"/>
  <c r="BR81" i="8"/>
  <c r="BQ81" i="8"/>
  <c r="BP81" i="8"/>
  <c r="BO81" i="8"/>
  <c r="BN81" i="8"/>
  <c r="BM81" i="8"/>
  <c r="BL81" i="8"/>
  <c r="BK81" i="8"/>
  <c r="BJ81" i="8"/>
  <c r="AU81" i="8"/>
  <c r="AR81" i="8"/>
  <c r="AD81" i="8"/>
  <c r="V81" i="8"/>
  <c r="U81" i="8"/>
  <c r="T81" i="8"/>
  <c r="DL80" i="8"/>
  <c r="CR80" i="8"/>
  <c r="CQ80" i="8" s="1"/>
  <c r="CP80" i="8"/>
  <c r="CN80" i="8"/>
  <c r="BX80" i="8"/>
  <c r="BR80" i="8"/>
  <c r="BQ80" i="8"/>
  <c r="BP80" i="8"/>
  <c r="BO80" i="8"/>
  <c r="BN80" i="8"/>
  <c r="BM80" i="8"/>
  <c r="BL80" i="8"/>
  <c r="BJ80" i="8"/>
  <c r="AU80" i="8"/>
  <c r="AR80" i="8"/>
  <c r="AD80" i="8"/>
  <c r="AC80" i="8" s="1"/>
  <c r="V80" i="8"/>
  <c r="T80" i="8"/>
  <c r="R80" i="8"/>
  <c r="CX80" i="8" s="1"/>
  <c r="DL79" i="8"/>
  <c r="CX79" i="8"/>
  <c r="CW79" i="8"/>
  <c r="CV79" i="8"/>
  <c r="CR79" i="8"/>
  <c r="CQ79" i="8" s="1"/>
  <c r="CP79" i="8"/>
  <c r="CO79" i="8" s="1"/>
  <c r="CN79" i="8"/>
  <c r="BR79" i="8"/>
  <c r="BQ79" i="8"/>
  <c r="BP79" i="8"/>
  <c r="BO79" i="8"/>
  <c r="BN79" i="8"/>
  <c r="BM79" i="8"/>
  <c r="BL79" i="8"/>
  <c r="BK79" i="8"/>
  <c r="BJ79" i="8"/>
  <c r="AU79" i="8"/>
  <c r="AR79" i="8"/>
  <c r="AD79" i="8"/>
  <c r="V79" i="8"/>
  <c r="U79" i="8"/>
  <c r="T79" i="8"/>
  <c r="DL78" i="8"/>
  <c r="CR78" i="8"/>
  <c r="CQ78" i="8" s="1"/>
  <c r="CP78" i="8"/>
  <c r="CO78" i="8" s="1"/>
  <c r="CN78" i="8"/>
  <c r="BX78" i="8"/>
  <c r="BR78" i="8"/>
  <c r="BQ78" i="8"/>
  <c r="BP78" i="8"/>
  <c r="BO78" i="8"/>
  <c r="BN78" i="8"/>
  <c r="BM78" i="8"/>
  <c r="BL78" i="8"/>
  <c r="BJ78" i="8"/>
  <c r="AU78" i="8"/>
  <c r="AR78" i="8"/>
  <c r="AD78" i="8"/>
  <c r="AC78" i="8" s="1"/>
  <c r="V78" i="8"/>
  <c r="T78" i="8"/>
  <c r="R78" i="8"/>
  <c r="CX78" i="8" s="1"/>
  <c r="DL77" i="8"/>
  <c r="CR77" i="8"/>
  <c r="CQ77" i="8" s="1"/>
  <c r="CP77" i="8"/>
  <c r="CO77" i="8" s="1"/>
  <c r="CN77" i="8"/>
  <c r="BR77" i="8"/>
  <c r="BQ77" i="8"/>
  <c r="BP77" i="8"/>
  <c r="BO77" i="8"/>
  <c r="BM77" i="8"/>
  <c r="BL77" i="8"/>
  <c r="BK77" i="8"/>
  <c r="BJ77" i="8"/>
  <c r="AU77" i="8"/>
  <c r="AR77" i="8"/>
  <c r="AD77" i="8"/>
  <c r="AC77" i="8" s="1"/>
  <c r="V77" i="8"/>
  <c r="T77" i="8"/>
  <c r="R77" i="8"/>
  <c r="CV77" i="8" s="1"/>
  <c r="DL76" i="8"/>
  <c r="CR76" i="8"/>
  <c r="CP76" i="8"/>
  <c r="CO76" i="8" s="1"/>
  <c r="CS76" i="8" s="1"/>
  <c r="CN76" i="8"/>
  <c r="BR76" i="8"/>
  <c r="BQ76" i="8"/>
  <c r="BP76" i="8"/>
  <c r="BO76" i="8"/>
  <c r="BM76" i="8"/>
  <c r="BL76" i="8"/>
  <c r="BK76" i="8"/>
  <c r="BJ76" i="8"/>
  <c r="AU76" i="8"/>
  <c r="AR76" i="8"/>
  <c r="AD76" i="8"/>
  <c r="AC76" i="8" s="1"/>
  <c r="V76" i="8"/>
  <c r="T76" i="8"/>
  <c r="R76" i="8"/>
  <c r="DL75" i="8"/>
  <c r="CR75" i="8"/>
  <c r="CQ75" i="8" s="1"/>
  <c r="CP75" i="8"/>
  <c r="CO75" i="8" s="1"/>
  <c r="CN75" i="8"/>
  <c r="BR75" i="8"/>
  <c r="BQ75" i="8"/>
  <c r="BP75" i="8"/>
  <c r="BO75" i="8"/>
  <c r="BM75" i="8"/>
  <c r="BL75" i="8"/>
  <c r="BK75" i="8"/>
  <c r="BJ75" i="8"/>
  <c r="AU75" i="8"/>
  <c r="AR75" i="8"/>
  <c r="AD75" i="8"/>
  <c r="AC75" i="8" s="1"/>
  <c r="V75" i="8"/>
  <c r="T75" i="8"/>
  <c r="R75" i="8"/>
  <c r="DL71" i="8"/>
  <c r="CR71" i="8"/>
  <c r="CP71" i="8"/>
  <c r="CN71" i="8"/>
  <c r="BR71" i="8"/>
  <c r="BQ71" i="8"/>
  <c r="BP71" i="8"/>
  <c r="BO71" i="8"/>
  <c r="BM71" i="8"/>
  <c r="BL71" i="8"/>
  <c r="BK71" i="8"/>
  <c r="BJ71" i="8"/>
  <c r="AU71" i="8"/>
  <c r="AR71" i="8"/>
  <c r="AD71" i="8"/>
  <c r="AC71" i="8" s="1"/>
  <c r="V71" i="8"/>
  <c r="R71" i="8"/>
  <c r="CW71" i="8" s="1"/>
  <c r="N71" i="8"/>
  <c r="T71" i="8" s="1"/>
  <c r="DL70" i="8"/>
  <c r="CX70" i="8"/>
  <c r="CW70" i="8"/>
  <c r="CV70" i="8"/>
  <c r="CR70" i="8"/>
  <c r="CP70" i="8"/>
  <c r="CN70" i="8"/>
  <c r="BR70" i="8"/>
  <c r="BQ70" i="8"/>
  <c r="BP70" i="8"/>
  <c r="BO70" i="8"/>
  <c r="BN70" i="8"/>
  <c r="BM70" i="8"/>
  <c r="BL70" i="8"/>
  <c r="BK70" i="8"/>
  <c r="BJ70" i="8"/>
  <c r="AU70" i="8"/>
  <c r="AR70" i="8"/>
  <c r="AD70" i="8"/>
  <c r="AC70" i="8" s="1"/>
  <c r="AI70" i="8" s="1"/>
  <c r="CZ70" i="8" s="1"/>
  <c r="V70" i="8"/>
  <c r="U70" i="8"/>
  <c r="T70" i="8"/>
  <c r="DL69" i="8"/>
  <c r="CR69" i="8"/>
  <c r="CP69" i="8"/>
  <c r="CN69" i="8"/>
  <c r="BX69" i="8"/>
  <c r="BR69" i="8"/>
  <c r="BQ69" i="8"/>
  <c r="BP69" i="8"/>
  <c r="BO69" i="8"/>
  <c r="BN69" i="8"/>
  <c r="BM69" i="8"/>
  <c r="BL69" i="8"/>
  <c r="BJ69" i="8"/>
  <c r="AU69" i="8"/>
  <c r="AR69" i="8"/>
  <c r="AF69" i="8"/>
  <c r="AD69" i="8" s="1"/>
  <c r="V69" i="8"/>
  <c r="T69" i="8"/>
  <c r="R69" i="8"/>
  <c r="CX69" i="8" s="1"/>
  <c r="DL68" i="8"/>
  <c r="CX68" i="8"/>
  <c r="CW68" i="8"/>
  <c r="CV68" i="8"/>
  <c r="CR68" i="8"/>
  <c r="CP68" i="8"/>
  <c r="CO68" i="8" s="1"/>
  <c r="CS68" i="8" s="1"/>
  <c r="CN68" i="8"/>
  <c r="BR68" i="8"/>
  <c r="BQ68" i="8"/>
  <c r="BP68" i="8"/>
  <c r="BO68" i="8"/>
  <c r="BN68" i="8"/>
  <c r="BM68" i="8"/>
  <c r="BL68" i="8"/>
  <c r="BK68" i="8"/>
  <c r="BJ68" i="8"/>
  <c r="AU68" i="8"/>
  <c r="AR68" i="8"/>
  <c r="AD68" i="8"/>
  <c r="V68" i="8"/>
  <c r="U68" i="8"/>
  <c r="T68" i="8"/>
  <c r="DL67" i="8"/>
  <c r="CR67" i="8"/>
  <c r="CP67" i="8"/>
  <c r="CO67" i="8" s="1"/>
  <c r="CS67" i="8" s="1"/>
  <c r="CN67" i="8"/>
  <c r="BR67" i="8"/>
  <c r="BQ67" i="8"/>
  <c r="BP67" i="8"/>
  <c r="BO67" i="8"/>
  <c r="BM67" i="8"/>
  <c r="BL67" i="8"/>
  <c r="BK67" i="8"/>
  <c r="BJ67" i="8"/>
  <c r="AU67" i="8"/>
  <c r="AR67" i="8"/>
  <c r="AD67" i="8"/>
  <c r="AC67" i="8" s="1"/>
  <c r="V67" i="8"/>
  <c r="T67" i="8"/>
  <c r="R67" i="8"/>
  <c r="DL66" i="8"/>
  <c r="CX66" i="8"/>
  <c r="CW66" i="8"/>
  <c r="CV66" i="8"/>
  <c r="CR66" i="8"/>
  <c r="CP66" i="8"/>
  <c r="CO66" i="8" s="1"/>
  <c r="CS66" i="8" s="1"/>
  <c r="CN66" i="8"/>
  <c r="BX66" i="8"/>
  <c r="BR66" i="8"/>
  <c r="BQ66" i="8"/>
  <c r="BP66" i="8"/>
  <c r="BO66" i="8"/>
  <c r="BN66" i="8"/>
  <c r="BM66" i="8"/>
  <c r="BL66" i="8"/>
  <c r="BK66" i="8"/>
  <c r="BJ66" i="8"/>
  <c r="AU66" i="8"/>
  <c r="AR66" i="8"/>
  <c r="AD66" i="8"/>
  <c r="V66" i="8"/>
  <c r="U66" i="8"/>
  <c r="T66" i="8"/>
  <c r="DL65" i="8"/>
  <c r="CR65" i="8"/>
  <c r="CP65" i="8"/>
  <c r="CO65" i="8" s="1"/>
  <c r="CS65" i="8" s="1"/>
  <c r="CN65" i="8"/>
  <c r="BX65" i="8"/>
  <c r="BR65" i="8"/>
  <c r="BQ65" i="8"/>
  <c r="BP65" i="8"/>
  <c r="BO65" i="8"/>
  <c r="BN65" i="8"/>
  <c r="BM65" i="8"/>
  <c r="BL65" i="8"/>
  <c r="BJ65" i="8"/>
  <c r="AU65" i="8"/>
  <c r="AR65" i="8"/>
  <c r="AD65" i="8"/>
  <c r="AC65" i="8" s="1"/>
  <c r="V65" i="8"/>
  <c r="T65" i="8"/>
  <c r="R65" i="8"/>
  <c r="CV65" i="8" s="1"/>
  <c r="DL64" i="8"/>
  <c r="CX64" i="8"/>
  <c r="CW64" i="8"/>
  <c r="CV64" i="8"/>
  <c r="CR64" i="8"/>
  <c r="CQ64" i="8" s="1"/>
  <c r="CP64" i="8"/>
  <c r="CO64" i="8" s="1"/>
  <c r="CN64" i="8"/>
  <c r="BR64" i="8"/>
  <c r="BQ64" i="8"/>
  <c r="BP64" i="8"/>
  <c r="BO64" i="8"/>
  <c r="BN64" i="8"/>
  <c r="BM64" i="8"/>
  <c r="BL64" i="8"/>
  <c r="BK64" i="8"/>
  <c r="BJ64" i="8"/>
  <c r="AU64" i="8"/>
  <c r="AR64" i="8"/>
  <c r="AG64" i="8"/>
  <c r="AD64" i="8"/>
  <c r="V64" i="8"/>
  <c r="U64" i="8"/>
  <c r="T64" i="8"/>
  <c r="DL63" i="8"/>
  <c r="CX63" i="8"/>
  <c r="CW63" i="8"/>
  <c r="CV63" i="8"/>
  <c r="CR63" i="8"/>
  <c r="CQ63" i="8" s="1"/>
  <c r="CP63" i="8"/>
  <c r="CO63" i="8" s="1"/>
  <c r="CN63" i="8"/>
  <c r="BX63" i="8"/>
  <c r="BR63" i="8"/>
  <c r="BQ63" i="8"/>
  <c r="BP63" i="8"/>
  <c r="BO63" i="8"/>
  <c r="BN63" i="8"/>
  <c r="BM63" i="8"/>
  <c r="BL63" i="8"/>
  <c r="BK63" i="8"/>
  <c r="BJ63" i="8"/>
  <c r="AU63" i="8"/>
  <c r="AR63" i="8"/>
  <c r="AD63" i="8"/>
  <c r="AC63" i="8" s="1"/>
  <c r="AI63" i="8" s="1"/>
  <c r="V63" i="8"/>
  <c r="U63" i="8"/>
  <c r="T63" i="8"/>
  <c r="DL62" i="8"/>
  <c r="CX62" i="8"/>
  <c r="CW62" i="8"/>
  <c r="CV62" i="8"/>
  <c r="BV62" i="8"/>
  <c r="BU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E62" i="8"/>
  <c r="BD62" i="8"/>
  <c r="BC62" i="8"/>
  <c r="BB62" i="8"/>
  <c r="BA62" i="8"/>
  <c r="AZ62" i="8"/>
  <c r="AY62" i="8"/>
  <c r="AX62" i="8"/>
  <c r="AW62" i="8"/>
  <c r="CR62" i="8" s="1"/>
  <c r="AV62" i="8"/>
  <c r="AT62" i="8"/>
  <c r="AS62" i="8"/>
  <c r="AR62" i="8"/>
  <c r="AP62" i="8"/>
  <c r="AD62" i="8"/>
  <c r="AC62" i="8" s="1"/>
  <c r="AI62" i="8" s="1"/>
  <c r="DA62" i="8" s="1"/>
  <c r="V62" i="8"/>
  <c r="U62" i="8"/>
  <c r="T62" i="8"/>
  <c r="M62" i="8"/>
  <c r="K62" i="8"/>
  <c r="CN62" i="8" s="1"/>
  <c r="DL61" i="8"/>
  <c r="CR61" i="8"/>
  <c r="CP61" i="8"/>
  <c r="CN61" i="8"/>
  <c r="BR61" i="8"/>
  <c r="BQ61" i="8"/>
  <c r="BP61" i="8"/>
  <c r="BO61" i="8"/>
  <c r="BM61" i="8"/>
  <c r="BL61" i="8"/>
  <c r="BK61" i="8"/>
  <c r="BJ61" i="8"/>
  <c r="AU61" i="8"/>
  <c r="AR61" i="8"/>
  <c r="AD61" i="8"/>
  <c r="AC61" i="8" s="1"/>
  <c r="V61" i="8"/>
  <c r="T61" i="8"/>
  <c r="R61" i="8"/>
  <c r="DL60" i="8"/>
  <c r="BV60" i="8"/>
  <c r="BU60" i="8"/>
  <c r="BR60" i="8"/>
  <c r="BQ60" i="8"/>
  <c r="BP60" i="8"/>
  <c r="BO60" i="8"/>
  <c r="BM60" i="8"/>
  <c r="BL60" i="8"/>
  <c r="BK60" i="8"/>
  <c r="BJ60" i="8"/>
  <c r="BI60" i="8"/>
  <c r="BH60" i="8"/>
  <c r="BG60" i="8"/>
  <c r="BE60" i="8"/>
  <c r="BD60" i="8"/>
  <c r="BB60" i="8"/>
  <c r="BA60" i="8"/>
  <c r="AZ60" i="8"/>
  <c r="AY60" i="8"/>
  <c r="AX60" i="8"/>
  <c r="AW60" i="8"/>
  <c r="AV60" i="8"/>
  <c r="AT60" i="8"/>
  <c r="AS60" i="8"/>
  <c r="AR60" i="8"/>
  <c r="AP60" i="8"/>
  <c r="AD60" i="8"/>
  <c r="AC60" i="8" s="1"/>
  <c r="V60" i="8"/>
  <c r="T60" i="8"/>
  <c r="R60" i="8"/>
  <c r="CX60" i="8" s="1"/>
  <c r="M60" i="8"/>
  <c r="K60" i="8"/>
  <c r="CN60" i="8" s="1"/>
  <c r="DL59" i="8"/>
  <c r="CR59" i="8"/>
  <c r="CQ59" i="8" s="1"/>
  <c r="CP59" i="8"/>
  <c r="CO59" i="8" s="1"/>
  <c r="CN59" i="8"/>
  <c r="BU59" i="8"/>
  <c r="BR59" i="8"/>
  <c r="BQ59" i="8"/>
  <c r="BP59" i="8"/>
  <c r="BO59" i="8"/>
  <c r="BM59" i="8"/>
  <c r="BL59" i="8"/>
  <c r="BK59" i="8"/>
  <c r="BJ59" i="8"/>
  <c r="AU59" i="8"/>
  <c r="AD59" i="8"/>
  <c r="V59" i="8"/>
  <c r="T59" i="8"/>
  <c r="R59" i="8"/>
  <c r="BN59" i="8" s="1"/>
  <c r="DL58" i="8"/>
  <c r="CR58" i="8"/>
  <c r="CQ58" i="8" s="1"/>
  <c r="CP58" i="8"/>
  <c r="CO58" i="8" s="1"/>
  <c r="CN58" i="8"/>
  <c r="BX58" i="8"/>
  <c r="BU58" i="8"/>
  <c r="BR58" i="8"/>
  <c r="BQ58" i="8"/>
  <c r="BP58" i="8"/>
  <c r="BO58" i="8"/>
  <c r="BN58" i="8"/>
  <c r="BM58" i="8"/>
  <c r="BL58" i="8"/>
  <c r="BJ58" i="8"/>
  <c r="AU58" i="8"/>
  <c r="AD58" i="8"/>
  <c r="AC58" i="8" s="1"/>
  <c r="V58" i="8"/>
  <c r="T58" i="8"/>
  <c r="R58" i="8"/>
  <c r="BK58" i="8" s="1"/>
  <c r="DL57" i="8"/>
  <c r="CR57" i="8"/>
  <c r="CQ57" i="8" s="1"/>
  <c r="CP57" i="8"/>
  <c r="CO57" i="8" s="1"/>
  <c r="CN57" i="8"/>
  <c r="BU57" i="8"/>
  <c r="BR57" i="8"/>
  <c r="BQ57" i="8"/>
  <c r="BP57" i="8"/>
  <c r="BO57" i="8"/>
  <c r="BM57" i="8"/>
  <c r="BL57" i="8"/>
  <c r="BK57" i="8"/>
  <c r="BJ57" i="8"/>
  <c r="AU57" i="8"/>
  <c r="AF57" i="8"/>
  <c r="AD57" i="8" s="1"/>
  <c r="AC57" i="8" s="1"/>
  <c r="V57" i="8"/>
  <c r="T57" i="8"/>
  <c r="R57" i="8"/>
  <c r="DL56" i="8"/>
  <c r="CX56" i="8"/>
  <c r="CW56" i="8"/>
  <c r="CV56" i="8"/>
  <c r="CR56" i="8"/>
  <c r="CQ56" i="8" s="1"/>
  <c r="CP56" i="8"/>
  <c r="CN56" i="8"/>
  <c r="BX56" i="8"/>
  <c r="BU56" i="8"/>
  <c r="BR56" i="8"/>
  <c r="BQ56" i="8"/>
  <c r="BP56" i="8"/>
  <c r="BO56" i="8"/>
  <c r="BN56" i="8"/>
  <c r="BM56" i="8"/>
  <c r="BL56" i="8"/>
  <c r="BK56" i="8"/>
  <c r="BJ56" i="8"/>
  <c r="AU56" i="8"/>
  <c r="AD56" i="8"/>
  <c r="V56" i="8"/>
  <c r="U56" i="8"/>
  <c r="T56" i="8"/>
  <c r="DL55" i="8"/>
  <c r="CR55" i="8"/>
  <c r="CQ55" i="8" s="1"/>
  <c r="CP55" i="8"/>
  <c r="CN55" i="8"/>
  <c r="BX55" i="8"/>
  <c r="BU55" i="8"/>
  <c r="BR55" i="8"/>
  <c r="BQ55" i="8"/>
  <c r="BP55" i="8"/>
  <c r="BO55" i="8"/>
  <c r="BN55" i="8"/>
  <c r="BM55" i="8"/>
  <c r="BL55" i="8"/>
  <c r="BJ55" i="8"/>
  <c r="AU55" i="8"/>
  <c r="AF55" i="8"/>
  <c r="AD55" i="8" s="1"/>
  <c r="V55" i="8"/>
  <c r="T55" i="8"/>
  <c r="R55" i="8"/>
  <c r="CW55" i="8" s="1"/>
  <c r="DL54" i="8"/>
  <c r="CR54" i="8"/>
  <c r="CQ54" i="8" s="1"/>
  <c r="CP54" i="8"/>
  <c r="CO54" i="8" s="1"/>
  <c r="CN54" i="8"/>
  <c r="BU54" i="8"/>
  <c r="BR54" i="8"/>
  <c r="BQ54" i="8"/>
  <c r="BP54" i="8"/>
  <c r="BO54" i="8"/>
  <c r="BM54" i="8"/>
  <c r="BL54" i="8"/>
  <c r="BK54" i="8"/>
  <c r="BJ54" i="8"/>
  <c r="AU54" i="8"/>
  <c r="AD54" i="8"/>
  <c r="V54" i="8"/>
  <c r="T54" i="8"/>
  <c r="R54" i="8"/>
  <c r="BN54" i="8" s="1"/>
  <c r="DL53" i="8"/>
  <c r="CX53" i="8"/>
  <c r="CW53" i="8"/>
  <c r="CV53" i="8"/>
  <c r="CR53" i="8"/>
  <c r="CQ53" i="8" s="1"/>
  <c r="CP53" i="8"/>
  <c r="CN53" i="8"/>
  <c r="BU53" i="8"/>
  <c r="BR53" i="8"/>
  <c r="BQ53" i="8"/>
  <c r="BP53" i="8"/>
  <c r="BO53" i="8"/>
  <c r="BN53" i="8"/>
  <c r="BM53" i="8"/>
  <c r="BL53" i="8"/>
  <c r="BK53" i="8"/>
  <c r="BJ53" i="8"/>
  <c r="AU53" i="8"/>
  <c r="AD53" i="8"/>
  <c r="V53" i="8"/>
  <c r="U53" i="8"/>
  <c r="T53" i="8"/>
  <c r="CX36" i="8"/>
  <c r="CW36" i="8"/>
  <c r="CV36" i="8"/>
  <c r="CN36" i="8"/>
  <c r="BR36" i="8"/>
  <c r="BQ36" i="8"/>
  <c r="BP36" i="8"/>
  <c r="BO36" i="8"/>
  <c r="BN36" i="8"/>
  <c r="BM36" i="8"/>
  <c r="BL36" i="8"/>
  <c r="BK36" i="8"/>
  <c r="BJ36" i="8"/>
  <c r="AD36" i="8"/>
  <c r="V36" i="8"/>
  <c r="U36" i="8"/>
  <c r="T36" i="8"/>
  <c r="DL35" i="8"/>
  <c r="CX35" i="8"/>
  <c r="CW35" i="8"/>
  <c r="CV35" i="8"/>
  <c r="CR35" i="8"/>
  <c r="CQ35" i="8" s="1"/>
  <c r="CP35" i="8"/>
  <c r="CO35" i="8" s="1"/>
  <c r="CN35" i="8"/>
  <c r="BX35" i="8"/>
  <c r="BU35" i="8"/>
  <c r="BR35" i="8"/>
  <c r="BQ35" i="8"/>
  <c r="BP35" i="8"/>
  <c r="BO35" i="8"/>
  <c r="BN35" i="8"/>
  <c r="BM35" i="8"/>
  <c r="BL35" i="8"/>
  <c r="BK35" i="8"/>
  <c r="BJ35" i="8"/>
  <c r="AU35" i="8"/>
  <c r="AF35" i="8"/>
  <c r="AD35" i="8" s="1"/>
  <c r="V35" i="8"/>
  <c r="U35" i="8"/>
  <c r="T35" i="8"/>
  <c r="BR34" i="8"/>
  <c r="BQ34" i="8"/>
  <c r="BP34" i="8"/>
  <c r="BO34" i="8"/>
  <c r="BM34" i="8"/>
  <c r="BL34" i="8"/>
  <c r="BK34" i="8"/>
  <c r="BJ34" i="8"/>
  <c r="BI34" i="8"/>
  <c r="BH34" i="8"/>
  <c r="BG34" i="8"/>
  <c r="BA34" i="8"/>
  <c r="AZ34" i="8"/>
  <c r="AY34" i="8"/>
  <c r="AT34" i="8"/>
  <c r="AS34" i="8"/>
  <c r="AP34" i="8"/>
  <c r="AD34" i="8"/>
  <c r="AC34" i="8" s="1"/>
  <c r="V34" i="8"/>
  <c r="R34" i="8"/>
  <c r="CX34" i="8" s="1"/>
  <c r="O34" i="8"/>
  <c r="N34" i="8"/>
  <c r="T34" i="8" s="1"/>
  <c r="M34" i="8"/>
  <c r="K34" i="8"/>
  <c r="J34" i="8"/>
  <c r="DL52" i="8"/>
  <c r="CR52" i="8"/>
  <c r="CP52" i="8"/>
  <c r="CO52" i="8" s="1"/>
  <c r="CN52" i="8"/>
  <c r="BU52" i="8"/>
  <c r="BR52" i="8"/>
  <c r="BQ52" i="8"/>
  <c r="BP52" i="8"/>
  <c r="BO52" i="8"/>
  <c r="BM52" i="8"/>
  <c r="BL52" i="8"/>
  <c r="BK52" i="8"/>
  <c r="BJ52" i="8"/>
  <c r="AU52" i="8"/>
  <c r="AD52" i="8"/>
  <c r="AC52" i="8" s="1"/>
  <c r="V52" i="8"/>
  <c r="T52" i="8"/>
  <c r="R52" i="8"/>
  <c r="CV52" i="8" s="1"/>
  <c r="DL51" i="8"/>
  <c r="CR51" i="8"/>
  <c r="CQ51" i="8" s="1"/>
  <c r="CP51" i="8"/>
  <c r="CO51" i="8" s="1"/>
  <c r="CN51" i="8"/>
  <c r="BU51" i="8"/>
  <c r="BR51" i="8"/>
  <c r="BQ51" i="8"/>
  <c r="BP51" i="8"/>
  <c r="BO51" i="8"/>
  <c r="BM51" i="8"/>
  <c r="BL51" i="8"/>
  <c r="BK51" i="8"/>
  <c r="BJ51" i="8"/>
  <c r="AU51" i="8"/>
  <c r="AD51" i="8"/>
  <c r="V51" i="8"/>
  <c r="T51" i="8"/>
  <c r="R51" i="8"/>
  <c r="EC50" i="8"/>
  <c r="DL50" i="8"/>
  <c r="CR50" i="8"/>
  <c r="CQ50" i="8" s="1"/>
  <c r="CP50" i="8"/>
  <c r="CO50" i="8" s="1"/>
  <c r="CN50" i="8"/>
  <c r="BX50" i="8"/>
  <c r="BU50" i="8"/>
  <c r="BR50" i="8"/>
  <c r="BQ50" i="8"/>
  <c r="BP50" i="8"/>
  <c r="BO50" i="8"/>
  <c r="BN50" i="8"/>
  <c r="BM50" i="8"/>
  <c r="BJ50" i="8"/>
  <c r="AU50" i="8"/>
  <c r="AG50" i="8"/>
  <c r="AF50" i="8"/>
  <c r="AD50" i="8" s="1"/>
  <c r="T50" i="8"/>
  <c r="S50" i="8"/>
  <c r="BL50" i="8" s="1"/>
  <c r="R50" i="8"/>
  <c r="BK50" i="8" s="1"/>
  <c r="DL49" i="8"/>
  <c r="CX49" i="8"/>
  <c r="CW49" i="8"/>
  <c r="CV49" i="8"/>
  <c r="CR49" i="8"/>
  <c r="CQ49" i="8" s="1"/>
  <c r="CP49" i="8"/>
  <c r="CO49" i="8" s="1"/>
  <c r="CN49" i="8"/>
  <c r="BU49" i="8"/>
  <c r="BR49" i="8"/>
  <c r="BQ49" i="8"/>
  <c r="BP49" i="8"/>
  <c r="BO49" i="8"/>
  <c r="BN49" i="8"/>
  <c r="BM49" i="8"/>
  <c r="BL49" i="8"/>
  <c r="BK49" i="8"/>
  <c r="BJ49" i="8"/>
  <c r="AU49" i="8"/>
  <c r="AD49" i="8"/>
  <c r="V49" i="8"/>
  <c r="U49" i="8"/>
  <c r="T49" i="8"/>
  <c r="DL48" i="8"/>
  <c r="CX48" i="8"/>
  <c r="CW48" i="8"/>
  <c r="CV48" i="8"/>
  <c r="CR48" i="8"/>
  <c r="CQ48" i="8" s="1"/>
  <c r="CP48" i="8"/>
  <c r="CN48" i="8"/>
  <c r="BR48" i="8"/>
  <c r="BQ48" i="8"/>
  <c r="BP48" i="8"/>
  <c r="BO48" i="8"/>
  <c r="BN48" i="8"/>
  <c r="BM48" i="8"/>
  <c r="BL48" i="8"/>
  <c r="BK48" i="8"/>
  <c r="BJ48" i="8"/>
  <c r="AU48" i="8"/>
  <c r="AD48" i="8"/>
  <c r="AC48" i="8" s="1"/>
  <c r="AI48" i="8" s="1"/>
  <c r="CY48" i="8" s="1"/>
  <c r="V48" i="8"/>
  <c r="U48" i="8"/>
  <c r="T48" i="8"/>
  <c r="EC47" i="8"/>
  <c r="DL47" i="8"/>
  <c r="CR47" i="8"/>
  <c r="CQ47" i="8" s="1"/>
  <c r="CP47" i="8"/>
  <c r="CN47" i="8"/>
  <c r="BX47" i="8"/>
  <c r="BU47" i="8"/>
  <c r="BR47" i="8"/>
  <c r="BQ47" i="8"/>
  <c r="BP47" i="8"/>
  <c r="BO47" i="8"/>
  <c r="BN47" i="8"/>
  <c r="BM47" i="8"/>
  <c r="BL47" i="8"/>
  <c r="BJ47" i="8"/>
  <c r="AU47" i="8"/>
  <c r="AD47" i="8"/>
  <c r="AC47" i="8" s="1"/>
  <c r="V47" i="8"/>
  <c r="T47" i="8"/>
  <c r="R47" i="8"/>
  <c r="U47" i="8" s="1"/>
  <c r="DL46" i="8"/>
  <c r="CX46" i="8"/>
  <c r="CW46" i="8"/>
  <c r="CV46" i="8"/>
  <c r="CR46" i="8"/>
  <c r="CQ46" i="8" s="1"/>
  <c r="CP46" i="8"/>
  <c r="CN46" i="8"/>
  <c r="BX46" i="8"/>
  <c r="BU46" i="8"/>
  <c r="BR46" i="8"/>
  <c r="BQ46" i="8"/>
  <c r="BP46" i="8"/>
  <c r="BO46" i="8"/>
  <c r="BN46" i="8"/>
  <c r="BM46" i="8"/>
  <c r="BL46" i="8"/>
  <c r="BK46" i="8"/>
  <c r="BJ46" i="8"/>
  <c r="AU46" i="8"/>
  <c r="AD46" i="8"/>
  <c r="V46" i="8"/>
  <c r="U46" i="8"/>
  <c r="T46" i="8"/>
  <c r="DL45" i="8"/>
  <c r="CX45" i="8"/>
  <c r="CW45" i="8"/>
  <c r="CV45" i="8"/>
  <c r="CR45" i="8"/>
  <c r="CQ45" i="8" s="1"/>
  <c r="CP45" i="8"/>
  <c r="CO45" i="8" s="1"/>
  <c r="CN45" i="8"/>
  <c r="BU45" i="8"/>
  <c r="BR45" i="8"/>
  <c r="BQ45" i="8"/>
  <c r="BP45" i="8"/>
  <c r="BO45" i="8"/>
  <c r="BN45" i="8"/>
  <c r="BM45" i="8"/>
  <c r="BL45" i="8"/>
  <c r="BK45" i="8"/>
  <c r="BJ45" i="8"/>
  <c r="AU45" i="8"/>
  <c r="AD45" i="8"/>
  <c r="AC45" i="8" s="1"/>
  <c r="AI45" i="8" s="1"/>
  <c r="V45" i="8"/>
  <c r="U45" i="8"/>
  <c r="T45" i="8"/>
  <c r="DL44" i="8"/>
  <c r="CX44" i="8"/>
  <c r="CW44" i="8"/>
  <c r="CV44" i="8"/>
  <c r="CR44" i="8"/>
  <c r="CQ44" i="8" s="1"/>
  <c r="CP44" i="8"/>
  <c r="CO44" i="8" s="1"/>
  <c r="CN44" i="8"/>
  <c r="BX44" i="8"/>
  <c r="BU44" i="8"/>
  <c r="BR44" i="8"/>
  <c r="BQ44" i="8"/>
  <c r="BP44" i="8"/>
  <c r="BO44" i="8"/>
  <c r="BN44" i="8"/>
  <c r="BM44" i="8"/>
  <c r="BL44" i="8"/>
  <c r="BK44" i="8"/>
  <c r="BJ44" i="8"/>
  <c r="AU44" i="8"/>
  <c r="AF44" i="8"/>
  <c r="AF255" i="8" s="1"/>
  <c r="AF279" i="8" s="1"/>
  <c r="V44" i="8"/>
  <c r="U44" i="8"/>
  <c r="T44" i="8"/>
  <c r="DL43" i="8"/>
  <c r="CR43" i="8"/>
  <c r="CQ43" i="8" s="1"/>
  <c r="CS43" i="8" s="1"/>
  <c r="CP43" i="8"/>
  <c r="CN43" i="8"/>
  <c r="BR43" i="8"/>
  <c r="BQ43" i="8"/>
  <c r="BP43" i="8"/>
  <c r="BO43" i="8"/>
  <c r="BM43" i="8"/>
  <c r="BL43" i="8"/>
  <c r="BK43" i="8"/>
  <c r="BJ43" i="8"/>
  <c r="AU43" i="8"/>
  <c r="AF43" i="8"/>
  <c r="AD43" i="8" s="1"/>
  <c r="AC43" i="8" s="1"/>
  <c r="V43" i="8"/>
  <c r="T43" i="8"/>
  <c r="R43" i="8"/>
  <c r="DL33" i="8"/>
  <c r="CX33" i="8"/>
  <c r="CW33" i="8"/>
  <c r="CV33" i="8"/>
  <c r="CR33" i="8"/>
  <c r="CQ33" i="8" s="1"/>
  <c r="CP33" i="8"/>
  <c r="CN33" i="8"/>
  <c r="BX33" i="8"/>
  <c r="BU33" i="8"/>
  <c r="BR33" i="8"/>
  <c r="BQ33" i="8"/>
  <c r="BP33" i="8"/>
  <c r="BO33" i="8"/>
  <c r="BN33" i="8"/>
  <c r="BM33" i="8"/>
  <c r="BL33" i="8"/>
  <c r="BK33" i="8"/>
  <c r="BJ33" i="8"/>
  <c r="AU33" i="8"/>
  <c r="AD33" i="8"/>
  <c r="V33" i="8"/>
  <c r="U33" i="8"/>
  <c r="T33" i="8"/>
  <c r="DL42" i="8"/>
  <c r="CX42" i="8"/>
  <c r="CW42" i="8"/>
  <c r="CV42" i="8"/>
  <c r="CR42" i="8"/>
  <c r="CQ42" i="8" s="1"/>
  <c r="CP42" i="8"/>
  <c r="CN42" i="8"/>
  <c r="BU42" i="8"/>
  <c r="BR42" i="8"/>
  <c r="BQ42" i="8"/>
  <c r="BP42" i="8"/>
  <c r="BO42" i="8"/>
  <c r="BN42" i="8"/>
  <c r="BM42" i="8"/>
  <c r="BL42" i="8"/>
  <c r="BK42" i="8"/>
  <c r="BJ42" i="8"/>
  <c r="AU42" i="8"/>
  <c r="AD42" i="8"/>
  <c r="AC42" i="8" s="1"/>
  <c r="AI42" i="8" s="1"/>
  <c r="DA42" i="8" s="1"/>
  <c r="V42" i="8"/>
  <c r="U42" i="8"/>
  <c r="T42" i="8"/>
  <c r="EC41" i="8"/>
  <c r="DL41" i="8"/>
  <c r="CX41" i="8"/>
  <c r="CW41" i="8"/>
  <c r="CV41" i="8"/>
  <c r="CR41" i="8"/>
  <c r="CQ41" i="8" s="1"/>
  <c r="CP41" i="8"/>
  <c r="CM41" i="8"/>
  <c r="CM256" i="8" s="1"/>
  <c r="CM280" i="8" s="1"/>
  <c r="BX41" i="8"/>
  <c r="BU41" i="8"/>
  <c r="BR41" i="8"/>
  <c r="BQ41" i="8"/>
  <c r="BP41" i="8"/>
  <c r="BO41" i="8"/>
  <c r="BN41" i="8"/>
  <c r="BM41" i="8"/>
  <c r="BL41" i="8"/>
  <c r="BK41" i="8"/>
  <c r="BJ41" i="8"/>
  <c r="AU41" i="8"/>
  <c r="AD41" i="8"/>
  <c r="V41" i="8"/>
  <c r="U41" i="8"/>
  <c r="T41" i="8"/>
  <c r="DL40" i="8"/>
  <c r="CX40" i="8"/>
  <c r="CW40" i="8"/>
  <c r="CV40" i="8"/>
  <c r="CR40" i="8"/>
  <c r="CQ40" i="8" s="1"/>
  <c r="CP40" i="8"/>
  <c r="CO40" i="8" s="1"/>
  <c r="CN40" i="8"/>
  <c r="BR40" i="8"/>
  <c r="BQ40" i="8"/>
  <c r="BP40" i="8"/>
  <c r="BO40" i="8"/>
  <c r="BN40" i="8"/>
  <c r="BM40" i="8"/>
  <c r="BL40" i="8"/>
  <c r="BK40" i="8"/>
  <c r="BJ40" i="8"/>
  <c r="AU40" i="8"/>
  <c r="AD40" i="8"/>
  <c r="AC40" i="8" s="1"/>
  <c r="AI40" i="8" s="1"/>
  <c r="CY40" i="8" s="1"/>
  <c r="V40" i="8"/>
  <c r="U40" i="8"/>
  <c r="T40" i="8"/>
  <c r="DL39" i="8"/>
  <c r="CR39" i="8"/>
  <c r="CQ39" i="8" s="1"/>
  <c r="CP39" i="8"/>
  <c r="CN39" i="8"/>
  <c r="BX39" i="8"/>
  <c r="BU39" i="8"/>
  <c r="BR39" i="8"/>
  <c r="BQ39" i="8"/>
  <c r="BP39" i="8"/>
  <c r="BO39" i="8"/>
  <c r="BN39" i="8"/>
  <c r="BM39" i="8"/>
  <c r="BL39" i="8"/>
  <c r="BJ39" i="8"/>
  <c r="AU39" i="8"/>
  <c r="AD39" i="8"/>
  <c r="AC39" i="8" s="1"/>
  <c r="V39" i="8"/>
  <c r="T39" i="8"/>
  <c r="R39" i="8"/>
  <c r="CW39" i="8" s="1"/>
  <c r="EC38" i="8"/>
  <c r="DL38" i="8"/>
  <c r="CR38" i="8"/>
  <c r="CQ38" i="8" s="1"/>
  <c r="CP38" i="8"/>
  <c r="CO38" i="8" s="1"/>
  <c r="CN38" i="8"/>
  <c r="BX38" i="8"/>
  <c r="BR38" i="8"/>
  <c r="BQ38" i="8"/>
  <c r="BP38" i="8"/>
  <c r="BO38" i="8"/>
  <c r="BN38" i="8"/>
  <c r="BM38" i="8"/>
  <c r="BL38" i="8"/>
  <c r="BJ38" i="8"/>
  <c r="AU38" i="8"/>
  <c r="AD38" i="8"/>
  <c r="AC38" i="8" s="1"/>
  <c r="V38" i="8"/>
  <c r="T38" i="8"/>
  <c r="R38" i="8"/>
  <c r="BK38" i="8" s="1"/>
  <c r="DL37" i="8"/>
  <c r="CR37" i="8"/>
  <c r="CP37" i="8"/>
  <c r="CO37" i="8" s="1"/>
  <c r="CM37" i="8"/>
  <c r="BX37" i="8"/>
  <c r="BU37" i="8"/>
  <c r="BR37" i="8"/>
  <c r="BQ37" i="8"/>
  <c r="BP37" i="8"/>
  <c r="BO37" i="8"/>
  <c r="BN37" i="8"/>
  <c r="BM37" i="8"/>
  <c r="BL37" i="8"/>
  <c r="BJ37" i="8"/>
  <c r="AU37" i="8"/>
  <c r="AF37" i="8"/>
  <c r="AD37" i="8" s="1"/>
  <c r="AC37" i="8" s="1"/>
  <c r="V37" i="8"/>
  <c r="T37" i="8"/>
  <c r="R37" i="8"/>
  <c r="EC32" i="8"/>
  <c r="DL32" i="8"/>
  <c r="CR32" i="8"/>
  <c r="CQ32" i="8" s="1"/>
  <c r="CP32" i="8"/>
  <c r="CO32" i="8" s="1"/>
  <c r="CN32" i="8"/>
  <c r="BX32" i="8"/>
  <c r="BU32" i="8"/>
  <c r="BR32" i="8"/>
  <c r="BQ32" i="8"/>
  <c r="BP32" i="8"/>
  <c r="BO32" i="8"/>
  <c r="BN32" i="8"/>
  <c r="BM32" i="8"/>
  <c r="BL32" i="8"/>
  <c r="BJ32" i="8"/>
  <c r="AU32" i="8"/>
  <c r="AF32" i="8"/>
  <c r="AD32" i="8" s="1"/>
  <c r="V32" i="8"/>
  <c r="R32" i="8"/>
  <c r="CW32" i="8" s="1"/>
  <c r="N32" i="8"/>
  <c r="T32" i="8" s="1"/>
  <c r="DL31" i="8"/>
  <c r="CX31" i="8"/>
  <c r="CW31" i="8"/>
  <c r="CV31" i="8"/>
  <c r="CR31" i="8"/>
  <c r="CQ31" i="8" s="1"/>
  <c r="CP31" i="8"/>
  <c r="CO31" i="8" s="1"/>
  <c r="CN31" i="8"/>
  <c r="BR31" i="8"/>
  <c r="BQ31" i="8"/>
  <c r="BP31" i="8"/>
  <c r="BO31" i="8"/>
  <c r="BN31" i="8"/>
  <c r="BM31" i="8"/>
  <c r="BL31" i="8"/>
  <c r="BK31" i="8"/>
  <c r="BJ31" i="8"/>
  <c r="AU31" i="8"/>
  <c r="AD31" i="8"/>
  <c r="V31" i="8"/>
  <c r="U31" i="8"/>
  <c r="T31" i="8"/>
  <c r="DL30" i="8"/>
  <c r="CR30" i="8"/>
  <c r="CQ30" i="8" s="1"/>
  <c r="CP30" i="8"/>
  <c r="CN30" i="8"/>
  <c r="BR30" i="8"/>
  <c r="BQ30" i="8"/>
  <c r="BP30" i="8"/>
  <c r="BO30" i="8"/>
  <c r="BM30" i="8"/>
  <c r="BL30" i="8"/>
  <c r="BK30" i="8"/>
  <c r="BJ30" i="8"/>
  <c r="AU30" i="8"/>
  <c r="AD30" i="8"/>
  <c r="AC30" i="8" s="1"/>
  <c r="V30" i="8"/>
  <c r="T30" i="8"/>
  <c r="R30" i="8"/>
  <c r="DL29" i="8"/>
  <c r="CX29" i="8"/>
  <c r="CW29" i="8"/>
  <c r="CV29" i="8"/>
  <c r="CR29" i="8"/>
  <c r="CP29" i="8"/>
  <c r="CO29" i="8" s="1"/>
  <c r="CN29" i="8"/>
  <c r="BR29" i="8"/>
  <c r="BQ29" i="8"/>
  <c r="BP29" i="8"/>
  <c r="BO29" i="8"/>
  <c r="BN29" i="8"/>
  <c r="BM29" i="8"/>
  <c r="BL29" i="8"/>
  <c r="BK29" i="8"/>
  <c r="BJ29" i="8"/>
  <c r="AU29" i="8"/>
  <c r="AD29" i="8"/>
  <c r="AC29" i="8" s="1"/>
  <c r="AI29" i="8" s="1"/>
  <c r="CZ29" i="8" s="1"/>
  <c r="V29" i="8"/>
  <c r="U29" i="8"/>
  <c r="T29" i="8"/>
  <c r="DL28" i="8"/>
  <c r="CR28" i="8"/>
  <c r="CQ28" i="8" s="1"/>
  <c r="CP28" i="8"/>
  <c r="CO28" i="8" s="1"/>
  <c r="CN28" i="8"/>
  <c r="BR28" i="8"/>
  <c r="BQ28" i="8"/>
  <c r="BP28" i="8"/>
  <c r="BO28" i="8"/>
  <c r="BM28" i="8"/>
  <c r="BL28" i="8"/>
  <c r="BK28" i="8"/>
  <c r="BJ28" i="8"/>
  <c r="AU28" i="8"/>
  <c r="AD28" i="8"/>
  <c r="V28" i="8"/>
  <c r="T28" i="8"/>
  <c r="R28" i="8"/>
  <c r="CV28" i="8" s="1"/>
  <c r="DL27" i="8"/>
  <c r="CR27" i="8"/>
  <c r="CQ27" i="8" s="1"/>
  <c r="CP27" i="8"/>
  <c r="CN27" i="8"/>
  <c r="BR27" i="8"/>
  <c r="BQ27" i="8"/>
  <c r="BP27" i="8"/>
  <c r="BO27" i="8"/>
  <c r="BM27" i="8"/>
  <c r="BL27" i="8"/>
  <c r="BK27" i="8"/>
  <c r="BJ27" i="8"/>
  <c r="AU27" i="8"/>
  <c r="AG27" i="8"/>
  <c r="AD27" i="8"/>
  <c r="V27" i="8"/>
  <c r="T27" i="8"/>
  <c r="R27" i="8"/>
  <c r="CX27" i="8" s="1"/>
  <c r="DL16" i="8"/>
  <c r="CX16" i="8"/>
  <c r="CW16" i="8"/>
  <c r="CV16" i="8"/>
  <c r="CR16" i="8"/>
  <c r="CQ16" i="8" s="1"/>
  <c r="CP16" i="8"/>
  <c r="CN16" i="8"/>
  <c r="BR16" i="8"/>
  <c r="BQ16" i="8"/>
  <c r="BP16" i="8"/>
  <c r="BO16" i="8"/>
  <c r="BN16" i="8"/>
  <c r="BM16" i="8"/>
  <c r="BL16" i="8"/>
  <c r="BK16" i="8"/>
  <c r="BJ16" i="8"/>
  <c r="AU16" i="8"/>
  <c r="AD16" i="8"/>
  <c r="V16" i="8"/>
  <c r="U16" i="8"/>
  <c r="T16" i="8"/>
  <c r="DL15" i="8"/>
  <c r="CX15" i="8"/>
  <c r="CW15" i="8"/>
  <c r="CV15" i="8"/>
  <c r="CR15" i="8"/>
  <c r="CQ15" i="8" s="1"/>
  <c r="CP15" i="8"/>
  <c r="CO15" i="8" s="1"/>
  <c r="CN15" i="8"/>
  <c r="BR15" i="8"/>
  <c r="BQ15" i="8"/>
  <c r="BP15" i="8"/>
  <c r="BO15" i="8"/>
  <c r="BN15" i="8"/>
  <c r="BM15" i="8"/>
  <c r="BL15" i="8"/>
  <c r="BK15" i="8"/>
  <c r="BJ15" i="8"/>
  <c r="AU15" i="8"/>
  <c r="AD15" i="8"/>
  <c r="V15" i="8"/>
  <c r="U15" i="8"/>
  <c r="T15" i="8"/>
  <c r="DL26" i="8"/>
  <c r="CX26" i="8"/>
  <c r="CW26" i="8"/>
  <c r="CV26" i="8"/>
  <c r="CR26" i="8"/>
  <c r="CQ26" i="8" s="1"/>
  <c r="CP26" i="8"/>
  <c r="CN26" i="8"/>
  <c r="BX26" i="8"/>
  <c r="BU26" i="8"/>
  <c r="BR26" i="8"/>
  <c r="BQ26" i="8"/>
  <c r="BP26" i="8"/>
  <c r="BO26" i="8"/>
  <c r="BN26" i="8"/>
  <c r="BM26" i="8"/>
  <c r="BL26" i="8"/>
  <c r="BK26" i="8"/>
  <c r="BJ26" i="8"/>
  <c r="AU26" i="8"/>
  <c r="AG26" i="8"/>
  <c r="AF26" i="8"/>
  <c r="AD26" i="8" s="1"/>
  <c r="V26" i="8"/>
  <c r="U26" i="8"/>
  <c r="T26" i="8"/>
  <c r="DL25" i="8"/>
  <c r="CX25" i="8"/>
  <c r="CW25" i="8"/>
  <c r="CV25" i="8"/>
  <c r="CR25" i="8"/>
  <c r="CQ25" i="8" s="1"/>
  <c r="CP25" i="8"/>
  <c r="CO25" i="8" s="1"/>
  <c r="CN25" i="8"/>
  <c r="BU25" i="8"/>
  <c r="BR25" i="8"/>
  <c r="BQ25" i="8"/>
  <c r="BP25" i="8"/>
  <c r="BO25" i="8"/>
  <c r="BN25" i="8"/>
  <c r="BM25" i="8"/>
  <c r="BL25" i="8"/>
  <c r="BK25" i="8"/>
  <c r="BJ25" i="8"/>
  <c r="AU25" i="8"/>
  <c r="AD25" i="8"/>
  <c r="AC25" i="8" s="1"/>
  <c r="AI25" i="8" s="1"/>
  <c r="DA25" i="8" s="1"/>
  <c r="V25" i="8"/>
  <c r="U25" i="8"/>
  <c r="T25" i="8"/>
  <c r="DL24" i="8"/>
  <c r="CX24" i="8"/>
  <c r="CW24" i="8"/>
  <c r="CV24" i="8"/>
  <c r="CR24" i="8"/>
  <c r="CQ24" i="8" s="1"/>
  <c r="CP24" i="8"/>
  <c r="CN24" i="8"/>
  <c r="BX24" i="8"/>
  <c r="BU24" i="8"/>
  <c r="BR24" i="8"/>
  <c r="BQ24" i="8"/>
  <c r="BP24" i="8"/>
  <c r="BO24" i="8"/>
  <c r="BN24" i="8"/>
  <c r="BM24" i="8"/>
  <c r="BL24" i="8"/>
  <c r="BK24" i="8"/>
  <c r="BJ24" i="8"/>
  <c r="AU24" i="8"/>
  <c r="AD24" i="8"/>
  <c r="AC24" i="8" s="1"/>
  <c r="AI24" i="8" s="1"/>
  <c r="CZ24" i="8" s="1"/>
  <c r="V24" i="8"/>
  <c r="U24" i="8"/>
  <c r="T24" i="8"/>
  <c r="DL23" i="8"/>
  <c r="CR23" i="8"/>
  <c r="CQ23" i="8" s="1"/>
  <c r="CP23" i="8"/>
  <c r="CO23" i="8" s="1"/>
  <c r="CN23" i="8"/>
  <c r="BU23" i="8"/>
  <c r="BR23" i="8"/>
  <c r="BQ23" i="8"/>
  <c r="BP23" i="8"/>
  <c r="BO23" i="8"/>
  <c r="BM23" i="8"/>
  <c r="BL23" i="8"/>
  <c r="BK23" i="8"/>
  <c r="BJ23" i="8"/>
  <c r="AU23" i="8"/>
  <c r="AD23" i="8"/>
  <c r="V23" i="8"/>
  <c r="T23" i="8"/>
  <c r="R23" i="8"/>
  <c r="BN23" i="8" s="1"/>
  <c r="EC22" i="8"/>
  <c r="DL22" i="8"/>
  <c r="CX22" i="8"/>
  <c r="CW22" i="8"/>
  <c r="CV22" i="8"/>
  <c r="CR22" i="8"/>
  <c r="CQ22" i="8" s="1"/>
  <c r="CP22" i="8"/>
  <c r="CO22" i="8" s="1"/>
  <c r="CN22" i="8"/>
  <c r="BX22" i="8"/>
  <c r="BU22" i="8"/>
  <c r="BR22" i="8"/>
  <c r="BQ22" i="8"/>
  <c r="BP22" i="8"/>
  <c r="BO22" i="8"/>
  <c r="BN22" i="8"/>
  <c r="BM22" i="8"/>
  <c r="BL22" i="8"/>
  <c r="BK22" i="8"/>
  <c r="BJ22" i="8"/>
  <c r="AU22" i="8"/>
  <c r="AD22" i="8"/>
  <c r="AC22" i="8" s="1"/>
  <c r="AI22" i="8" s="1"/>
  <c r="V22" i="8"/>
  <c r="U22" i="8"/>
  <c r="T22" i="8"/>
  <c r="EC14" i="8"/>
  <c r="DL14" i="8"/>
  <c r="CR14" i="8"/>
  <c r="CP14" i="8"/>
  <c r="CO14" i="8" s="1"/>
  <c r="CN14" i="8"/>
  <c r="BX14" i="8"/>
  <c r="BU14" i="8"/>
  <c r="BR14" i="8"/>
  <c r="BQ14" i="8"/>
  <c r="BP14" i="8"/>
  <c r="BO14" i="8"/>
  <c r="BN14" i="8"/>
  <c r="BM14" i="8"/>
  <c r="BJ14" i="8"/>
  <c r="AU14" i="8"/>
  <c r="AG14" i="8"/>
  <c r="AF14" i="8"/>
  <c r="AD14" i="8" s="1"/>
  <c r="S14" i="8"/>
  <c r="V14" i="8" s="1"/>
  <c r="R14" i="8"/>
  <c r="O14" i="8"/>
  <c r="N14" i="8"/>
  <c r="T14" i="8" s="1"/>
  <c r="EC21" i="8"/>
  <c r="DL21" i="8"/>
  <c r="CR21" i="8"/>
  <c r="CQ21" i="8" s="1"/>
  <c r="CP21" i="8"/>
  <c r="CN21" i="8"/>
  <c r="BX21" i="8"/>
  <c r="BU21" i="8"/>
  <c r="BR21" i="8"/>
  <c r="BQ21" i="8"/>
  <c r="BP21" i="8"/>
  <c r="BO21" i="8"/>
  <c r="BN21" i="8"/>
  <c r="BM21" i="8"/>
  <c r="BJ21" i="8"/>
  <c r="AU21" i="8"/>
  <c r="AG21" i="8"/>
  <c r="AF21" i="8"/>
  <c r="AD21" i="8" s="1"/>
  <c r="S21" i="8"/>
  <c r="V21" i="8" s="1"/>
  <c r="R21" i="8"/>
  <c r="U21" i="8" s="1"/>
  <c r="N21" i="8"/>
  <c r="EC20" i="8"/>
  <c r="DL20" i="8"/>
  <c r="CR20" i="8"/>
  <c r="CQ20" i="8" s="1"/>
  <c r="CP20" i="8"/>
  <c r="CN20" i="8"/>
  <c r="BX20" i="8"/>
  <c r="BU20" i="8"/>
  <c r="BR20" i="8"/>
  <c r="BQ20" i="8"/>
  <c r="BP20" i="8"/>
  <c r="BO20" i="8"/>
  <c r="BN20" i="8"/>
  <c r="BM20" i="8"/>
  <c r="BL20" i="8"/>
  <c r="BJ20" i="8"/>
  <c r="AU20" i="8"/>
  <c r="AD20" i="8"/>
  <c r="V20" i="8"/>
  <c r="T20" i="8"/>
  <c r="R20" i="8"/>
  <c r="CX20" i="8" s="1"/>
  <c r="EC19" i="8"/>
  <c r="DL19" i="8"/>
  <c r="CR19" i="8"/>
  <c r="CQ19" i="8" s="1"/>
  <c r="CP19" i="8"/>
  <c r="CO19" i="8" s="1"/>
  <c r="CN19" i="8"/>
  <c r="BX19" i="8"/>
  <c r="BU19" i="8"/>
  <c r="BR19" i="8"/>
  <c r="BQ19" i="8"/>
  <c r="BP19" i="8"/>
  <c r="BO19" i="8"/>
  <c r="BN19" i="8"/>
  <c r="BM19" i="8"/>
  <c r="BL19" i="8"/>
  <c r="BJ19" i="8"/>
  <c r="AU19" i="8"/>
  <c r="AG19" i="8"/>
  <c r="AF19" i="8"/>
  <c r="V19" i="8"/>
  <c r="T19" i="8"/>
  <c r="R19" i="8"/>
  <c r="CV19" i="8" s="1"/>
  <c r="EC18" i="8"/>
  <c r="DL18" i="8"/>
  <c r="CX18" i="8"/>
  <c r="CW18" i="8"/>
  <c r="CV18" i="8"/>
  <c r="CR18" i="8"/>
  <c r="CQ18" i="8" s="1"/>
  <c r="CP18" i="8"/>
  <c r="CO18" i="8" s="1"/>
  <c r="CN18" i="8"/>
  <c r="BX18" i="8"/>
  <c r="BU18" i="8"/>
  <c r="BR18" i="8"/>
  <c r="BQ18" i="8"/>
  <c r="BP18" i="8"/>
  <c r="BO18" i="8"/>
  <c r="BN18" i="8"/>
  <c r="BM18" i="8"/>
  <c r="BL18" i="8"/>
  <c r="BK18" i="8"/>
  <c r="BJ18" i="8"/>
  <c r="AU18" i="8"/>
  <c r="AD18" i="8"/>
  <c r="AC18" i="8" s="1"/>
  <c r="AI18" i="8" s="1"/>
  <c r="V18" i="8"/>
  <c r="U18" i="8"/>
  <c r="T18" i="8"/>
  <c r="EC17" i="8"/>
  <c r="DL17" i="8"/>
  <c r="CX17" i="8"/>
  <c r="CW17" i="8"/>
  <c r="CV17" i="8"/>
  <c r="CR17" i="8"/>
  <c r="CP17" i="8"/>
  <c r="CO17" i="8" s="1"/>
  <c r="CN17" i="8"/>
  <c r="BX17" i="8"/>
  <c r="BU17" i="8"/>
  <c r="BR17" i="8"/>
  <c r="BQ17" i="8"/>
  <c r="BP17" i="8"/>
  <c r="BO17" i="8"/>
  <c r="BN17" i="8"/>
  <c r="BM17" i="8"/>
  <c r="BL17" i="8"/>
  <c r="BK17" i="8"/>
  <c r="BJ17" i="8"/>
  <c r="AU17" i="8"/>
  <c r="AD17" i="8"/>
  <c r="V17" i="8"/>
  <c r="U17" i="8"/>
  <c r="T17" i="8"/>
  <c r="EC13" i="8"/>
  <c r="DL13" i="8"/>
  <c r="CX13" i="8"/>
  <c r="CW13" i="8"/>
  <c r="CV13" i="8"/>
  <c r="CR13" i="8"/>
  <c r="CQ13" i="8" s="1"/>
  <c r="CP13" i="8"/>
  <c r="CN13" i="8"/>
  <c r="BX13" i="8"/>
  <c r="BU13" i="8"/>
  <c r="BT13" i="8"/>
  <c r="BR13" i="8"/>
  <c r="BQ13" i="8"/>
  <c r="BP13" i="8"/>
  <c r="BO13" i="8"/>
  <c r="BN13" i="8"/>
  <c r="BM13" i="8"/>
  <c r="BL13" i="8"/>
  <c r="BK13" i="8"/>
  <c r="BJ13" i="8"/>
  <c r="BH13" i="8"/>
  <c r="BG13" i="8"/>
  <c r="BD13" i="8"/>
  <c r="AY13" i="8"/>
  <c r="AU13" i="8"/>
  <c r="AS13" i="8"/>
  <c r="AD13" i="8"/>
  <c r="AC13" i="8" s="1"/>
  <c r="AI13" i="8" s="1"/>
  <c r="DA13" i="8" s="1"/>
  <c r="V13" i="8"/>
  <c r="U13" i="8"/>
  <c r="T13" i="8"/>
  <c r="L13" i="8"/>
  <c r="DL12" i="8"/>
  <c r="CX12" i="8"/>
  <c r="CW12" i="8"/>
  <c r="CV12" i="8"/>
  <c r="CR12" i="8"/>
  <c r="CQ12" i="8" s="1"/>
  <c r="CP12" i="8"/>
  <c r="CO12" i="8" s="1"/>
  <c r="CN12" i="8"/>
  <c r="BU12" i="8"/>
  <c r="BR12" i="8"/>
  <c r="BQ12" i="8"/>
  <c r="BP12" i="8"/>
  <c r="BO12" i="8"/>
  <c r="BN12" i="8"/>
  <c r="BM12" i="8"/>
  <c r="BL12" i="8"/>
  <c r="BK12" i="8"/>
  <c r="BJ12" i="8"/>
  <c r="AU12" i="8"/>
  <c r="AD12" i="8"/>
  <c r="AC12" i="8" s="1"/>
  <c r="AI12" i="8" s="1"/>
  <c r="CZ12" i="8" s="1"/>
  <c r="V12" i="8"/>
  <c r="U12" i="8"/>
  <c r="T12" i="8"/>
  <c r="DL11" i="8"/>
  <c r="CR11" i="8"/>
  <c r="CQ11" i="8" s="1"/>
  <c r="CP11" i="8"/>
  <c r="CN11" i="8"/>
  <c r="BU11" i="8"/>
  <c r="BR11" i="8"/>
  <c r="BQ11" i="8"/>
  <c r="BP11" i="8"/>
  <c r="BO11" i="8"/>
  <c r="BM11" i="8"/>
  <c r="BL11" i="8"/>
  <c r="BK11" i="8"/>
  <c r="BJ11" i="8"/>
  <c r="AU11" i="8"/>
  <c r="AD11" i="8"/>
  <c r="AC11" i="8" s="1"/>
  <c r="V11" i="8"/>
  <c r="T11" i="8"/>
  <c r="R11" i="8"/>
  <c r="BN11" i="8" s="1"/>
  <c r="DL10" i="8"/>
  <c r="CR10" i="8"/>
  <c r="CQ10" i="8" s="1"/>
  <c r="CP10" i="8"/>
  <c r="CO10" i="8" s="1"/>
  <c r="CN10" i="8"/>
  <c r="BU10" i="8"/>
  <c r="BR10" i="8"/>
  <c r="BQ10" i="8"/>
  <c r="BP10" i="8"/>
  <c r="BO10" i="8"/>
  <c r="BM10" i="8"/>
  <c r="BL10" i="8"/>
  <c r="BK10" i="8"/>
  <c r="BJ10" i="8"/>
  <c r="AU10" i="8"/>
  <c r="AD10" i="8"/>
  <c r="AC10" i="8" s="1"/>
  <c r="V10" i="8"/>
  <c r="T10" i="8"/>
  <c r="R10" i="8"/>
  <c r="DL8" i="8"/>
  <c r="CX8" i="8"/>
  <c r="CW8" i="8"/>
  <c r="CV8" i="8"/>
  <c r="CR8" i="8"/>
  <c r="CQ8" i="8" s="1"/>
  <c r="CP8" i="8"/>
  <c r="CN8" i="8"/>
  <c r="BR8" i="8"/>
  <c r="BQ8" i="8"/>
  <c r="BP8" i="8"/>
  <c r="BO8" i="8"/>
  <c r="BN8" i="8"/>
  <c r="BM8" i="8"/>
  <c r="BL8" i="8"/>
  <c r="BK8" i="8"/>
  <c r="BJ8" i="8"/>
  <c r="AU8" i="8"/>
  <c r="AG8" i="8"/>
  <c r="AD8" i="8"/>
  <c r="V8" i="8"/>
  <c r="U8" i="8"/>
  <c r="T8" i="8"/>
  <c r="DL7" i="8"/>
  <c r="CR7" i="8"/>
  <c r="CQ7" i="8" s="1"/>
  <c r="CP7" i="8"/>
  <c r="CO7" i="8" s="1"/>
  <c r="CN7" i="8"/>
  <c r="BR7" i="8"/>
  <c r="BQ7" i="8"/>
  <c r="BP7" i="8"/>
  <c r="BO7" i="8"/>
  <c r="BM7" i="8"/>
  <c r="BL7" i="8"/>
  <c r="BK7" i="8"/>
  <c r="BJ7" i="8"/>
  <c r="AU7" i="8"/>
  <c r="AD7" i="8"/>
  <c r="V7" i="8"/>
  <c r="T7" i="8"/>
  <c r="R7" i="8"/>
  <c r="CX7" i="8" s="1"/>
  <c r="DL9" i="8"/>
  <c r="CX9" i="8"/>
  <c r="CW9" i="8"/>
  <c r="CV9" i="8"/>
  <c r="CR9" i="8"/>
  <c r="CQ9" i="8" s="1"/>
  <c r="CP9" i="8"/>
  <c r="CO9" i="8" s="1"/>
  <c r="CN9" i="8"/>
  <c r="BU9" i="8"/>
  <c r="BR9" i="8"/>
  <c r="BQ9" i="8"/>
  <c r="BP9" i="8"/>
  <c r="BO9" i="8"/>
  <c r="BN9" i="8"/>
  <c r="BM9" i="8"/>
  <c r="BL9" i="8"/>
  <c r="BK9" i="8"/>
  <c r="BJ9" i="8"/>
  <c r="AU9" i="8"/>
  <c r="AD9" i="8"/>
  <c r="V9" i="8"/>
  <c r="U9" i="8"/>
  <c r="T9" i="8"/>
  <c r="CT41" i="8" l="1"/>
  <c r="EC259" i="8"/>
  <c r="EC283" i="8" s="1"/>
  <c r="CT162" i="8"/>
  <c r="CS148" i="8"/>
  <c r="CS108" i="8"/>
  <c r="CS18" i="8"/>
  <c r="CT11" i="8"/>
  <c r="CT33" i="8"/>
  <c r="AU60" i="8"/>
  <c r="CT71" i="8"/>
  <c r="BN77" i="8"/>
  <c r="CT82" i="8"/>
  <c r="CS123" i="8"/>
  <c r="U166" i="8"/>
  <c r="CO41" i="8"/>
  <c r="CS41" i="8" s="1"/>
  <c r="CT42" i="8"/>
  <c r="U93" i="8"/>
  <c r="AU96" i="8"/>
  <c r="AC100" i="8"/>
  <c r="AI100" i="8" s="1"/>
  <c r="DA100" i="8" s="1"/>
  <c r="CS159" i="8"/>
  <c r="BK166" i="8"/>
  <c r="CT8" i="8"/>
  <c r="CT21" i="8"/>
  <c r="CT39" i="8"/>
  <c r="CV94" i="8"/>
  <c r="CS97" i="8"/>
  <c r="CW145" i="8"/>
  <c r="AU148" i="8"/>
  <c r="AU154" i="8"/>
  <c r="CN154" i="8"/>
  <c r="CO162" i="8"/>
  <c r="CS162" i="8" s="1"/>
  <c r="CS165" i="8"/>
  <c r="CS169" i="8"/>
  <c r="CS172" i="8"/>
  <c r="CN183" i="8"/>
  <c r="DP250" i="8"/>
  <c r="DP274" i="8" s="1"/>
  <c r="CN150" i="8"/>
  <c r="BK20" i="8"/>
  <c r="CT24" i="8"/>
  <c r="CT29" i="8"/>
  <c r="CT70" i="8"/>
  <c r="BK93" i="8"/>
  <c r="BK95" i="8"/>
  <c r="CT102" i="8"/>
  <c r="AC131" i="8"/>
  <c r="AI131" i="8" s="1"/>
  <c r="CZ131" i="8" s="1"/>
  <c r="CW131" i="8"/>
  <c r="BK32" i="8"/>
  <c r="CS63" i="8"/>
  <c r="CS64" i="8"/>
  <c r="CS183" i="8"/>
  <c r="DQ250" i="8"/>
  <c r="DQ274" i="8" s="1"/>
  <c r="CS23" i="8"/>
  <c r="U27" i="8"/>
  <c r="CT52" i="8"/>
  <c r="U7" i="8"/>
  <c r="CW7" i="8"/>
  <c r="CT10" i="8"/>
  <c r="BN27" i="8"/>
  <c r="CV27" i="8"/>
  <c r="CQ29" i="8"/>
  <c r="CS29" i="8" s="1"/>
  <c r="CT43" i="8"/>
  <c r="CT56" i="8"/>
  <c r="CW69" i="8"/>
  <c r="AC84" i="8"/>
  <c r="AI84" i="8" s="1"/>
  <c r="DA84" i="8" s="1"/>
  <c r="U136" i="8"/>
  <c r="CT141" i="8"/>
  <c r="AC158" i="8"/>
  <c r="AI158" i="8" s="1"/>
  <c r="U163" i="8"/>
  <c r="CT151" i="8"/>
  <c r="P250" i="8"/>
  <c r="P274" i="8" s="1"/>
  <c r="AC8" i="8"/>
  <c r="AI8" i="8" s="1"/>
  <c r="DA8" i="8" s="1"/>
  <c r="DL252" i="8"/>
  <c r="DL276" i="8" s="1"/>
  <c r="AC64" i="8"/>
  <c r="AI64" i="8" s="1"/>
  <c r="DA64" i="8" s="1"/>
  <c r="CY18" i="8"/>
  <c r="DA124" i="8"/>
  <c r="CS7" i="8"/>
  <c r="CS38" i="8"/>
  <c r="DL259" i="8"/>
  <c r="DL283" i="8" s="1"/>
  <c r="CS79" i="8"/>
  <c r="U144" i="8"/>
  <c r="CT152" i="8"/>
  <c r="DX250" i="8"/>
  <c r="DX274" i="8" s="1"/>
  <c r="EA250" i="8"/>
  <c r="EA274" i="8" s="1"/>
  <c r="CS116" i="8"/>
  <c r="CS119" i="8"/>
  <c r="CX123" i="8"/>
  <c r="CW123" i="8"/>
  <c r="BK148" i="8"/>
  <c r="CV148" i="8"/>
  <c r="AI162" i="8"/>
  <c r="CY162" i="8" s="1"/>
  <c r="AC167" i="8"/>
  <c r="AI167" i="8" s="1"/>
  <c r="DA167" i="8" s="1"/>
  <c r="CS186" i="8"/>
  <c r="AB275" i="8"/>
  <c r="AB250" i="8"/>
  <c r="AB274" i="8" s="1"/>
  <c r="DB275" i="8"/>
  <c r="DB250" i="8"/>
  <c r="DB274" i="8" s="1"/>
  <c r="DO250" i="8"/>
  <c r="DO274" i="8" s="1"/>
  <c r="DO276" i="8"/>
  <c r="BP255" i="8"/>
  <c r="BP279" i="8" s="1"/>
  <c r="CT80" i="8"/>
  <c r="CO80" i="8"/>
  <c r="CS80" i="8" s="1"/>
  <c r="CR72" i="8"/>
  <c r="CQ72" i="8" s="1"/>
  <c r="CS72" i="8" s="1"/>
  <c r="AW256" i="8"/>
  <c r="AW280" i="8" s="1"/>
  <c r="AU85" i="8"/>
  <c r="AU256" i="8" s="1"/>
  <c r="AU280" i="8" s="1"/>
  <c r="CO85" i="8"/>
  <c r="CS22" i="8"/>
  <c r="CZ40" i="8"/>
  <c r="CT44" i="8"/>
  <c r="CT51" i="8"/>
  <c r="AC94" i="8"/>
  <c r="AI94" i="8" s="1"/>
  <c r="CY94" i="8" s="1"/>
  <c r="CW110" i="8"/>
  <c r="U110" i="8"/>
  <c r="CX110" i="8"/>
  <c r="CV162" i="8"/>
  <c r="U162" i="8"/>
  <c r="CO167" i="8"/>
  <c r="CS167" i="8" s="1"/>
  <c r="CT167" i="8"/>
  <c r="CT18" i="8"/>
  <c r="AC14" i="8"/>
  <c r="AI14" i="8" s="1"/>
  <c r="CZ14" i="8" s="1"/>
  <c r="CV32" i="8"/>
  <c r="CX39" i="8"/>
  <c r="CS44" i="8"/>
  <c r="BK47" i="8"/>
  <c r="CZ48" i="8"/>
  <c r="AC50" i="8"/>
  <c r="AI50" i="8" s="1"/>
  <c r="DA50" i="8" s="1"/>
  <c r="CS51" i="8"/>
  <c r="CS35" i="8"/>
  <c r="CT81" i="8"/>
  <c r="CQ81" i="8"/>
  <c r="CS81" i="8" s="1"/>
  <c r="CV83" i="8"/>
  <c r="CR85" i="8"/>
  <c r="CQ85" i="8" s="1"/>
  <c r="AI88" i="8"/>
  <c r="CZ88" i="8" s="1"/>
  <c r="CS101" i="8"/>
  <c r="BN106" i="8"/>
  <c r="CV106" i="8"/>
  <c r="CV122" i="8"/>
  <c r="BN122" i="8"/>
  <c r="CT124" i="8"/>
  <c r="AI43" i="8"/>
  <c r="CY43" i="8" s="1"/>
  <c r="BL255" i="8"/>
  <c r="BL279" i="8" s="1"/>
  <c r="BX255" i="8"/>
  <c r="BX279" i="8" s="1"/>
  <c r="CR91" i="8"/>
  <c r="CQ91" i="8" s="1"/>
  <c r="CS91" i="8" s="1"/>
  <c r="CS19" i="8"/>
  <c r="CX59" i="8"/>
  <c r="DA63" i="8"/>
  <c r="CT67" i="8"/>
  <c r="CV95" i="8"/>
  <c r="CX95" i="8"/>
  <c r="CW95" i="8"/>
  <c r="CV97" i="8"/>
  <c r="U97" i="8"/>
  <c r="DL254" i="8"/>
  <c r="DL278" i="8" s="1"/>
  <c r="CW19" i="8"/>
  <c r="CW20" i="8"/>
  <c r="CX11" i="8"/>
  <c r="CT17" i="8"/>
  <c r="U19" i="8"/>
  <c r="U20" i="8"/>
  <c r="CT14" i="8"/>
  <c r="CT23" i="8"/>
  <c r="CT15" i="8"/>
  <c r="U32" i="8"/>
  <c r="CS32" i="8"/>
  <c r="CX32" i="8"/>
  <c r="CT37" i="8"/>
  <c r="CT38" i="8"/>
  <c r="CO39" i="8"/>
  <c r="CS39" i="8" s="1"/>
  <c r="AC33" i="8"/>
  <c r="AI33" i="8" s="1"/>
  <c r="CY33" i="8" s="1"/>
  <c r="AD44" i="8"/>
  <c r="AD255" i="8" s="1"/>
  <c r="AD279" i="8" s="1"/>
  <c r="U50" i="8"/>
  <c r="CT35" i="8"/>
  <c r="CO56" i="8"/>
  <c r="CS56" i="8" s="1"/>
  <c r="CW58" i="8"/>
  <c r="U59" i="8"/>
  <c r="AU62" i="8"/>
  <c r="CT66" i="8"/>
  <c r="U69" i="8"/>
  <c r="CO70" i="8"/>
  <c r="CS70" i="8" s="1"/>
  <c r="CT76" i="8"/>
  <c r="AC81" i="8"/>
  <c r="AI81" i="8" s="1"/>
  <c r="CY81" i="8" s="1"/>
  <c r="CO82" i="8"/>
  <c r="CS82" i="8" s="1"/>
  <c r="BK110" i="8"/>
  <c r="AC111" i="8"/>
  <c r="AI111" i="8" s="1"/>
  <c r="CZ111" i="8" s="1"/>
  <c r="CO135" i="8"/>
  <c r="CS135" i="8" s="1"/>
  <c r="CT135" i="8"/>
  <c r="AC138" i="8"/>
  <c r="AI138" i="8" s="1"/>
  <c r="CY138" i="8" s="1"/>
  <c r="AG251" i="8"/>
  <c r="AG275" i="8" s="1"/>
  <c r="CW159" i="8"/>
  <c r="U159" i="8"/>
  <c r="CS111" i="8"/>
  <c r="BQ155" i="8"/>
  <c r="CX155" i="8"/>
  <c r="AA250" i="8"/>
  <c r="AA274" i="8" s="1"/>
  <c r="U154" i="8"/>
  <c r="CW166" i="8"/>
  <c r="T175" i="8"/>
  <c r="T252" i="8" s="1"/>
  <c r="T276" i="8" s="1"/>
  <c r="DA184" i="8"/>
  <c r="AU150" i="8"/>
  <c r="DV250" i="8"/>
  <c r="DV274" i="8" s="1"/>
  <c r="DX275" i="8"/>
  <c r="CT83" i="8"/>
  <c r="CN103" i="8"/>
  <c r="CS109" i="8"/>
  <c r="CT120" i="8"/>
  <c r="CS131" i="8"/>
  <c r="CX136" i="8"/>
  <c r="BF254" i="8"/>
  <c r="BF278" i="8" s="1"/>
  <c r="CW154" i="8"/>
  <c r="CT157" i="8"/>
  <c r="CT173" i="8"/>
  <c r="AI37" i="8"/>
  <c r="CY37" i="8" s="1"/>
  <c r="CY70" i="8"/>
  <c r="BL14" i="8"/>
  <c r="CW82" i="8"/>
  <c r="CW65" i="8"/>
  <c r="CT68" i="8"/>
  <c r="CS75" i="8"/>
  <c r="CT78" i="8"/>
  <c r="BK96" i="8"/>
  <c r="CV96" i="8"/>
  <c r="S253" i="8"/>
  <c r="S277" i="8" s="1"/>
  <c r="V119" i="8"/>
  <c r="V253" i="8" s="1"/>
  <c r="V277" i="8" s="1"/>
  <c r="CY149" i="8"/>
  <c r="CT158" i="8"/>
  <c r="CW169" i="8"/>
  <c r="AI169" i="8"/>
  <c r="CZ169" i="8" s="1"/>
  <c r="U169" i="8"/>
  <c r="AP254" i="8"/>
  <c r="AP278" i="8" s="1"/>
  <c r="X250" i="8"/>
  <c r="X274" i="8" s="1"/>
  <c r="X275" i="8"/>
  <c r="CZ13" i="8"/>
  <c r="EC254" i="8"/>
  <c r="EC278" i="8" s="1"/>
  <c r="CT22" i="8"/>
  <c r="CY22" i="8"/>
  <c r="CW23" i="8"/>
  <c r="CT25" i="8"/>
  <c r="CT26" i="8"/>
  <c r="CS15" i="8"/>
  <c r="CW27" i="8"/>
  <c r="U28" i="8"/>
  <c r="CW28" i="8"/>
  <c r="CS31" i="8"/>
  <c r="CV37" i="8"/>
  <c r="DA40" i="8"/>
  <c r="CS40" i="8"/>
  <c r="CZ42" i="8"/>
  <c r="CS45" i="8"/>
  <c r="CT46" i="8"/>
  <c r="CX47" i="8"/>
  <c r="CT49" i="8"/>
  <c r="CW50" i="8"/>
  <c r="CW34" i="8"/>
  <c r="CW54" i="8"/>
  <c r="U55" i="8"/>
  <c r="CT55" i="8"/>
  <c r="CV59" i="8"/>
  <c r="CT7" i="8"/>
  <c r="CS12" i="8"/>
  <c r="CQ17" i="8"/>
  <c r="CS17" i="8" s="1"/>
  <c r="BK19" i="8"/>
  <c r="CX19" i="8"/>
  <c r="CV20" i="8"/>
  <c r="CQ14" i="8"/>
  <c r="EC251" i="8"/>
  <c r="EC275" i="8" s="1"/>
  <c r="U23" i="8"/>
  <c r="CX23" i="8"/>
  <c r="CO24" i="8"/>
  <c r="CS24" i="8" s="1"/>
  <c r="CT16" i="8"/>
  <c r="CX28" i="8"/>
  <c r="CT30" i="8"/>
  <c r="CT32" i="8"/>
  <c r="CQ37" i="8"/>
  <c r="CQ252" i="8" s="1"/>
  <c r="CQ276" i="8" s="1"/>
  <c r="CN41" i="8"/>
  <c r="CN256" i="8" s="1"/>
  <c r="CN280" i="8" s="1"/>
  <c r="CO42" i="8"/>
  <c r="CS42" i="8" s="1"/>
  <c r="CY42" i="8"/>
  <c r="CO33" i="8"/>
  <c r="CS33" i="8" s="1"/>
  <c r="CT47" i="8"/>
  <c r="CQ52" i="8"/>
  <c r="CS52" i="8" s="1"/>
  <c r="O254" i="8"/>
  <c r="O278" i="8" s="1"/>
  <c r="AY254" i="8"/>
  <c r="AY278" i="8" s="1"/>
  <c r="AC36" i="8"/>
  <c r="AI36" i="8" s="1"/>
  <c r="CY36" i="8" s="1"/>
  <c r="U54" i="8"/>
  <c r="BK55" i="8"/>
  <c r="CS57" i="8"/>
  <c r="U58" i="8"/>
  <c r="AI58" i="8"/>
  <c r="CZ58" i="8" s="1"/>
  <c r="CV58" i="8"/>
  <c r="CT59" i="8"/>
  <c r="CW59" i="8"/>
  <c r="CZ63" i="8"/>
  <c r="U65" i="8"/>
  <c r="AI65" i="8"/>
  <c r="CY65" i="8" s="1"/>
  <c r="BK65" i="8"/>
  <c r="CT65" i="8"/>
  <c r="AC66" i="8"/>
  <c r="AI66" i="8" s="1"/>
  <c r="CY66" i="8" s="1"/>
  <c r="BK69" i="8"/>
  <c r="CV69" i="8"/>
  <c r="U71" i="8"/>
  <c r="AI71" i="8"/>
  <c r="DA71" i="8" s="1"/>
  <c r="CO71" i="8"/>
  <c r="CS71" i="8" s="1"/>
  <c r="CX71" i="8"/>
  <c r="CT77" i="8"/>
  <c r="CT79" i="8"/>
  <c r="BK89" i="8"/>
  <c r="AU92" i="8"/>
  <c r="CR92" i="8"/>
  <c r="CQ92" i="8" s="1"/>
  <c r="CS92" i="8" s="1"/>
  <c r="CX94" i="8"/>
  <c r="BK94" i="8"/>
  <c r="U96" i="8"/>
  <c r="CW96" i="8"/>
  <c r="AC110" i="8"/>
  <c r="AI110" i="8" s="1"/>
  <c r="DA110" i="8" s="1"/>
  <c r="CS113" i="8"/>
  <c r="CS133" i="8"/>
  <c r="CS126" i="8"/>
  <c r="AC163" i="8"/>
  <c r="AI163" i="8" s="1"/>
  <c r="DA163" i="8" s="1"/>
  <c r="CX169" i="8"/>
  <c r="CT170" i="8"/>
  <c r="BK175" i="8"/>
  <c r="CV175" i="8"/>
  <c r="CR180" i="8"/>
  <c r="AU180" i="8"/>
  <c r="AY251" i="8"/>
  <c r="AY275" i="8" s="1"/>
  <c r="DL187" i="8"/>
  <c r="DD250" i="8"/>
  <c r="DD274" i="8" s="1"/>
  <c r="DH275" i="8"/>
  <c r="DH250" i="8"/>
  <c r="DH274" i="8" s="1"/>
  <c r="DN250" i="8"/>
  <c r="DN274" i="8" s="1"/>
  <c r="DN275" i="8"/>
  <c r="DR275" i="8"/>
  <c r="DR250" i="8"/>
  <c r="DR274" i="8" s="1"/>
  <c r="DZ275" i="8"/>
  <c r="DZ250" i="8"/>
  <c r="DZ274" i="8" s="1"/>
  <c r="BY250" i="8"/>
  <c r="DT276" i="8"/>
  <c r="DT250" i="8"/>
  <c r="DT274" i="8" s="1"/>
  <c r="BY276" i="8"/>
  <c r="CT90" i="8"/>
  <c r="CO90" i="8"/>
  <c r="CS90" i="8" s="1"/>
  <c r="CT100" i="8"/>
  <c r="CO100" i="8"/>
  <c r="CS100" i="8" s="1"/>
  <c r="BG251" i="8"/>
  <c r="BG275" i="8" s="1"/>
  <c r="DA134" i="8"/>
  <c r="CZ134" i="8"/>
  <c r="CT137" i="8"/>
  <c r="CO137" i="8"/>
  <c r="CS137" i="8" s="1"/>
  <c r="AD180" i="8"/>
  <c r="AC180" i="8" s="1"/>
  <c r="AI180" i="8" s="1"/>
  <c r="AF251" i="8"/>
  <c r="AF275" i="8" s="1"/>
  <c r="BQ183" i="8"/>
  <c r="U183" i="8"/>
  <c r="AQ275" i="8"/>
  <c r="AQ250" i="8"/>
  <c r="AQ274" i="8" s="1"/>
  <c r="CV23" i="8"/>
  <c r="CS25" i="8"/>
  <c r="T255" i="8"/>
  <c r="T279" i="8" s="1"/>
  <c r="AI47" i="8"/>
  <c r="CY47" i="8" s="1"/>
  <c r="DA48" i="8"/>
  <c r="CV50" i="8"/>
  <c r="BN34" i="8"/>
  <c r="CV54" i="8"/>
  <c r="CX55" i="8"/>
  <c r="BH253" i="8"/>
  <c r="BH277" i="8" s="1"/>
  <c r="BV253" i="8"/>
  <c r="BV277" i="8" s="1"/>
  <c r="AA275" i="8"/>
  <c r="CR93" i="8"/>
  <c r="CQ93" i="8" s="1"/>
  <c r="CS93" i="8" s="1"/>
  <c r="AU93" i="8"/>
  <c r="CT96" i="8"/>
  <c r="CO96" i="8"/>
  <c r="CS96" i="8" s="1"/>
  <c r="CV101" i="8"/>
  <c r="CX101" i="8"/>
  <c r="AI119" i="8"/>
  <c r="CY119" i="8" s="1"/>
  <c r="U119" i="8"/>
  <c r="CO128" i="8"/>
  <c r="CS128" i="8" s="1"/>
  <c r="CT128" i="8"/>
  <c r="BN146" i="8"/>
  <c r="U146" i="8"/>
  <c r="CX146" i="8"/>
  <c r="CX175" i="8"/>
  <c r="U175" i="8"/>
  <c r="CV183" i="8"/>
  <c r="W250" i="8"/>
  <c r="W274" i="8" s="1"/>
  <c r="W275" i="8"/>
  <c r="AJ275" i="8"/>
  <c r="AJ250" i="8"/>
  <c r="AJ274" i="8" s="1"/>
  <c r="CT19" i="8"/>
  <c r="CS28" i="8"/>
  <c r="CT31" i="8"/>
  <c r="CT104" i="8"/>
  <c r="CO104" i="8"/>
  <c r="CS104" i="8" s="1"/>
  <c r="AC109" i="8"/>
  <c r="AI109" i="8" s="1"/>
  <c r="DA109" i="8" s="1"/>
  <c r="CW119" i="8"/>
  <c r="CR155" i="8"/>
  <c r="CQ155" i="8" s="1"/>
  <c r="AU155" i="8"/>
  <c r="CX183" i="8"/>
  <c r="AK254" i="8"/>
  <c r="AK278" i="8" s="1"/>
  <c r="CV152" i="8"/>
  <c r="U152" i="8"/>
  <c r="BQ152" i="8"/>
  <c r="CS10" i="8"/>
  <c r="EC253" i="8"/>
  <c r="EC277" i="8" s="1"/>
  <c r="CX21" i="8"/>
  <c r="CS14" i="8"/>
  <c r="CT53" i="8"/>
  <c r="BN60" i="8"/>
  <c r="CX65" i="8"/>
  <c r="CT75" i="8"/>
  <c r="CS78" i="8"/>
  <c r="CX93" i="8"/>
  <c r="CV93" i="8"/>
  <c r="L251" i="8"/>
  <c r="L275" i="8" s="1"/>
  <c r="CT98" i="8"/>
  <c r="U101" i="8"/>
  <c r="AI101" i="8"/>
  <c r="CY101" i="8" s="1"/>
  <c r="CW101" i="8"/>
  <c r="CT117" i="8"/>
  <c r="CX119" i="8"/>
  <c r="CX115" i="8"/>
  <c r="CW115" i="8"/>
  <c r="U115" i="8"/>
  <c r="CV115" i="8"/>
  <c r="AC128" i="8"/>
  <c r="AI128" i="8" s="1"/>
  <c r="CZ128" i="8" s="1"/>
  <c r="BK132" i="8"/>
  <c r="CV132" i="8"/>
  <c r="U132" i="8"/>
  <c r="BK137" i="8"/>
  <c r="CX137" i="8"/>
  <c r="CV146" i="8"/>
  <c r="AV252" i="8"/>
  <c r="AV276" i="8" s="1"/>
  <c r="AU142" i="8"/>
  <c r="AU252" i="8" s="1"/>
  <c r="AU276" i="8" s="1"/>
  <c r="U148" i="8"/>
  <c r="CO168" i="8"/>
  <c r="CS168" i="8" s="1"/>
  <c r="CT168" i="8"/>
  <c r="CZ178" i="8"/>
  <c r="DM275" i="8"/>
  <c r="DM250" i="8"/>
  <c r="DM274" i="8" s="1"/>
  <c r="DS250" i="8"/>
  <c r="DS274" i="8" s="1"/>
  <c r="DS276" i="8"/>
  <c r="DW250" i="8"/>
  <c r="DW274" i="8" s="1"/>
  <c r="DW276" i="8"/>
  <c r="EA276" i="8"/>
  <c r="CS86" i="8"/>
  <c r="CS95" i="8"/>
  <c r="CX97" i="8"/>
  <c r="DA104" i="8"/>
  <c r="CT105" i="8"/>
  <c r="CT108" i="8"/>
  <c r="CZ116" i="8"/>
  <c r="CS117" i="8"/>
  <c r="CT119" i="8"/>
  <c r="AC120" i="8"/>
  <c r="AI120" i="8" s="1"/>
  <c r="CY120" i="8" s="1"/>
  <c r="CT112" i="8"/>
  <c r="CT130" i="8"/>
  <c r="BK136" i="8"/>
  <c r="CS140" i="8"/>
  <c r="CT143" i="8"/>
  <c r="BQ154" i="8"/>
  <c r="CX154" i="8"/>
  <c r="CX159" i="8"/>
  <c r="CT160" i="8"/>
  <c r="CV166" i="8"/>
  <c r="CT169" i="8"/>
  <c r="CS174" i="8"/>
  <c r="CV181" i="8"/>
  <c r="CT186" i="8"/>
  <c r="BE251" i="8"/>
  <c r="BE275" i="8" s="1"/>
  <c r="Q250" i="8"/>
  <c r="Q275" i="8"/>
  <c r="DI250" i="8"/>
  <c r="DI274" i="8" s="1"/>
  <c r="AE250" i="8"/>
  <c r="AE274" i="8" s="1"/>
  <c r="AE278" i="8"/>
  <c r="BZ250" i="8"/>
  <c r="BZ274" i="8" s="1"/>
  <c r="CS105" i="8"/>
  <c r="CV255" i="8"/>
  <c r="CV279" i="8" s="1"/>
  <c r="DA120" i="8"/>
  <c r="CS112" i="8"/>
  <c r="BX259" i="8"/>
  <c r="BX283" i="8" s="1"/>
  <c r="CQ259" i="8"/>
  <c r="CQ283" i="8" s="1"/>
  <c r="CS129" i="8"/>
  <c r="CS130" i="8"/>
  <c r="CT131" i="8"/>
  <c r="CT133" i="8"/>
  <c r="CT127" i="8"/>
  <c r="CS146" i="8"/>
  <c r="CT139" i="8"/>
  <c r="AT253" i="8"/>
  <c r="AT277" i="8" s="1"/>
  <c r="CS158" i="8"/>
  <c r="CX163" i="8"/>
  <c r="CT172" i="8"/>
  <c r="DA178" i="8"/>
  <c r="CN180" i="8"/>
  <c r="CT183" i="8"/>
  <c r="G274" i="8"/>
  <c r="G275" i="8"/>
  <c r="DE250" i="8"/>
  <c r="DE274" i="8" s="1"/>
  <c r="DE275" i="8"/>
  <c r="AN250" i="8"/>
  <c r="AN274" i="8" s="1"/>
  <c r="AN276" i="8"/>
  <c r="CS9" i="8"/>
  <c r="CX30" i="8"/>
  <c r="AI30" i="8"/>
  <c r="DA30" i="8" s="1"/>
  <c r="U30" i="8"/>
  <c r="AC46" i="8"/>
  <c r="CX51" i="8"/>
  <c r="CW51" i="8"/>
  <c r="U51" i="8"/>
  <c r="CV51" i="8"/>
  <c r="BN51" i="8"/>
  <c r="CO89" i="8"/>
  <c r="CS89" i="8" s="1"/>
  <c r="CT89" i="8"/>
  <c r="AC90" i="8"/>
  <c r="AI90" i="8" s="1"/>
  <c r="CZ90" i="8" s="1"/>
  <c r="AC95" i="8"/>
  <c r="AI95" i="8" s="1"/>
  <c r="CO125" i="8"/>
  <c r="CS125" i="8" s="1"/>
  <c r="CT125" i="8"/>
  <c r="CO110" i="8"/>
  <c r="CO136" i="8"/>
  <c r="CS136" i="8" s="1"/>
  <c r="CT136" i="8"/>
  <c r="BJ256" i="8"/>
  <c r="BJ280" i="8" s="1"/>
  <c r="AC161" i="8"/>
  <c r="AI161" i="8" s="1"/>
  <c r="DA161" i="8" s="1"/>
  <c r="CW180" i="8"/>
  <c r="CX180" i="8"/>
  <c r="U180" i="8"/>
  <c r="CV180" i="8"/>
  <c r="BQ180" i="8"/>
  <c r="AC7" i="8"/>
  <c r="AI7" i="8" s="1"/>
  <c r="CZ7" i="8" s="1"/>
  <c r="CW10" i="8"/>
  <c r="AI10" i="8"/>
  <c r="U10" i="8"/>
  <c r="CV10" i="8"/>
  <c r="AC21" i="8"/>
  <c r="AI21" i="8" s="1"/>
  <c r="CY21" i="8" s="1"/>
  <c r="CZ25" i="8"/>
  <c r="CY29" i="8"/>
  <c r="CX38" i="8"/>
  <c r="CW38" i="8"/>
  <c r="AI38" i="8"/>
  <c r="CZ38" i="8" s="1"/>
  <c r="U38" i="8"/>
  <c r="BK90" i="8"/>
  <c r="CX90" i="8"/>
  <c r="U90" i="8"/>
  <c r="CW90" i="8"/>
  <c r="AC105" i="8"/>
  <c r="AI105" i="8" s="1"/>
  <c r="DA105" i="8" s="1"/>
  <c r="CO121" i="8"/>
  <c r="CS121" i="8" s="1"/>
  <c r="CT121" i="8"/>
  <c r="CR110" i="8"/>
  <c r="CQ110" i="8" s="1"/>
  <c r="AU110" i="8"/>
  <c r="AC136" i="8"/>
  <c r="AI136" i="8" s="1"/>
  <c r="AC9" i="8"/>
  <c r="L256" i="8"/>
  <c r="AY256" i="8"/>
  <c r="AY280" i="8" s="1"/>
  <c r="DA18" i="8"/>
  <c r="CZ18" i="8"/>
  <c r="CX14" i="8"/>
  <c r="U14" i="8"/>
  <c r="CW14" i="8"/>
  <c r="CV14" i="8"/>
  <c r="CY24" i="8"/>
  <c r="CY25" i="8"/>
  <c r="CT27" i="8"/>
  <c r="AC28" i="8"/>
  <c r="AI28" i="8" s="1"/>
  <c r="DA28" i="8" s="1"/>
  <c r="AC32" i="8"/>
  <c r="AI32" i="8" s="1"/>
  <c r="CZ32" i="8" s="1"/>
  <c r="CV38" i="8"/>
  <c r="CO8" i="8"/>
  <c r="CS8" i="8" s="1"/>
  <c r="BN10" i="8"/>
  <c r="CX10" i="8"/>
  <c r="CO11" i="8"/>
  <c r="CS11" i="8" s="1"/>
  <c r="DA12" i="8"/>
  <c r="CT12" i="8"/>
  <c r="CY12" i="8"/>
  <c r="CY13" i="8"/>
  <c r="CT13" i="8"/>
  <c r="AD19" i="8"/>
  <c r="AD256" i="8" s="1"/>
  <c r="AD280" i="8" s="1"/>
  <c r="CT20" i="8"/>
  <c r="CO21" i="8"/>
  <c r="CS21" i="8" s="1"/>
  <c r="BK14" i="8"/>
  <c r="DA22" i="8"/>
  <c r="CZ22" i="8"/>
  <c r="DA24" i="8"/>
  <c r="AC26" i="8"/>
  <c r="AI26" i="8" s="1"/>
  <c r="DA26" i="8" s="1"/>
  <c r="AC16" i="8"/>
  <c r="AI16" i="8" s="1"/>
  <c r="CY16" i="8" s="1"/>
  <c r="CT28" i="8"/>
  <c r="CV30" i="8"/>
  <c r="CX37" i="8"/>
  <c r="BK37" i="8"/>
  <c r="U37" i="8"/>
  <c r="CW37" i="8"/>
  <c r="R255" i="8"/>
  <c r="R279" i="8" s="1"/>
  <c r="CV39" i="8"/>
  <c r="AI39" i="8"/>
  <c r="CY39" i="8" s="1"/>
  <c r="U39" i="8"/>
  <c r="U255" i="8" s="1"/>
  <c r="U279" i="8" s="1"/>
  <c r="BK39" i="8"/>
  <c r="BK255" i="8" s="1"/>
  <c r="BK279" i="8" s="1"/>
  <c r="CT40" i="8"/>
  <c r="CX43" i="8"/>
  <c r="U43" i="8"/>
  <c r="CW43" i="8"/>
  <c r="BN43" i="8"/>
  <c r="CV43" i="8"/>
  <c r="DA45" i="8"/>
  <c r="CZ45" i="8"/>
  <c r="CT45" i="8"/>
  <c r="CY45" i="8"/>
  <c r="BO255" i="8"/>
  <c r="BO279" i="8" s="1"/>
  <c r="BU255" i="8"/>
  <c r="BU279" i="8" s="1"/>
  <c r="CQ255" i="8"/>
  <c r="CQ279" i="8" s="1"/>
  <c r="CO48" i="8"/>
  <c r="CS48" i="8" s="1"/>
  <c r="CT48" i="8"/>
  <c r="AC51" i="8"/>
  <c r="AI51" i="8" s="1"/>
  <c r="N256" i="8"/>
  <c r="N280" i="8" s="1"/>
  <c r="T95" i="8"/>
  <c r="AC96" i="8"/>
  <c r="AI96" i="8" s="1"/>
  <c r="CY98" i="8"/>
  <c r="CZ98" i="8"/>
  <c r="AC137" i="8"/>
  <c r="AI137" i="8" s="1"/>
  <c r="CZ137" i="8" s="1"/>
  <c r="AC17" i="8"/>
  <c r="AI17" i="8" s="1"/>
  <c r="CZ17" i="8" s="1"/>
  <c r="T21" i="8"/>
  <c r="CW30" i="8"/>
  <c r="CM252" i="8"/>
  <c r="CM276" i="8" s="1"/>
  <c r="CN37" i="8"/>
  <c r="AC55" i="8"/>
  <c r="AI55" i="8" s="1"/>
  <c r="CZ55" i="8" s="1"/>
  <c r="CV57" i="8"/>
  <c r="U57" i="8"/>
  <c r="BN57" i="8"/>
  <c r="CX57" i="8"/>
  <c r="CW57" i="8"/>
  <c r="AI57" i="8"/>
  <c r="DA57" i="8" s="1"/>
  <c r="CW75" i="8"/>
  <c r="AI75" i="8"/>
  <c r="CY75" i="8" s="1"/>
  <c r="U75" i="8"/>
  <c r="CV75" i="8"/>
  <c r="BN75" i="8"/>
  <c r="CX75" i="8"/>
  <c r="AC79" i="8"/>
  <c r="AI79" i="8" s="1"/>
  <c r="CY79" i="8" s="1"/>
  <c r="CO73" i="8"/>
  <c r="CS73" i="8" s="1"/>
  <c r="CT73" i="8"/>
  <c r="AU103" i="8"/>
  <c r="CR103" i="8"/>
  <c r="CQ103" i="8" s="1"/>
  <c r="CS103" i="8" s="1"/>
  <c r="AC143" i="8"/>
  <c r="AI143" i="8" s="1"/>
  <c r="CZ143" i="8" s="1"/>
  <c r="CT177" i="8"/>
  <c r="CO177" i="8"/>
  <c r="CS177" i="8" s="1"/>
  <c r="AC153" i="8"/>
  <c r="AD253" i="8"/>
  <c r="AD277" i="8" s="1"/>
  <c r="CW21" i="8"/>
  <c r="CV21" i="8"/>
  <c r="BK21" i="8"/>
  <c r="AC27" i="8"/>
  <c r="AI27" i="8" s="1"/>
  <c r="AC41" i="8"/>
  <c r="AI41" i="8" s="1"/>
  <c r="CY41" i="8" s="1"/>
  <c r="AC35" i="8"/>
  <c r="AI35" i="8" s="1"/>
  <c r="DA35" i="8" s="1"/>
  <c r="AC69" i="8"/>
  <c r="AI69" i="8" s="1"/>
  <c r="CY69" i="8" s="1"/>
  <c r="AC74" i="8"/>
  <c r="AI74" i="8" s="1"/>
  <c r="CY74" i="8" s="1"/>
  <c r="S259" i="8"/>
  <c r="S283" i="8" s="1"/>
  <c r="V123" i="8"/>
  <c r="V259" i="8" s="1"/>
  <c r="V283" i="8" s="1"/>
  <c r="CX129" i="8"/>
  <c r="CW129" i="8"/>
  <c r="U129" i="8"/>
  <c r="BN129" i="8"/>
  <c r="CV129" i="8"/>
  <c r="K251" i="8"/>
  <c r="K275" i="8" s="1"/>
  <c r="CN187" i="8"/>
  <c r="CW11" i="8"/>
  <c r="AI11" i="8"/>
  <c r="U11" i="8"/>
  <c r="CV11" i="8"/>
  <c r="DA29" i="8"/>
  <c r="BN30" i="8"/>
  <c r="CO61" i="8"/>
  <c r="CS61" i="8" s="1"/>
  <c r="CT61" i="8"/>
  <c r="BH256" i="8"/>
  <c r="BH280" i="8" s="1"/>
  <c r="CS83" i="8"/>
  <c r="CZ87" i="8"/>
  <c r="DA87" i="8"/>
  <c r="CV90" i="8"/>
  <c r="CO106" i="8"/>
  <c r="CS106" i="8" s="1"/>
  <c r="CT106" i="8"/>
  <c r="AC142" i="8"/>
  <c r="AI142" i="8" s="1"/>
  <c r="CZ142" i="8" s="1"/>
  <c r="CX158" i="8"/>
  <c r="U158" i="8"/>
  <c r="CW158" i="8"/>
  <c r="BN158" i="8"/>
  <c r="CV158" i="8"/>
  <c r="DA160" i="8"/>
  <c r="CY160" i="8"/>
  <c r="R253" i="8"/>
  <c r="R277" i="8" s="1"/>
  <c r="CV164" i="8"/>
  <c r="AI164" i="8"/>
  <c r="CZ164" i="8" s="1"/>
  <c r="U164" i="8"/>
  <c r="BN164" i="8"/>
  <c r="CX164" i="8"/>
  <c r="CW164" i="8"/>
  <c r="CW167" i="8"/>
  <c r="CX167" i="8"/>
  <c r="U167" i="8"/>
  <c r="CV167" i="8"/>
  <c r="BN167" i="8"/>
  <c r="CR255" i="8"/>
  <c r="CR279" i="8" s="1"/>
  <c r="AC49" i="8"/>
  <c r="AI49" i="8" s="1"/>
  <c r="DA49" i="8" s="1"/>
  <c r="AC54" i="8"/>
  <c r="AI54" i="8" s="1"/>
  <c r="CZ54" i="8" s="1"/>
  <c r="CP60" i="8"/>
  <c r="CZ62" i="8"/>
  <c r="AC68" i="8"/>
  <c r="AI68" i="8" s="1"/>
  <c r="CZ68" i="8" s="1"/>
  <c r="AH251" i="8"/>
  <c r="DA98" i="8"/>
  <c r="CV100" i="8"/>
  <c r="BN100" i="8"/>
  <c r="U100" i="8"/>
  <c r="CS107" i="8"/>
  <c r="CZ124" i="8"/>
  <c r="DA112" i="8"/>
  <c r="CZ112" i="8"/>
  <c r="AC115" i="8"/>
  <c r="AI115" i="8" s="1"/>
  <c r="CZ115" i="8" s="1"/>
  <c r="CX130" i="8"/>
  <c r="CW130" i="8"/>
  <c r="AI130" i="8"/>
  <c r="CZ130" i="8" s="1"/>
  <c r="U130" i="8"/>
  <c r="BN130" i="8"/>
  <c r="CV130" i="8"/>
  <c r="CX139" i="8"/>
  <c r="AI139" i="8"/>
  <c r="CZ139" i="8" s="1"/>
  <c r="U139" i="8"/>
  <c r="BN139" i="8"/>
  <c r="CX141" i="8"/>
  <c r="AI141" i="8"/>
  <c r="CZ141" i="8" s="1"/>
  <c r="U141" i="8"/>
  <c r="BN141" i="8"/>
  <c r="BU142" i="8"/>
  <c r="BU252" i="8" s="1"/>
  <c r="BU276" i="8" s="1"/>
  <c r="AC148" i="8"/>
  <c r="AI148" i="8" s="1"/>
  <c r="V254" i="8"/>
  <c r="V278" i="8" s="1"/>
  <c r="AC170" i="8"/>
  <c r="AI170" i="8" s="1"/>
  <c r="DA170" i="8" s="1"/>
  <c r="AC175" i="8"/>
  <c r="AI175" i="8" s="1"/>
  <c r="CZ175" i="8" s="1"/>
  <c r="CS182" i="8"/>
  <c r="CO185" i="8"/>
  <c r="CS185" i="8" s="1"/>
  <c r="CT185" i="8"/>
  <c r="EB251" i="8"/>
  <c r="DL253" i="8"/>
  <c r="DL277" i="8" s="1"/>
  <c r="BT256" i="8"/>
  <c r="BT280" i="8" s="1"/>
  <c r="CO13" i="8"/>
  <c r="CS13" i="8" s="1"/>
  <c r="AC20" i="8"/>
  <c r="AI20" i="8" s="1"/>
  <c r="CO20" i="8"/>
  <c r="CS20" i="8" s="1"/>
  <c r="BL21" i="8"/>
  <c r="AC23" i="8"/>
  <c r="AI23" i="8" s="1"/>
  <c r="DA23" i="8" s="1"/>
  <c r="CO26" i="8"/>
  <c r="CS26" i="8" s="1"/>
  <c r="AC15" i="8"/>
  <c r="AI15" i="8" s="1"/>
  <c r="CY15" i="8" s="1"/>
  <c r="CO16" i="8"/>
  <c r="CS16" i="8" s="1"/>
  <c r="CO27" i="8"/>
  <c r="CS27" i="8" s="1"/>
  <c r="CO30" i="8"/>
  <c r="CS30" i="8" s="1"/>
  <c r="AC31" i="8"/>
  <c r="AI31" i="8" s="1"/>
  <c r="CY31" i="8" s="1"/>
  <c r="V255" i="8"/>
  <c r="V279" i="8" s="1"/>
  <c r="AU255" i="8"/>
  <c r="AU279" i="8" s="1"/>
  <c r="BM255" i="8"/>
  <c r="BM279" i="8" s="1"/>
  <c r="BQ255" i="8"/>
  <c r="BQ279" i="8" s="1"/>
  <c r="CN255" i="8"/>
  <c r="CN279" i="8" s="1"/>
  <c r="CW47" i="8"/>
  <c r="CV47" i="8"/>
  <c r="CO47" i="8"/>
  <c r="CS47" i="8" s="1"/>
  <c r="S256" i="8"/>
  <c r="S280" i="8" s="1"/>
  <c r="V50" i="8"/>
  <c r="V256" i="8" s="1"/>
  <c r="V280" i="8" s="1"/>
  <c r="CS50" i="8"/>
  <c r="AC53" i="8"/>
  <c r="AI53" i="8" s="1"/>
  <c r="DA53" i="8" s="1"/>
  <c r="CS54" i="8"/>
  <c r="CO55" i="8"/>
  <c r="CS55" i="8" s="1"/>
  <c r="AC56" i="8"/>
  <c r="AI56" i="8" s="1"/>
  <c r="CZ56" i="8" s="1"/>
  <c r="CT58" i="8"/>
  <c r="AC59" i="8"/>
  <c r="AI59" i="8" s="1"/>
  <c r="DA59" i="8" s="1"/>
  <c r="CT63" i="8"/>
  <c r="CT64" i="8"/>
  <c r="CX67" i="8"/>
  <c r="AI67" i="8"/>
  <c r="U67" i="8"/>
  <c r="CW67" i="8"/>
  <c r="BN67" i="8"/>
  <c r="DA67" i="8"/>
  <c r="CV67" i="8"/>
  <c r="DA70" i="8"/>
  <c r="CS77" i="8"/>
  <c r="CW78" i="8"/>
  <c r="CV78" i="8"/>
  <c r="BK78" i="8"/>
  <c r="AI78" i="8"/>
  <c r="CZ78" i="8" s="1"/>
  <c r="U78" i="8"/>
  <c r="CV82" i="8"/>
  <c r="BK82" i="8"/>
  <c r="AI82" i="8"/>
  <c r="DA82" i="8" s="1"/>
  <c r="U82" i="8"/>
  <c r="DL256" i="8"/>
  <c r="DL280" i="8" s="1"/>
  <c r="CV72" i="8"/>
  <c r="AI72" i="8"/>
  <c r="DA72" i="8" s="1"/>
  <c r="U72" i="8"/>
  <c r="BK72" i="8"/>
  <c r="CW72" i="8"/>
  <c r="DA73" i="8"/>
  <c r="CY73" i="8"/>
  <c r="CS74" i="8"/>
  <c r="BK84" i="8"/>
  <c r="CX84" i="8"/>
  <c r="U84" i="8"/>
  <c r="CS84" i="8"/>
  <c r="CV84" i="8"/>
  <c r="CY87" i="8"/>
  <c r="CS87" i="8"/>
  <c r="BK88" i="8"/>
  <c r="U88" i="8"/>
  <c r="CX88" i="8"/>
  <c r="CT88" i="8"/>
  <c r="CW88" i="8"/>
  <c r="AC89" i="8"/>
  <c r="AI89" i="8" s="1"/>
  <c r="CY89" i="8" s="1"/>
  <c r="AC91" i="8"/>
  <c r="AI91" i="8" s="1"/>
  <c r="CZ91" i="8" s="1"/>
  <c r="CZ92" i="8"/>
  <c r="CY92" i="8"/>
  <c r="DA92" i="8"/>
  <c r="V93" i="8"/>
  <c r="V251" i="8" s="1"/>
  <c r="BL93" i="8"/>
  <c r="BL251" i="8" s="1"/>
  <c r="CT94" i="8"/>
  <c r="CT97" i="8"/>
  <c r="CT99" i="8"/>
  <c r="CT101" i="8"/>
  <c r="CO102" i="8"/>
  <c r="CS102" i="8" s="1"/>
  <c r="AC106" i="8"/>
  <c r="AI106" i="8" s="1"/>
  <c r="CY106" i="8" s="1"/>
  <c r="CT107" i="8"/>
  <c r="CT116" i="8"/>
  <c r="DA117" i="8"/>
  <c r="DA118" i="8"/>
  <c r="CT118" i="8"/>
  <c r="CY118" i="8"/>
  <c r="CV119" i="8"/>
  <c r="BN119" i="8"/>
  <c r="CX122" i="8"/>
  <c r="CW122" i="8"/>
  <c r="AI122" i="8"/>
  <c r="DA122" i="8" s="1"/>
  <c r="U122" i="8"/>
  <c r="CT122" i="8"/>
  <c r="CT123" i="8"/>
  <c r="DA125" i="8"/>
  <c r="CY125" i="8"/>
  <c r="CT111" i="8"/>
  <c r="DA114" i="8"/>
  <c r="BL259" i="8"/>
  <c r="BL283" i="8" s="1"/>
  <c r="BP259" i="8"/>
  <c r="BP283" i="8" s="1"/>
  <c r="CT129" i="8"/>
  <c r="CO134" i="8"/>
  <c r="CS134" i="8" s="1"/>
  <c r="CT134" i="8"/>
  <c r="CT126" i="8"/>
  <c r="AC144" i="8"/>
  <c r="AI144" i="8" s="1"/>
  <c r="CZ144" i="8" s="1"/>
  <c r="CO155" i="8"/>
  <c r="AC157" i="8"/>
  <c r="AI157" i="8" s="1"/>
  <c r="CY157" i="8" s="1"/>
  <c r="AC159" i="8"/>
  <c r="AI159" i="8" s="1"/>
  <c r="CZ159" i="8" s="1"/>
  <c r="AC171" i="8"/>
  <c r="AI171" i="8" s="1"/>
  <c r="DA171" i="8" s="1"/>
  <c r="CX52" i="8"/>
  <c r="CW52" i="8"/>
  <c r="AI52" i="8"/>
  <c r="CZ52" i="8" s="1"/>
  <c r="U52" i="8"/>
  <c r="CS58" i="8"/>
  <c r="CX76" i="8"/>
  <c r="AI76" i="8"/>
  <c r="U76" i="8"/>
  <c r="CW76" i="8"/>
  <c r="BN76" i="8"/>
  <c r="DA76" i="8"/>
  <c r="CV76" i="8"/>
  <c r="CX77" i="8"/>
  <c r="CW77" i="8"/>
  <c r="AI77" i="8"/>
  <c r="CZ77" i="8" s="1"/>
  <c r="U77" i="8"/>
  <c r="BK83" i="8"/>
  <c r="CX83" i="8"/>
  <c r="AI83" i="8"/>
  <c r="CZ83" i="8" s="1"/>
  <c r="U83" i="8"/>
  <c r="CV86" i="8"/>
  <c r="AI86" i="8"/>
  <c r="DA86" i="8" s="1"/>
  <c r="U86" i="8"/>
  <c r="BK86" i="8"/>
  <c r="CS88" i="8"/>
  <c r="AC93" i="8"/>
  <c r="AI93" i="8" s="1"/>
  <c r="DA93" i="8" s="1"/>
  <c r="AC97" i="8"/>
  <c r="AI97" i="8" s="1"/>
  <c r="CZ97" i="8" s="1"/>
  <c r="CS99" i="8"/>
  <c r="DA102" i="8"/>
  <c r="N253" i="8"/>
  <c r="N277" i="8" s="1"/>
  <c r="T119" i="8"/>
  <c r="T253" i="8" s="1"/>
  <c r="T277" i="8" s="1"/>
  <c r="AC121" i="8"/>
  <c r="AI121" i="8" s="1"/>
  <c r="CZ121" i="8" s="1"/>
  <c r="CY112" i="8"/>
  <c r="CW137" i="8"/>
  <c r="CW259" i="8" s="1"/>
  <c r="CW283" i="8" s="1"/>
  <c r="U137" i="8"/>
  <c r="CV137" i="8"/>
  <c r="CT9" i="8"/>
  <c r="BN7" i="8"/>
  <c r="CV7" i="8"/>
  <c r="AS256" i="8"/>
  <c r="AS280" i="8" s="1"/>
  <c r="EC252" i="8"/>
  <c r="BN28" i="8"/>
  <c r="BJ255" i="8"/>
  <c r="BJ279" i="8" s="1"/>
  <c r="BN255" i="8"/>
  <c r="BN279" i="8" s="1"/>
  <c r="BR255" i="8"/>
  <c r="BR279" i="8" s="1"/>
  <c r="CP255" i="8"/>
  <c r="CP279" i="8" s="1"/>
  <c r="CO46" i="8"/>
  <c r="CS49" i="8"/>
  <c r="CT50" i="8"/>
  <c r="BN52" i="8"/>
  <c r="CN34" i="8"/>
  <c r="CV34" i="8"/>
  <c r="AI34" i="8"/>
  <c r="DA34" i="8" s="1"/>
  <c r="U34" i="8"/>
  <c r="CT54" i="8"/>
  <c r="CT57" i="8"/>
  <c r="CS59" i="8"/>
  <c r="CW60" i="8"/>
  <c r="AI60" i="8"/>
  <c r="CY60" i="8" s="1"/>
  <c r="U60" i="8"/>
  <c r="CV60" i="8"/>
  <c r="CX61" i="8"/>
  <c r="AI61" i="8"/>
  <c r="U61" i="8"/>
  <c r="CW61" i="8"/>
  <c r="BN61" i="8"/>
  <c r="DA61" i="8"/>
  <c r="CV61" i="8"/>
  <c r="AV253" i="8"/>
  <c r="AV277" i="8" s="1"/>
  <c r="CP62" i="8"/>
  <c r="BI253" i="8"/>
  <c r="BI277" i="8" s="1"/>
  <c r="CT69" i="8"/>
  <c r="CO69" i="8"/>
  <c r="CS69" i="8" s="1"/>
  <c r="CW80" i="8"/>
  <c r="CV80" i="8"/>
  <c r="BK80" i="8"/>
  <c r="AI80" i="8"/>
  <c r="CZ80" i="8" s="1"/>
  <c r="U80" i="8"/>
  <c r="CT72" i="8"/>
  <c r="CT74" i="8"/>
  <c r="CT84" i="8"/>
  <c r="AC85" i="8"/>
  <c r="AI85" i="8" s="1"/>
  <c r="CY85" i="8" s="1"/>
  <c r="BD256" i="8"/>
  <c r="BD280" i="8" s="1"/>
  <c r="CT86" i="8"/>
  <c r="CX86" i="8"/>
  <c r="CT87" i="8"/>
  <c r="CX89" i="8"/>
  <c r="CW89" i="8"/>
  <c r="U89" i="8"/>
  <c r="CS94" i="8"/>
  <c r="CT95" i="8"/>
  <c r="AC99" i="8"/>
  <c r="AI99" i="8" s="1"/>
  <c r="CW100" i="8"/>
  <c r="AC103" i="8"/>
  <c r="AI103" i="8" s="1"/>
  <c r="DA103" i="8" s="1"/>
  <c r="CX106" i="8"/>
  <c r="CW106" i="8"/>
  <c r="U106" i="8"/>
  <c r="AC107" i="8"/>
  <c r="AI107" i="8" s="1"/>
  <c r="AC108" i="8"/>
  <c r="AI108" i="8" s="1"/>
  <c r="CZ108" i="8" s="1"/>
  <c r="CT109" i="8"/>
  <c r="CS118" i="8"/>
  <c r="CS122" i="8"/>
  <c r="R259" i="8"/>
  <c r="R283" i="8" s="1"/>
  <c r="CV123" i="8"/>
  <c r="BK123" i="8"/>
  <c r="BK259" i="8" s="1"/>
  <c r="BK283" i="8" s="1"/>
  <c r="AI123" i="8"/>
  <c r="DA123" i="8" s="1"/>
  <c r="U123" i="8"/>
  <c r="U259" i="8" s="1"/>
  <c r="U283" i="8" s="1"/>
  <c r="AU259" i="8"/>
  <c r="AU283" i="8" s="1"/>
  <c r="BM259" i="8"/>
  <c r="BM283" i="8" s="1"/>
  <c r="BQ259" i="8"/>
  <c r="BQ283" i="8" s="1"/>
  <c r="CN259" i="8"/>
  <c r="CN283" i="8" s="1"/>
  <c r="CR259" i="8"/>
  <c r="CR283" i="8" s="1"/>
  <c r="AC129" i="8"/>
  <c r="AI129" i="8" s="1"/>
  <c r="CV139" i="8"/>
  <c r="CV141" i="8"/>
  <c r="AG254" i="8"/>
  <c r="AG278" i="8" s="1"/>
  <c r="BN256" i="8"/>
  <c r="BN280" i="8" s="1"/>
  <c r="BR256" i="8"/>
  <c r="BR280" i="8" s="1"/>
  <c r="CS147" i="8"/>
  <c r="N251" i="8"/>
  <c r="N275" i="8" s="1"/>
  <c r="CZ156" i="8"/>
  <c r="CY156" i="8"/>
  <c r="CZ160" i="8"/>
  <c r="AC177" i="8"/>
  <c r="AI177" i="8" s="1"/>
  <c r="CZ177" i="8" s="1"/>
  <c r="CT178" i="8"/>
  <c r="CO178" i="8"/>
  <c r="CS178" i="8" s="1"/>
  <c r="CT179" i="8"/>
  <c r="CO179" i="8"/>
  <c r="CS179" i="8" s="1"/>
  <c r="BX251" i="8"/>
  <c r="BX275" i="8" s="1"/>
  <c r="AC151" i="8"/>
  <c r="AI151" i="8" s="1"/>
  <c r="CZ151" i="8" s="1"/>
  <c r="CX50" i="8"/>
  <c r="CO53" i="8"/>
  <c r="CS53" i="8" s="1"/>
  <c r="CX54" i="8"/>
  <c r="CV55" i="8"/>
  <c r="CX58" i="8"/>
  <c r="AW253" i="8"/>
  <c r="AW277" i="8" s="1"/>
  <c r="CY62" i="8"/>
  <c r="CY63" i="8"/>
  <c r="CV71" i="8"/>
  <c r="BG256" i="8"/>
  <c r="BG280" i="8" s="1"/>
  <c r="CW94" i="8"/>
  <c r="O256" i="8"/>
  <c r="O280" i="8" s="1"/>
  <c r="CZ102" i="8"/>
  <c r="CZ104" i="8"/>
  <c r="CW255" i="8"/>
  <c r="CW279" i="8" s="1"/>
  <c r="CY116" i="8"/>
  <c r="CZ117" i="8"/>
  <c r="CY124" i="8"/>
  <c r="CV110" i="8"/>
  <c r="CT113" i="8"/>
  <c r="CS115" i="8"/>
  <c r="CV131" i="8"/>
  <c r="BK131" i="8"/>
  <c r="U131" i="8"/>
  <c r="CT132" i="8"/>
  <c r="CX135" i="8"/>
  <c r="CW135" i="8"/>
  <c r="AI135" i="8"/>
  <c r="DA135" i="8" s="1"/>
  <c r="U135" i="8"/>
  <c r="AC126" i="8"/>
  <c r="AI126" i="8" s="1"/>
  <c r="DA126" i="8" s="1"/>
  <c r="AC127" i="8"/>
  <c r="AI127" i="8" s="1"/>
  <c r="CZ127" i="8" s="1"/>
  <c r="AK252" i="8"/>
  <c r="AK276" i="8" s="1"/>
  <c r="AV254" i="8"/>
  <c r="AV278" i="8" s="1"/>
  <c r="AU144" i="8"/>
  <c r="BG254" i="8"/>
  <c r="BG278" i="8" s="1"/>
  <c r="CP144" i="8"/>
  <c r="CP254" i="8" s="1"/>
  <c r="CP278" i="8" s="1"/>
  <c r="K253" i="8"/>
  <c r="K277" i="8" s="1"/>
  <c r="AZ253" i="8"/>
  <c r="AZ277" i="8" s="1"/>
  <c r="DA149" i="8"/>
  <c r="J254" i="8"/>
  <c r="J278" i="8" s="1"/>
  <c r="CT164" i="8"/>
  <c r="CO164" i="8"/>
  <c r="CS164" i="8" s="1"/>
  <c r="CS176" i="8"/>
  <c r="AR252" i="8"/>
  <c r="AR276" i="8" s="1"/>
  <c r="BP252" i="8"/>
  <c r="BP276" i="8" s="1"/>
  <c r="BM252" i="8"/>
  <c r="BM276" i="8" s="1"/>
  <c r="BQ252" i="8"/>
  <c r="BQ276" i="8" s="1"/>
  <c r="BR253" i="8"/>
  <c r="BR277" i="8" s="1"/>
  <c r="DA185" i="8"/>
  <c r="CY185" i="8"/>
  <c r="BP251" i="8"/>
  <c r="BP275" i="8" s="1"/>
  <c r="CR60" i="8"/>
  <c r="CR253" i="8" s="1"/>
  <c r="CR277" i="8" s="1"/>
  <c r="BG253" i="8"/>
  <c r="BN71" i="8"/>
  <c r="EC256" i="8"/>
  <c r="EC280" i="8" s="1"/>
  <c r="BW251" i="8"/>
  <c r="BK97" i="8"/>
  <c r="BN101" i="8"/>
  <c r="DL255" i="8"/>
  <c r="DL279" i="8" s="1"/>
  <c r="BO119" i="8"/>
  <c r="AC113" i="8"/>
  <c r="AI113" i="8" s="1"/>
  <c r="CY113" i="8" s="1"/>
  <c r="CT115" i="8"/>
  <c r="CV135" i="8"/>
  <c r="CT146" i="8"/>
  <c r="CT138" i="8"/>
  <c r="CT140" i="8"/>
  <c r="K252" i="8"/>
  <c r="K276" i="8" s="1"/>
  <c r="CN142" i="8"/>
  <c r="CP142" i="8"/>
  <c r="CS143" i="8"/>
  <c r="BH254" i="8"/>
  <c r="BH278" i="8" s="1"/>
  <c r="R256" i="8"/>
  <c r="R280" i="8" s="1"/>
  <c r="CW147" i="8"/>
  <c r="CV147" i="8"/>
  <c r="AI147" i="8"/>
  <c r="CZ147" i="8" s="1"/>
  <c r="U147" i="8"/>
  <c r="BK147" i="8"/>
  <c r="BM256" i="8"/>
  <c r="BM280" i="8" s="1"/>
  <c r="CT148" i="8"/>
  <c r="M253" i="8"/>
  <c r="M277" i="8" s="1"/>
  <c r="AP253" i="8"/>
  <c r="AP277" i="8" s="1"/>
  <c r="BA253" i="8"/>
  <c r="BA277" i="8" s="1"/>
  <c r="CM253" i="8"/>
  <c r="CM277" i="8" s="1"/>
  <c r="CN149" i="8"/>
  <c r="CN253" i="8" s="1"/>
  <c r="CN277" i="8" s="1"/>
  <c r="AC154" i="8"/>
  <c r="AI154" i="8" s="1"/>
  <c r="CY154" i="8" s="1"/>
  <c r="CT154" i="8"/>
  <c r="CT161" i="8"/>
  <c r="CO161" i="8"/>
  <c r="CS161" i="8" s="1"/>
  <c r="CT163" i="8"/>
  <c r="CW165" i="8"/>
  <c r="BN165" i="8"/>
  <c r="AI165" i="8"/>
  <c r="CY165" i="8" s="1"/>
  <c r="U165" i="8"/>
  <c r="CV165" i="8"/>
  <c r="AC166" i="8"/>
  <c r="AI166" i="8" s="1"/>
  <c r="CY166" i="8" s="1"/>
  <c r="AC172" i="8"/>
  <c r="AI172" i="8" s="1"/>
  <c r="CY172" i="8" s="1"/>
  <c r="CY173" i="8"/>
  <c r="DA173" i="8"/>
  <c r="CZ173" i="8"/>
  <c r="CT176" i="8"/>
  <c r="CT181" i="8"/>
  <c r="CO181" i="8"/>
  <c r="CS181" i="8" s="1"/>
  <c r="AI182" i="8"/>
  <c r="CY182" i="8" s="1"/>
  <c r="BJ252" i="8"/>
  <c r="BJ276" i="8" s="1"/>
  <c r="BN252" i="8"/>
  <c r="BN276" i="8" s="1"/>
  <c r="BR252" i="8"/>
  <c r="BR276" i="8" s="1"/>
  <c r="CT182" i="8"/>
  <c r="J251" i="8"/>
  <c r="AO251" i="8"/>
  <c r="AO275" i="8" s="1"/>
  <c r="AZ251" i="8"/>
  <c r="CT150" i="8"/>
  <c r="CO150" i="8"/>
  <c r="CS150" i="8" s="1"/>
  <c r="BD253" i="8"/>
  <c r="BD277" i="8" s="1"/>
  <c r="AX254" i="8"/>
  <c r="AX278" i="8" s="1"/>
  <c r="BB254" i="8"/>
  <c r="BB278" i="8" s="1"/>
  <c r="BJ254" i="8"/>
  <c r="BJ278" i="8" s="1"/>
  <c r="BR254" i="8"/>
  <c r="BR278" i="8" s="1"/>
  <c r="CQ253" i="8"/>
  <c r="CQ277" i="8" s="1"/>
  <c r="AC259" i="8"/>
  <c r="AC283" i="8" s="1"/>
  <c r="BJ259" i="8"/>
  <c r="BJ283" i="8" s="1"/>
  <c r="BN259" i="8"/>
  <c r="BN283" i="8" s="1"/>
  <c r="BR259" i="8"/>
  <c r="BR283" i="8" s="1"/>
  <c r="CO259" i="8"/>
  <c r="CO283" i="8" s="1"/>
  <c r="CS114" i="8"/>
  <c r="AG252" i="8"/>
  <c r="AC132" i="8"/>
  <c r="AI132" i="8" s="1"/>
  <c r="CO132" i="8"/>
  <c r="CS132" i="8" s="1"/>
  <c r="CX132" i="8"/>
  <c r="AC133" i="8"/>
  <c r="AI133" i="8" s="1"/>
  <c r="DA133" i="8" s="1"/>
  <c r="CO127" i="8"/>
  <c r="CS127" i="8" s="1"/>
  <c r="CV136" i="8"/>
  <c r="AC146" i="8"/>
  <c r="AI146" i="8" s="1"/>
  <c r="DA146" i="8" s="1"/>
  <c r="CO138" i="8"/>
  <c r="CS138" i="8" s="1"/>
  <c r="CO139" i="8"/>
  <c r="CS139" i="8" s="1"/>
  <c r="AC140" i="8"/>
  <c r="AI140" i="8" s="1"/>
  <c r="DA140" i="8" s="1"/>
  <c r="N254" i="8"/>
  <c r="N278" i="8" s="1"/>
  <c r="CO141" i="8"/>
  <c r="CS141" i="8" s="1"/>
  <c r="BI254" i="8"/>
  <c r="BI278" i="8" s="1"/>
  <c r="CV144" i="8"/>
  <c r="AC145" i="8"/>
  <c r="AI145" i="8" s="1"/>
  <c r="CT145" i="8"/>
  <c r="BO256" i="8"/>
  <c r="BO280" i="8" s="1"/>
  <c r="BU256" i="8"/>
  <c r="BU280" i="8" s="1"/>
  <c r="CP256" i="8"/>
  <c r="CP280" i="8" s="1"/>
  <c r="CT147" i="8"/>
  <c r="CW148" i="8"/>
  <c r="AX253" i="8"/>
  <c r="AX277" i="8" s="1"/>
  <c r="BB253" i="8"/>
  <c r="BB277" i="8" s="1"/>
  <c r="CT149" i="8"/>
  <c r="CO154" i="8"/>
  <c r="CS154" i="8" s="1"/>
  <c r="AC155" i="8"/>
  <c r="AI155" i="8" s="1"/>
  <c r="CZ155" i="8" s="1"/>
  <c r="CT156" i="8"/>
  <c r="CO157" i="8"/>
  <c r="CS157" i="8" s="1"/>
  <c r="CT159" i="8"/>
  <c r="CV159" i="8"/>
  <c r="CO160" i="8"/>
  <c r="CS160" i="8" s="1"/>
  <c r="BN162" i="8"/>
  <c r="CW162" i="8"/>
  <c r="CO163" i="8"/>
  <c r="CS163" i="8" s="1"/>
  <c r="CT165" i="8"/>
  <c r="CT166" i="8"/>
  <c r="BK168" i="8"/>
  <c r="CS170" i="8"/>
  <c r="CT171" i="8"/>
  <c r="AD252" i="8"/>
  <c r="AD276" i="8" s="1"/>
  <c r="CR252" i="8"/>
  <c r="CR276" i="8" s="1"/>
  <c r="AX251" i="8"/>
  <c r="BB251" i="8"/>
  <c r="BB275" i="8" s="1"/>
  <c r="BF251" i="8"/>
  <c r="BO251" i="8"/>
  <c r="BO275" i="8" s="1"/>
  <c r="BS251" i="8"/>
  <c r="M254" i="8"/>
  <c r="M278" i="8" s="1"/>
  <c r="AS254" i="8"/>
  <c r="AS278" i="8" s="1"/>
  <c r="BC254" i="8"/>
  <c r="BC278" i="8" s="1"/>
  <c r="BK254" i="8"/>
  <c r="BK278" i="8" s="1"/>
  <c r="BO254" i="8"/>
  <c r="BO278" i="8" s="1"/>
  <c r="BT254" i="8"/>
  <c r="BT278" i="8" s="1"/>
  <c r="BJ253" i="8"/>
  <c r="BJ277" i="8" s="1"/>
  <c r="Z250" i="8"/>
  <c r="Z274" i="8" s="1"/>
  <c r="T259" i="8"/>
  <c r="T283" i="8" s="1"/>
  <c r="AD259" i="8"/>
  <c r="AD283" i="8" s="1"/>
  <c r="BO259" i="8"/>
  <c r="BO283" i="8" s="1"/>
  <c r="BU259" i="8"/>
  <c r="BU283" i="8" s="1"/>
  <c r="CP259" i="8"/>
  <c r="CP283" i="8" s="1"/>
  <c r="CT114" i="8"/>
  <c r="CY114" i="8"/>
  <c r="AF256" i="8"/>
  <c r="AF280" i="8" s="1"/>
  <c r="AG256" i="8"/>
  <c r="AG280" i="8" s="1"/>
  <c r="AM252" i="8"/>
  <c r="AM276" i="8" s="1"/>
  <c r="BN144" i="8"/>
  <c r="CX144" i="8"/>
  <c r="CX145" i="8"/>
  <c r="U145" i="8"/>
  <c r="CS145" i="8"/>
  <c r="CV145" i="8"/>
  <c r="BP256" i="8"/>
  <c r="BP280" i="8" s="1"/>
  <c r="BX256" i="8"/>
  <c r="BX280" i="8" s="1"/>
  <c r="CX148" i="8"/>
  <c r="AS253" i="8"/>
  <c r="AS277" i="8" s="1"/>
  <c r="CS149" i="8"/>
  <c r="CW155" i="8"/>
  <c r="U155" i="8"/>
  <c r="CS156" i="8"/>
  <c r="AG253" i="8"/>
  <c r="AG277" i="8" s="1"/>
  <c r="BN159" i="8"/>
  <c r="BN163" i="8"/>
  <c r="CW163" i="8"/>
  <c r="CS166" i="8"/>
  <c r="CV168" i="8"/>
  <c r="AI168" i="8"/>
  <c r="U168" i="8"/>
  <c r="CX168" i="8"/>
  <c r="BN169" i="8"/>
  <c r="CV169" i="8"/>
  <c r="CS171" i="8"/>
  <c r="CT174" i="8"/>
  <c r="CT175" i="8"/>
  <c r="CO175" i="8"/>
  <c r="CS175" i="8" s="1"/>
  <c r="CT184" i="8"/>
  <c r="CO184" i="8"/>
  <c r="CS184" i="8" s="1"/>
  <c r="AL251" i="8"/>
  <c r="AS251" i="8"/>
  <c r="BT251" i="8"/>
  <c r="BT275" i="8" s="1"/>
  <c r="AF254" i="8"/>
  <c r="AF278" i="8" s="1"/>
  <c r="AD152" i="8"/>
  <c r="BK253" i="8"/>
  <c r="BK277" i="8" s="1"/>
  <c r="BU253" i="8"/>
  <c r="BU277" i="8" s="1"/>
  <c r="BQ256" i="8"/>
  <c r="BQ280" i="8" s="1"/>
  <c r="O251" i="8"/>
  <c r="AY253" i="8"/>
  <c r="BC253" i="8"/>
  <c r="BC277" i="8" s="1"/>
  <c r="CO173" i="8"/>
  <c r="CS173" i="8" s="1"/>
  <c r="AC174" i="8"/>
  <c r="AI174" i="8" s="1"/>
  <c r="DA174" i="8" s="1"/>
  <c r="AC176" i="8"/>
  <c r="AI176" i="8" s="1"/>
  <c r="DA176" i="8" s="1"/>
  <c r="CY179" i="8"/>
  <c r="CZ179" i="8"/>
  <c r="R252" i="8"/>
  <c r="R276" i="8" s="1"/>
  <c r="CW181" i="8"/>
  <c r="BK181" i="8"/>
  <c r="AI181" i="8"/>
  <c r="CZ181" i="8" s="1"/>
  <c r="U181" i="8"/>
  <c r="BO252" i="8"/>
  <c r="BO276" i="8" s="1"/>
  <c r="BX252" i="8"/>
  <c r="BX276" i="8" s="1"/>
  <c r="AC183" i="8"/>
  <c r="AI183" i="8" s="1"/>
  <c r="DA183" i="8" s="1"/>
  <c r="AU183" i="8"/>
  <c r="BV251" i="8"/>
  <c r="CZ185" i="8"/>
  <c r="AC186" i="8"/>
  <c r="AI186" i="8" s="1"/>
  <c r="CY186" i="8" s="1"/>
  <c r="AC187" i="8"/>
  <c r="AP251" i="8"/>
  <c r="AP275" i="8" s="1"/>
  <c r="BD251" i="8"/>
  <c r="BD275" i="8" s="1"/>
  <c r="BH251" i="8"/>
  <c r="BM251" i="8"/>
  <c r="BM275" i="8" s="1"/>
  <c r="CM251" i="8"/>
  <c r="CM275" i="8" s="1"/>
  <c r="DA150" i="8"/>
  <c r="CZ150" i="8"/>
  <c r="AL254" i="8"/>
  <c r="AL278" i="8" s="1"/>
  <c r="AT254" i="8"/>
  <c r="AT278" i="8" s="1"/>
  <c r="CO152" i="8"/>
  <c r="BL253" i="8"/>
  <c r="BL277" i="8" s="1"/>
  <c r="BP253" i="8"/>
  <c r="BP277" i="8" s="1"/>
  <c r="DU250" i="8"/>
  <c r="DU274" i="8" s="1"/>
  <c r="DY250" i="8"/>
  <c r="DY274" i="8" s="1"/>
  <c r="AF252" i="8"/>
  <c r="CY184" i="8"/>
  <c r="CZ184" i="8"/>
  <c r="T251" i="8"/>
  <c r="T275" i="8" s="1"/>
  <c r="AR251" i="8"/>
  <c r="AR275" i="8" s="1"/>
  <c r="AW251" i="8"/>
  <c r="AW275" i="8" s="1"/>
  <c r="BA251" i="8"/>
  <c r="BJ251" i="8"/>
  <c r="BR251" i="8"/>
  <c r="BR275" i="8" s="1"/>
  <c r="CR187" i="8"/>
  <c r="CT187" i="8" s="1"/>
  <c r="K254" i="8"/>
  <c r="K278" i="8" s="1"/>
  <c r="CN152" i="8"/>
  <c r="CQ152" i="8"/>
  <c r="BQ253" i="8"/>
  <c r="BQ277" i="8" s="1"/>
  <c r="CS153" i="8"/>
  <c r="DF251" i="8"/>
  <c r="DJ250" i="8"/>
  <c r="DJ274" i="8" s="1"/>
  <c r="V252" i="8"/>
  <c r="V276" i="8" s="1"/>
  <c r="BL252" i="8"/>
  <c r="BL276" i="8" s="1"/>
  <c r="R251" i="8"/>
  <c r="R275" i="8" s="1"/>
  <c r="BU251" i="8"/>
  <c r="BU275" i="8" s="1"/>
  <c r="CW183" i="8"/>
  <c r="AR253" i="8"/>
  <c r="AR277" i="8" s="1"/>
  <c r="AT251" i="8"/>
  <c r="AT275" i="8" s="1"/>
  <c r="BC251" i="8"/>
  <c r="CP251" i="8"/>
  <c r="CP275" i="8" s="1"/>
  <c r="DK250" i="8"/>
  <c r="DK274" i="8" s="1"/>
  <c r="AM254" i="8"/>
  <c r="AM278" i="8" s="1"/>
  <c r="CM254" i="8"/>
  <c r="CM278" i="8" s="1"/>
  <c r="AF253" i="8"/>
  <c r="AF277" i="8" s="1"/>
  <c r="BE253" i="8"/>
  <c r="BE277" i="8" s="1"/>
  <c r="CO151" i="8"/>
  <c r="CS151" i="8" s="1"/>
  <c r="R254" i="8"/>
  <c r="R278" i="8" s="1"/>
  <c r="AU152" i="8"/>
  <c r="AZ254" i="8"/>
  <c r="AZ278" i="8" s="1"/>
  <c r="BD254" i="8"/>
  <c r="BD278" i="8" s="1"/>
  <c r="BL254" i="8"/>
  <c r="BL278" i="8" s="1"/>
  <c r="BP254" i="8"/>
  <c r="BP278" i="8" s="1"/>
  <c r="CW152" i="8"/>
  <c r="BM253" i="8"/>
  <c r="BM277" i="8" s="1"/>
  <c r="Y250" i="8"/>
  <c r="AO254" i="8"/>
  <c r="AO278" i="8" s="1"/>
  <c r="T254" i="8"/>
  <c r="T278" i="8" s="1"/>
  <c r="AR254" i="8"/>
  <c r="AR278" i="8" s="1"/>
  <c r="AW254" i="8"/>
  <c r="AW278" i="8" s="1"/>
  <c r="BA254" i="8"/>
  <c r="BA278" i="8" s="1"/>
  <c r="BE254" i="8"/>
  <c r="BM254" i="8"/>
  <c r="BM278" i="8" s="1"/>
  <c r="CT153" i="8"/>
  <c r="DC250" i="8"/>
  <c r="DC274" i="8" s="1"/>
  <c r="DG250" i="8"/>
  <c r="DG274" i="8" s="1"/>
  <c r="R10" i="7"/>
  <c r="U248" i="8" l="1"/>
  <c r="AB289" i="8"/>
  <c r="AE289" i="8"/>
  <c r="W289" i="8"/>
  <c r="V248" i="8"/>
  <c r="AN289" i="8"/>
  <c r="Q274" i="8"/>
  <c r="Q289" i="8"/>
  <c r="BY274" i="8"/>
  <c r="BY289" i="8"/>
  <c r="AA289" i="8"/>
  <c r="Y274" i="8"/>
  <c r="Y289" i="8"/>
  <c r="AJ289" i="8"/>
  <c r="X289" i="8"/>
  <c r="BZ289" i="8"/>
  <c r="AQ289" i="8"/>
  <c r="Z289" i="8"/>
  <c r="P289" i="8"/>
  <c r="DA33" i="8"/>
  <c r="CZ75" i="8"/>
  <c r="CZ170" i="8"/>
  <c r="DA37" i="8"/>
  <c r="CZ81" i="8"/>
  <c r="CY111" i="8"/>
  <c r="CZ66" i="8"/>
  <c r="DA66" i="8"/>
  <c r="DA81" i="8"/>
  <c r="CZ71" i="8"/>
  <c r="AU254" i="8"/>
  <c r="AU278" i="8" s="1"/>
  <c r="CZ33" i="8"/>
  <c r="CZ37" i="8"/>
  <c r="AU253" i="8"/>
  <c r="AU277" i="8" s="1"/>
  <c r="DA162" i="8"/>
  <c r="CZ138" i="8"/>
  <c r="CY34" i="8"/>
  <c r="CZ47" i="8"/>
  <c r="DA138" i="8"/>
  <c r="CY50" i="8"/>
  <c r="CZ8" i="8"/>
  <c r="CY8" i="8"/>
  <c r="CQ256" i="8"/>
  <c r="CQ280" i="8" s="1"/>
  <c r="CZ50" i="8"/>
  <c r="DL251" i="8"/>
  <c r="DA154" i="8"/>
  <c r="CY58" i="8"/>
  <c r="DA58" i="8"/>
  <c r="CY176" i="8"/>
  <c r="CY64" i="8"/>
  <c r="CY88" i="8"/>
  <c r="CZ64" i="8"/>
  <c r="CY32" i="8"/>
  <c r="CY14" i="8"/>
  <c r="AC44" i="8"/>
  <c r="AI44" i="8" s="1"/>
  <c r="CY44" i="8" s="1"/>
  <c r="DA14" i="8"/>
  <c r="CZ105" i="8"/>
  <c r="CZ255" i="8" s="1"/>
  <c r="CZ279" i="8" s="1"/>
  <c r="DA131" i="8"/>
  <c r="DA186" i="8"/>
  <c r="DA128" i="8"/>
  <c r="CY86" i="8"/>
  <c r="DA147" i="8"/>
  <c r="DA47" i="8"/>
  <c r="CP253" i="8"/>
  <c r="CP277" i="8" s="1"/>
  <c r="CY142" i="8"/>
  <c r="DA88" i="8"/>
  <c r="DA16" i="8"/>
  <c r="CT93" i="8"/>
  <c r="CZ163" i="8"/>
  <c r="CY53" i="8"/>
  <c r="BQ251" i="8"/>
  <c r="BQ275" i="8" s="1"/>
  <c r="CT255" i="8"/>
  <c r="CT279" i="8" s="1"/>
  <c r="CR256" i="8"/>
  <c r="CR280" i="8" s="1"/>
  <c r="CY163" i="8"/>
  <c r="CY108" i="8"/>
  <c r="DA85" i="8"/>
  <c r="CV259" i="8"/>
  <c r="CV283" i="8" s="1"/>
  <c r="BL256" i="8"/>
  <c r="BL280" i="8" s="1"/>
  <c r="CZ74" i="8"/>
  <c r="CY7" i="8"/>
  <c r="CZ120" i="8"/>
  <c r="CS85" i="8"/>
  <c r="CS256" i="8" s="1"/>
  <c r="CS280" i="8" s="1"/>
  <c r="CZ172" i="8"/>
  <c r="CY84" i="8"/>
  <c r="DA141" i="8"/>
  <c r="CZ94" i="8"/>
  <c r="T256" i="8"/>
  <c r="T280" i="8" s="1"/>
  <c r="DA119" i="8"/>
  <c r="BQ254" i="8"/>
  <c r="BQ278" i="8" s="1"/>
  <c r="AD251" i="8"/>
  <c r="AD275" i="8" s="1"/>
  <c r="AU251" i="8"/>
  <c r="AU275" i="8" s="1"/>
  <c r="BN251" i="8"/>
  <c r="BN275" i="8" s="1"/>
  <c r="CZ162" i="8"/>
  <c r="U254" i="8"/>
  <c r="U278" i="8" s="1"/>
  <c r="CZ182" i="8"/>
  <c r="CS259" i="8"/>
  <c r="CS283" i="8" s="1"/>
  <c r="DA172" i="8"/>
  <c r="CN252" i="8"/>
  <c r="CN276" i="8" s="1"/>
  <c r="CY131" i="8"/>
  <c r="CY109" i="8"/>
  <c r="CZ119" i="8"/>
  <c r="CT91" i="8"/>
  <c r="DA56" i="8"/>
  <c r="CY130" i="8"/>
  <c r="CZ171" i="8"/>
  <c r="DA111" i="8"/>
  <c r="CZ31" i="8"/>
  <c r="DA54" i="8"/>
  <c r="CY71" i="8"/>
  <c r="CN251" i="8"/>
  <c r="CN275" i="8" s="1"/>
  <c r="DA65" i="8"/>
  <c r="DA43" i="8"/>
  <c r="CZ26" i="8"/>
  <c r="CY105" i="8"/>
  <c r="CY255" i="8" s="1"/>
  <c r="CY279" i="8" s="1"/>
  <c r="CZ43" i="8"/>
  <c r="CT85" i="8"/>
  <c r="CT256" i="8" s="1"/>
  <c r="CT280" i="8" s="1"/>
  <c r="CY155" i="8"/>
  <c r="CY56" i="8"/>
  <c r="CY26" i="8"/>
  <c r="CY35" i="8"/>
  <c r="CY78" i="8"/>
  <c r="DA139" i="8"/>
  <c r="CW253" i="8"/>
  <c r="CW277" i="8" s="1"/>
  <c r="CZ35" i="8"/>
  <c r="CZ84" i="8"/>
  <c r="CW256" i="8"/>
  <c r="CW280" i="8" s="1"/>
  <c r="CZ129" i="8"/>
  <c r="CY129" i="8"/>
  <c r="DA129" i="8"/>
  <c r="CY96" i="8"/>
  <c r="CZ96" i="8"/>
  <c r="CZ51" i="8"/>
  <c r="CY51" i="8"/>
  <c r="DA51" i="8"/>
  <c r="DA148" i="8"/>
  <c r="CY148" i="8"/>
  <c r="CZ148" i="8"/>
  <c r="EB250" i="8"/>
  <c r="EB274" i="8" s="1"/>
  <c r="EB275" i="8"/>
  <c r="U251" i="8"/>
  <c r="U275" i="8" s="1"/>
  <c r="BN253" i="8"/>
  <c r="BN277" i="8" s="1"/>
  <c r="CV253" i="8"/>
  <c r="CV277" i="8" s="1"/>
  <c r="AK250" i="8"/>
  <c r="CR254" i="8"/>
  <c r="CR278" i="8" s="1"/>
  <c r="BI250" i="8"/>
  <c r="BC250" i="8"/>
  <c r="BC275" i="8"/>
  <c r="CN254" i="8"/>
  <c r="CN278" i="8" s="1"/>
  <c r="BJ250" i="8"/>
  <c r="BJ275" i="8"/>
  <c r="AF250" i="8"/>
  <c r="AF276" i="8"/>
  <c r="BV250" i="8"/>
  <c r="BV275" i="8"/>
  <c r="AY250" i="8"/>
  <c r="AY277" i="8"/>
  <c r="AS250" i="8"/>
  <c r="AS275" i="8"/>
  <c r="CY133" i="8"/>
  <c r="AZ250" i="8"/>
  <c r="AZ275" i="8"/>
  <c r="DA166" i="8"/>
  <c r="CY72" i="8"/>
  <c r="CZ60" i="8"/>
  <c r="CZ36" i="8"/>
  <c r="CY177" i="8"/>
  <c r="CO256" i="8"/>
  <c r="CO280" i="8" s="1"/>
  <c r="CY91" i="8"/>
  <c r="CZ65" i="8"/>
  <c r="CY97" i="8"/>
  <c r="CT155" i="8"/>
  <c r="CZ72" i="8"/>
  <c r="DA78" i="8"/>
  <c r="DA68" i="8"/>
  <c r="CZ49" i="8"/>
  <c r="M250" i="8"/>
  <c r="CY170" i="8"/>
  <c r="CY139" i="8"/>
  <c r="CY68" i="8"/>
  <c r="CZ79" i="8"/>
  <c r="DA31" i="8"/>
  <c r="DA91" i="8"/>
  <c r="CZ161" i="8"/>
  <c r="CT110" i="8"/>
  <c r="DA108" i="8"/>
  <c r="CY90" i="8"/>
  <c r="CZ57" i="8"/>
  <c r="CZ109" i="8"/>
  <c r="CT92" i="8"/>
  <c r="CS37" i="8"/>
  <c r="BE250" i="8"/>
  <c r="BE278" i="8"/>
  <c r="BA250" i="8"/>
  <c r="BA275" i="8"/>
  <c r="BH250" i="8"/>
  <c r="BH275" i="8"/>
  <c r="O250" i="8"/>
  <c r="O275" i="8"/>
  <c r="AL250" i="8"/>
  <c r="AL275" i="8"/>
  <c r="BS250" i="8"/>
  <c r="BS275" i="8"/>
  <c r="AX250" i="8"/>
  <c r="AX275" i="8"/>
  <c r="AG250" i="8"/>
  <c r="AG276" i="8"/>
  <c r="BW250" i="8"/>
  <c r="BW275" i="8"/>
  <c r="BG250" i="8"/>
  <c r="BG277" i="8"/>
  <c r="BL275" i="8"/>
  <c r="AH250" i="8"/>
  <c r="AH275" i="8"/>
  <c r="L250" i="8"/>
  <c r="L280" i="8"/>
  <c r="CZ110" i="8"/>
  <c r="CY110" i="8"/>
  <c r="DF250" i="8"/>
  <c r="DF274" i="8" s="1"/>
  <c r="DF275" i="8"/>
  <c r="CQ254" i="8"/>
  <c r="CQ278" i="8" s="1"/>
  <c r="CY181" i="8"/>
  <c r="BK252" i="8"/>
  <c r="BK276" i="8" s="1"/>
  <c r="BN254" i="8"/>
  <c r="BN278" i="8" s="1"/>
  <c r="J250" i="8"/>
  <c r="J275" i="8"/>
  <c r="CY169" i="8"/>
  <c r="BK251" i="8"/>
  <c r="BK275" i="8" s="1"/>
  <c r="AV250" i="8"/>
  <c r="EC250" i="8"/>
  <c r="EC274" i="8" s="1"/>
  <c r="EC276" i="8"/>
  <c r="CW254" i="8"/>
  <c r="CW278" i="8" s="1"/>
  <c r="CZ186" i="8"/>
  <c r="CY128" i="8"/>
  <c r="V250" i="8"/>
  <c r="V274" i="8" s="1"/>
  <c r="V275" i="8"/>
  <c r="CY59" i="8"/>
  <c r="CY141" i="8"/>
  <c r="U253" i="8"/>
  <c r="U277" i="8" s="1"/>
  <c r="DA79" i="8"/>
  <c r="DA36" i="8"/>
  <c r="DA181" i="8"/>
  <c r="U252" i="8"/>
  <c r="U276" i="8" s="1"/>
  <c r="BF250" i="8"/>
  <c r="BF275" i="8"/>
  <c r="CZ166" i="8"/>
  <c r="CZ154" i="8"/>
  <c r="CY57" i="8"/>
  <c r="DA101" i="8"/>
  <c r="DA97" i="8"/>
  <c r="CY80" i="8"/>
  <c r="DA60" i="8"/>
  <c r="CY52" i="8"/>
  <c r="DL250" i="8"/>
  <c r="DL274" i="8" s="1"/>
  <c r="DL275" i="8"/>
  <c r="CS155" i="8"/>
  <c r="S250" i="8"/>
  <c r="DA94" i="8"/>
  <c r="CZ85" i="8"/>
  <c r="CY161" i="8"/>
  <c r="DA90" i="8"/>
  <c r="DA75" i="8"/>
  <c r="DA169" i="8"/>
  <c r="CZ101" i="8"/>
  <c r="CQ180" i="8"/>
  <c r="CS180" i="8" s="1"/>
  <c r="CT180" i="8"/>
  <c r="DA95" i="8"/>
  <c r="CZ95" i="8"/>
  <c r="CY95" i="8"/>
  <c r="CY136" i="8"/>
  <c r="DA136" i="8"/>
  <c r="CZ136" i="8"/>
  <c r="CZ180" i="8"/>
  <c r="CY180" i="8"/>
  <c r="DA180" i="8"/>
  <c r="CY145" i="8"/>
  <c r="CZ145" i="8"/>
  <c r="DA145" i="8"/>
  <c r="DA27" i="8"/>
  <c r="CZ27" i="8"/>
  <c r="CY27" i="8"/>
  <c r="CZ132" i="8"/>
  <c r="DA132" i="8"/>
  <c r="CT144" i="8"/>
  <c r="CT254" i="8" s="1"/>
  <c r="CT278" i="8" s="1"/>
  <c r="CO144" i="8"/>
  <c r="CS144" i="8" s="1"/>
  <c r="DA107" i="8"/>
  <c r="CZ107" i="8"/>
  <c r="DA77" i="8"/>
  <c r="CO251" i="8"/>
  <c r="CO275" i="8" s="1"/>
  <c r="DA137" i="8"/>
  <c r="CW251" i="8"/>
  <c r="CW275" i="8" s="1"/>
  <c r="DA10" i="8"/>
  <c r="CY10" i="8"/>
  <c r="CM250" i="8"/>
  <c r="DA168" i="8"/>
  <c r="CY168" i="8"/>
  <c r="BP250" i="8"/>
  <c r="CY127" i="8"/>
  <c r="DA151" i="8"/>
  <c r="DA175" i="8"/>
  <c r="CY121" i="8"/>
  <c r="CY107" i="8"/>
  <c r="DA99" i="8"/>
  <c r="CZ99" i="8"/>
  <c r="DA83" i="8"/>
  <c r="DA130" i="8"/>
  <c r="CZ157" i="8"/>
  <c r="CY144" i="8"/>
  <c r="DA115" i="8"/>
  <c r="AI259" i="8"/>
  <c r="AI283" i="8" s="1"/>
  <c r="CZ34" i="8"/>
  <c r="CY175" i="8"/>
  <c r="CZ140" i="8"/>
  <c r="CY115" i="8"/>
  <c r="CY83" i="8"/>
  <c r="CY49" i="8"/>
  <c r="CZ174" i="8"/>
  <c r="DA41" i="8"/>
  <c r="CY143" i="8"/>
  <c r="CY55" i="8"/>
  <c r="CY137" i="8"/>
  <c r="DA96" i="8"/>
  <c r="DA32" i="8"/>
  <c r="CZ28" i="8"/>
  <c r="CY17" i="8"/>
  <c r="AR250" i="8"/>
  <c r="CS152" i="8"/>
  <c r="BM250" i="8"/>
  <c r="AC251" i="8"/>
  <c r="AC275" i="8" s="1"/>
  <c r="AI187" i="8"/>
  <c r="CY174" i="8"/>
  <c r="BO253" i="8"/>
  <c r="BT250" i="8"/>
  <c r="CZ168" i="8"/>
  <c r="DA155" i="8"/>
  <c r="AM250" i="8"/>
  <c r="CT259" i="8"/>
  <c r="CT283" i="8" s="1"/>
  <c r="BB250" i="8"/>
  <c r="CY140" i="8"/>
  <c r="CY146" i="8"/>
  <c r="AC252" i="8"/>
  <c r="AC276" i="8" s="1"/>
  <c r="CY147" i="8"/>
  <c r="DA127" i="8"/>
  <c r="DA113" i="8"/>
  <c r="CZ113" i="8"/>
  <c r="CZ126" i="8"/>
  <c r="CY126" i="8"/>
  <c r="CY82" i="8"/>
  <c r="CY151" i="8"/>
  <c r="DA177" i="8"/>
  <c r="N250" i="8"/>
  <c r="CZ146" i="8"/>
  <c r="CY103" i="8"/>
  <c r="DA80" i="8"/>
  <c r="CT62" i="8"/>
  <c r="CO62" i="8"/>
  <c r="CS62" i="8" s="1"/>
  <c r="CO255" i="8"/>
  <c r="CO279" i="8" s="1"/>
  <c r="CS46" i="8"/>
  <c r="CS255" i="8" s="1"/>
  <c r="CS279" i="8" s="1"/>
  <c r="DA121" i="8"/>
  <c r="CY171" i="8"/>
  <c r="DA159" i="8"/>
  <c r="DA157" i="8"/>
  <c r="DA144" i="8"/>
  <c r="CY67" i="8"/>
  <c r="CZ67" i="8"/>
  <c r="CZ15" i="8"/>
  <c r="CZ20" i="8"/>
  <c r="DA20" i="8"/>
  <c r="DA52" i="8"/>
  <c r="CY158" i="8"/>
  <c r="DA158" i="8"/>
  <c r="CZ158" i="8"/>
  <c r="DA142" i="8"/>
  <c r="CZ106" i="8"/>
  <c r="DA11" i="8"/>
  <c r="CY11" i="8"/>
  <c r="DA74" i="8"/>
  <c r="CZ69" i="8"/>
  <c r="CZ41" i="8"/>
  <c r="CZ30" i="8"/>
  <c r="AI153" i="8"/>
  <c r="AC253" i="8"/>
  <c r="AC277" i="8" s="1"/>
  <c r="CZ176" i="8"/>
  <c r="DA143" i="8"/>
  <c r="CZ23" i="8"/>
  <c r="DA17" i="8"/>
  <c r="CZ89" i="8"/>
  <c r="CZ39" i="8"/>
  <c r="DA39" i="8"/>
  <c r="AC19" i="8"/>
  <c r="AI19" i="8" s="1"/>
  <c r="CY19" i="8" s="1"/>
  <c r="DA7" i="8"/>
  <c r="CY28" i="8"/>
  <c r="CZ16" i="8"/>
  <c r="CZ21" i="8"/>
  <c r="CY38" i="8"/>
  <c r="DA69" i="8"/>
  <c r="BX250" i="8"/>
  <c r="CY132" i="8"/>
  <c r="CY93" i="8"/>
  <c r="CZ93" i="8"/>
  <c r="CZ76" i="8"/>
  <c r="CY76" i="8"/>
  <c r="K250" i="8"/>
  <c r="DA55" i="8"/>
  <c r="DA15" i="8"/>
  <c r="DA21" i="8"/>
  <c r="BU250" i="8"/>
  <c r="CQ187" i="8"/>
  <c r="CR251" i="8"/>
  <c r="BD250" i="8"/>
  <c r="AD254" i="8"/>
  <c r="AC152" i="8"/>
  <c r="DA165" i="8"/>
  <c r="CZ165" i="8"/>
  <c r="BK256" i="8"/>
  <c r="BK280" i="8" s="1"/>
  <c r="CO142" i="8"/>
  <c r="CS142" i="8" s="1"/>
  <c r="CT142" i="8"/>
  <c r="CT252" i="8" s="1"/>
  <c r="CT276" i="8" s="1"/>
  <c r="CY100" i="8"/>
  <c r="CZ103" i="8"/>
  <c r="DA89" i="8"/>
  <c r="CY77" i="8"/>
  <c r="CV254" i="8"/>
  <c r="CV278" i="8" s="1"/>
  <c r="CY159" i="8"/>
  <c r="CZ122" i="8"/>
  <c r="CY122" i="8"/>
  <c r="CT60" i="8"/>
  <c r="CO60" i="8"/>
  <c r="CS60" i="8" s="1"/>
  <c r="DA164" i="8"/>
  <c r="CY164" i="8"/>
  <c r="CZ10" i="8"/>
  <c r="CW252" i="8"/>
  <c r="CW276" i="8" s="1"/>
  <c r="AI46" i="8"/>
  <c r="AT250" i="8"/>
  <c r="R250" i="8"/>
  <c r="BR250" i="8"/>
  <c r="AW250" i="8"/>
  <c r="AP250" i="8"/>
  <c r="CY183" i="8"/>
  <c r="CZ183" i="8"/>
  <c r="AO250" i="8"/>
  <c r="CP252" i="8"/>
  <c r="CP276" i="8" s="1"/>
  <c r="AI252" i="8"/>
  <c r="AI276" i="8" s="1"/>
  <c r="DA182" i="8"/>
  <c r="U256" i="8"/>
  <c r="CY135" i="8"/>
  <c r="CZ135" i="8"/>
  <c r="CY123" i="8"/>
  <c r="DA106" i="8"/>
  <c r="CY99" i="8"/>
  <c r="CZ61" i="8"/>
  <c r="CY61" i="8"/>
  <c r="CZ86" i="8"/>
  <c r="CZ133" i="8"/>
  <c r="CZ82" i="8"/>
  <c r="CV256" i="8"/>
  <c r="CV280" i="8" s="1"/>
  <c r="CZ59" i="8"/>
  <c r="CZ53" i="8"/>
  <c r="CY23" i="8"/>
  <c r="CZ100" i="8"/>
  <c r="CY54" i="8"/>
  <c r="CZ167" i="8"/>
  <c r="CY167" i="8"/>
  <c r="DA38" i="8"/>
  <c r="CZ123" i="8"/>
  <c r="CY30" i="8"/>
  <c r="CY20" i="8"/>
  <c r="CV251" i="8"/>
  <c r="CV275" i="8" s="1"/>
  <c r="CZ11" i="8"/>
  <c r="AI9" i="8"/>
  <c r="CV252" i="8"/>
  <c r="CV276" i="8" s="1"/>
  <c r="CS110" i="8"/>
  <c r="CT103" i="8"/>
  <c r="R27" i="6"/>
  <c r="R28" i="6"/>
  <c r="R30" i="6"/>
  <c r="AP274" i="8" l="1"/>
  <c r="AP289" i="8"/>
  <c r="BX274" i="8"/>
  <c r="BX289" i="8"/>
  <c r="BT274" i="8"/>
  <c r="BT289" i="8"/>
  <c r="BP274" i="8"/>
  <c r="BP289" i="8"/>
  <c r="AO274" i="8"/>
  <c r="AO289" i="8"/>
  <c r="AM274" i="8"/>
  <c r="AM289" i="8"/>
  <c r="BF274" i="8"/>
  <c r="BF289" i="8"/>
  <c r="AX274" i="8"/>
  <c r="AX289" i="8"/>
  <c r="BC274" i="8"/>
  <c r="BC289" i="8"/>
  <c r="V289" i="8"/>
  <c r="AT274" i="8"/>
  <c r="AT289" i="8"/>
  <c r="S274" i="8"/>
  <c r="S289" i="8"/>
  <c r="AV274" i="8"/>
  <c r="AV289" i="8"/>
  <c r="J274" i="8"/>
  <c r="J289" i="8"/>
  <c r="AH274" i="8"/>
  <c r="AH289" i="8"/>
  <c r="AZ274" i="8"/>
  <c r="AZ289" i="8"/>
  <c r="AW274" i="8"/>
  <c r="AW289" i="8"/>
  <c r="BM274" i="8"/>
  <c r="BM289" i="8"/>
  <c r="BW274" i="8"/>
  <c r="BW289" i="8"/>
  <c r="AL274" i="8"/>
  <c r="AL289" i="8"/>
  <c r="BH274" i="8"/>
  <c r="BH289" i="8"/>
  <c r="BE274" i="8"/>
  <c r="BE289" i="8"/>
  <c r="BR274" i="8"/>
  <c r="BR289" i="8"/>
  <c r="BU274" i="8"/>
  <c r="BU289" i="8"/>
  <c r="K274" i="8"/>
  <c r="K289" i="8"/>
  <c r="N274" i="8"/>
  <c r="N289" i="8"/>
  <c r="L274" i="8"/>
  <c r="L289" i="8"/>
  <c r="R274" i="8"/>
  <c r="R289" i="8"/>
  <c r="BD274" i="8"/>
  <c r="BD289" i="8"/>
  <c r="BB274" i="8"/>
  <c r="BB289" i="8"/>
  <c r="AR274" i="8"/>
  <c r="AR289" i="8"/>
  <c r="CM274" i="8"/>
  <c r="CM289" i="8"/>
  <c r="BG274" i="8"/>
  <c r="BG289" i="8"/>
  <c r="AG274" i="8"/>
  <c r="AG289" i="8"/>
  <c r="BS274" i="8"/>
  <c r="BS289" i="8"/>
  <c r="O274" i="8"/>
  <c r="O289" i="8"/>
  <c r="BA274" i="8"/>
  <c r="BA289" i="8"/>
  <c r="AS274" i="8"/>
  <c r="AS289" i="8"/>
  <c r="BV274" i="8"/>
  <c r="BV289" i="8"/>
  <c r="BJ274" i="8"/>
  <c r="BJ289" i="8"/>
  <c r="BI274" i="8"/>
  <c r="BI289" i="8"/>
  <c r="M274" i="8"/>
  <c r="M289" i="8"/>
  <c r="AY274" i="8"/>
  <c r="AY289" i="8"/>
  <c r="AF274" i="8"/>
  <c r="AF289" i="8"/>
  <c r="AK274" i="8"/>
  <c r="AK289" i="8"/>
  <c r="AC255" i="8"/>
  <c r="AC279" i="8" s="1"/>
  <c r="CZ259" i="8"/>
  <c r="CZ283" i="8" s="1"/>
  <c r="CN250" i="8"/>
  <c r="AU250" i="8"/>
  <c r="CZ44" i="8"/>
  <c r="BL250" i="8"/>
  <c r="DA44" i="8"/>
  <c r="T250" i="8"/>
  <c r="CP250" i="8"/>
  <c r="CS252" i="8"/>
  <c r="CS276" i="8" s="1"/>
  <c r="BQ250" i="8"/>
  <c r="U250" i="8"/>
  <c r="U280" i="8"/>
  <c r="AD250" i="8"/>
  <c r="AD278" i="8"/>
  <c r="CZ254" i="8"/>
  <c r="CZ278" i="8" s="1"/>
  <c r="BO250" i="8"/>
  <c r="BO277" i="8"/>
  <c r="CY254" i="8"/>
  <c r="CY278" i="8" s="1"/>
  <c r="CS254" i="8"/>
  <c r="CS278" i="8" s="1"/>
  <c r="CR250" i="8"/>
  <c r="CR275" i="8"/>
  <c r="DA19" i="8"/>
  <c r="CS253" i="8"/>
  <c r="CS277" i="8" s="1"/>
  <c r="AI256" i="8"/>
  <c r="AI280" i="8" s="1"/>
  <c r="CO254" i="8"/>
  <c r="CO278" i="8" s="1"/>
  <c r="BK250" i="8"/>
  <c r="BN250" i="8"/>
  <c r="CT251" i="8"/>
  <c r="CT275" i="8" s="1"/>
  <c r="CZ256" i="8"/>
  <c r="CZ280" i="8" s="1"/>
  <c r="CZ19" i="8"/>
  <c r="AC256" i="8"/>
  <c r="AC280" i="8" s="1"/>
  <c r="CY259" i="8"/>
  <c r="CY283" i="8" s="1"/>
  <c r="CT253" i="8"/>
  <c r="CT277" i="8" s="1"/>
  <c r="CQ251" i="8"/>
  <c r="CS187" i="8"/>
  <c r="CS251" i="8" s="1"/>
  <c r="CV250" i="8"/>
  <c r="CO253" i="8"/>
  <c r="AI255" i="8"/>
  <c r="AI279" i="8" s="1"/>
  <c r="CZ46" i="8"/>
  <c r="DA46" i="8"/>
  <c r="CY46" i="8"/>
  <c r="CY256" i="8"/>
  <c r="CY280" i="8" s="1"/>
  <c r="AI251" i="8"/>
  <c r="CZ187" i="8"/>
  <c r="DA187" i="8"/>
  <c r="CY187" i="8"/>
  <c r="CW250" i="8"/>
  <c r="DA9" i="8"/>
  <c r="CY9" i="8"/>
  <c r="CZ9" i="8"/>
  <c r="AC254" i="8"/>
  <c r="AI152" i="8"/>
  <c r="AI253" i="8"/>
  <c r="AI277" i="8" s="1"/>
  <c r="DA153" i="8"/>
  <c r="CZ153" i="8"/>
  <c r="CY153" i="8"/>
  <c r="CO252" i="8"/>
  <c r="CO276" i="8" s="1"/>
  <c r="R21" i="6"/>
  <c r="R145" i="6"/>
  <c r="CV274" i="8" l="1"/>
  <c r="CV289" i="8"/>
  <c r="CR274" i="8"/>
  <c r="CR289" i="8"/>
  <c r="CW274" i="8"/>
  <c r="CW289" i="8"/>
  <c r="BK274" i="8"/>
  <c r="BK289" i="8"/>
  <c r="BQ274" i="8"/>
  <c r="BQ289" i="8"/>
  <c r="CN274" i="8"/>
  <c r="CN289" i="8"/>
  <c r="BO274" i="8"/>
  <c r="BO289" i="8"/>
  <c r="AD274" i="8"/>
  <c r="AD289" i="8"/>
  <c r="BL274" i="8"/>
  <c r="BL289" i="8"/>
  <c r="CP274" i="8"/>
  <c r="CP289" i="8"/>
  <c r="AI275" i="8"/>
  <c r="BN274" i="8"/>
  <c r="BN289" i="8"/>
  <c r="U274" i="8"/>
  <c r="U289" i="8"/>
  <c r="T274" i="8"/>
  <c r="T289" i="8"/>
  <c r="AU274" i="8"/>
  <c r="AU289" i="8"/>
  <c r="CZ251" i="8"/>
  <c r="CZ275" i="8" s="1"/>
  <c r="CQ250" i="8"/>
  <c r="CQ275" i="8"/>
  <c r="CO250" i="8"/>
  <c r="CO277" i="8"/>
  <c r="CT250" i="8"/>
  <c r="AC250" i="8"/>
  <c r="AC278" i="8"/>
  <c r="CS250" i="8"/>
  <c r="CS275" i="8"/>
  <c r="CY251" i="8"/>
  <c r="CY275" i="8" s="1"/>
  <c r="AI254" i="8"/>
  <c r="AI250" i="8" s="1"/>
  <c r="AI289" i="8" s="1"/>
  <c r="DA152" i="8"/>
  <c r="CY152" i="8"/>
  <c r="CY252" i="8" s="1"/>
  <c r="CY276" i="8" s="1"/>
  <c r="CZ152" i="8"/>
  <c r="CZ252" i="8" s="1"/>
  <c r="CZ253" i="8"/>
  <c r="CZ277" i="8" s="1"/>
  <c r="CY253" i="8"/>
  <c r="R17" i="6"/>
  <c r="CS274" i="8" l="1"/>
  <c r="CS289" i="8"/>
  <c r="CT274" i="8"/>
  <c r="CT289" i="8"/>
  <c r="CQ274" i="8"/>
  <c r="CQ289" i="8"/>
  <c r="CO274" i="8"/>
  <c r="CO289" i="8"/>
  <c r="AC274" i="8"/>
  <c r="AC289" i="8"/>
  <c r="AI274" i="8"/>
  <c r="AI278" i="8"/>
  <c r="CZ250" i="8"/>
  <c r="CZ274" i="8" s="1"/>
  <c r="CZ276" i="8"/>
  <c r="CY250" i="8"/>
  <c r="CY274" i="8" s="1"/>
  <c r="CY277" i="8"/>
  <c r="S18" i="6"/>
  <c r="S47" i="6"/>
  <c r="S113" i="6"/>
  <c r="O19" i="6"/>
  <c r="O50" i="6"/>
  <c r="O88" i="6" l="1"/>
  <c r="N88" i="6"/>
  <c r="AF143" i="6"/>
  <c r="AF24" i="7" l="1"/>
  <c r="AG24" i="7"/>
  <c r="AG94" i="6"/>
  <c r="AF176" i="6"/>
  <c r="AG148" i="6"/>
  <c r="AF148" i="6"/>
  <c r="AF16" i="6"/>
  <c r="AG16" i="6"/>
  <c r="AF55" i="6"/>
  <c r="AG84" i="6"/>
  <c r="AG139" i="6"/>
  <c r="AF96" i="6"/>
  <c r="AG96" i="6"/>
  <c r="AC95" i="6"/>
  <c r="AF95" i="6"/>
  <c r="AG95" i="6"/>
  <c r="R164" i="6" l="1"/>
  <c r="R101" i="6"/>
  <c r="R97" i="6"/>
  <c r="R28" i="7" l="1"/>
  <c r="R24" i="7"/>
  <c r="R150" i="6"/>
  <c r="R128" i="6"/>
  <c r="R88" i="6"/>
  <c r="R18" i="6"/>
  <c r="R8" i="6"/>
  <c r="R48" i="6"/>
  <c r="R32" i="6"/>
  <c r="AF32" i="6"/>
  <c r="R20" i="7" l="1"/>
  <c r="R142" i="6"/>
  <c r="R136" i="6"/>
  <c r="R10" i="6"/>
  <c r="R94" i="6"/>
  <c r="R61" i="6"/>
  <c r="R60" i="6"/>
  <c r="R49" i="6"/>
  <c r="R34" i="6"/>
  <c r="R177" i="6"/>
  <c r="R160" i="6"/>
  <c r="R159" i="6"/>
  <c r="R158" i="6"/>
  <c r="R155" i="6"/>
  <c r="R151" i="6"/>
  <c r="R186" i="6"/>
  <c r="AF90" i="6" l="1"/>
  <c r="AG90" i="6"/>
  <c r="R57" i="6"/>
  <c r="R176" i="6"/>
  <c r="R55" i="6" l="1"/>
  <c r="U47" i="6"/>
  <c r="R47" i="6"/>
  <c r="AG141" i="6"/>
  <c r="AF69" i="6"/>
  <c r="AG137" i="6"/>
  <c r="AF137" i="6"/>
  <c r="AF93" i="6"/>
  <c r="AG93" i="6"/>
  <c r="AG64" i="6"/>
  <c r="G251" i="6"/>
  <c r="AG24" i="6"/>
  <c r="AF24" i="6"/>
  <c r="N113" i="6" l="1"/>
  <c r="N18" i="6"/>
  <c r="N171" i="6" l="1"/>
  <c r="R19" i="6" l="1"/>
  <c r="N19" i="6"/>
  <c r="R71" i="6"/>
  <c r="N71" i="6"/>
  <c r="R171" i="6"/>
  <c r="R50" i="6"/>
  <c r="N50" i="6"/>
  <c r="N83" i="6"/>
  <c r="R83" i="6"/>
  <c r="R65" i="6"/>
  <c r="R89" i="6"/>
  <c r="G254" i="6"/>
  <c r="J251" i="6" l="1"/>
  <c r="K251" i="6"/>
  <c r="L251" i="6"/>
  <c r="M251" i="6"/>
  <c r="N251" i="6"/>
  <c r="O251" i="6"/>
  <c r="P251" i="6"/>
  <c r="Q251" i="6"/>
  <c r="R251" i="6"/>
  <c r="S251" i="6"/>
  <c r="W251" i="6"/>
  <c r="X251" i="6"/>
  <c r="Y251" i="6"/>
  <c r="Z251" i="6"/>
  <c r="AA251" i="6"/>
  <c r="AB251" i="6"/>
  <c r="AE251" i="6"/>
  <c r="AF251" i="6"/>
  <c r="AG251" i="6"/>
  <c r="AH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BF251" i="6"/>
  <c r="BG251" i="6"/>
  <c r="BH251" i="6"/>
  <c r="BI251" i="6"/>
  <c r="BS251" i="6"/>
  <c r="BT251" i="6"/>
  <c r="BU251" i="6"/>
  <c r="BV251" i="6"/>
  <c r="BW251" i="6"/>
  <c r="BX251" i="6"/>
  <c r="BY251" i="6"/>
  <c r="BZ251" i="6"/>
  <c r="CA251" i="6"/>
  <c r="CB251" i="6"/>
  <c r="CC251" i="6"/>
  <c r="CD251" i="6"/>
  <c r="CE251" i="6"/>
  <c r="CF251" i="6"/>
  <c r="CG251" i="6"/>
  <c r="CH251" i="6"/>
  <c r="G252" i="6" l="1"/>
  <c r="G253" i="6"/>
  <c r="G255" i="6"/>
  <c r="G256" i="6"/>
  <c r="G259" i="6"/>
  <c r="N248" i="6" l="1"/>
  <c r="Q248" i="6"/>
  <c r="J259" i="6"/>
  <c r="K259" i="6"/>
  <c r="L259" i="6"/>
  <c r="M259" i="6"/>
  <c r="N259" i="6"/>
  <c r="O259" i="6"/>
  <c r="P259" i="6"/>
  <c r="R259" i="6"/>
  <c r="J256" i="6"/>
  <c r="K256" i="6"/>
  <c r="L256" i="6"/>
  <c r="M256" i="6"/>
  <c r="N256" i="6"/>
  <c r="O256" i="6"/>
  <c r="P256" i="6"/>
  <c r="Q256" i="6"/>
  <c r="R256" i="6"/>
  <c r="S256" i="6"/>
  <c r="J255" i="6"/>
  <c r="K255" i="6"/>
  <c r="L255" i="6"/>
  <c r="M255" i="6"/>
  <c r="N255" i="6"/>
  <c r="O255" i="6"/>
  <c r="P255" i="6"/>
  <c r="Q255" i="6"/>
  <c r="R255" i="6"/>
  <c r="S255" i="6"/>
  <c r="J254" i="6"/>
  <c r="K254" i="6"/>
  <c r="L254" i="6"/>
  <c r="M254" i="6"/>
  <c r="N254" i="6"/>
  <c r="O254" i="6"/>
  <c r="P254" i="6"/>
  <c r="Q254" i="6"/>
  <c r="R254" i="6"/>
  <c r="J253" i="6"/>
  <c r="K253" i="6"/>
  <c r="L253" i="6"/>
  <c r="M253" i="6"/>
  <c r="N253" i="6"/>
  <c r="O253" i="6"/>
  <c r="P253" i="6"/>
  <c r="Q253" i="6"/>
  <c r="J252" i="6"/>
  <c r="K252" i="6"/>
  <c r="L252" i="6"/>
  <c r="M252" i="6"/>
  <c r="N252" i="6"/>
  <c r="O252" i="6"/>
  <c r="P252" i="6"/>
  <c r="Q252" i="6"/>
  <c r="R252" i="6"/>
  <c r="G254" i="7"/>
  <c r="G253" i="7"/>
  <c r="G250" i="6"/>
  <c r="S252" i="6"/>
  <c r="W252" i="6"/>
  <c r="X252" i="6"/>
  <c r="Y252" i="6"/>
  <c r="Z252" i="6"/>
  <c r="AA252" i="6"/>
  <c r="AB252" i="6"/>
  <c r="AE252" i="6"/>
  <c r="AF252" i="6"/>
  <c r="AG252" i="6"/>
  <c r="AH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BG252" i="6"/>
  <c r="BH252" i="6"/>
  <c r="BI252" i="6"/>
  <c r="BJ252" i="6"/>
  <c r="BL252" i="6"/>
  <c r="BM252" i="6"/>
  <c r="BO252" i="6"/>
  <c r="BP252" i="6"/>
  <c r="BR252" i="6"/>
  <c r="BS252" i="6"/>
  <c r="BT252" i="6"/>
  <c r="BU252" i="6"/>
  <c r="BV252" i="6"/>
  <c r="BW252" i="6"/>
  <c r="BX252" i="6"/>
  <c r="BY252" i="6"/>
  <c r="BZ252" i="6"/>
  <c r="CA252" i="6"/>
  <c r="CB252" i="6"/>
  <c r="CC252" i="6"/>
  <c r="CD252" i="6"/>
  <c r="CE252" i="6"/>
  <c r="CF252" i="6"/>
  <c r="CG252" i="6"/>
  <c r="CH252" i="6"/>
  <c r="R253" i="6"/>
  <c r="S253" i="6"/>
  <c r="W253" i="6"/>
  <c r="X253" i="6"/>
  <c r="Y253" i="6"/>
  <c r="Z253" i="6"/>
  <c r="AA253" i="6"/>
  <c r="AB253" i="6"/>
  <c r="AE253" i="6"/>
  <c r="AF253" i="6"/>
  <c r="AG253" i="6"/>
  <c r="AH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BF253" i="6"/>
  <c r="BG253" i="6"/>
  <c r="BH253" i="6"/>
  <c r="BI253" i="6"/>
  <c r="BJ253" i="6"/>
  <c r="BM253" i="6"/>
  <c r="BP253" i="6"/>
  <c r="BS253" i="6"/>
  <c r="BT253" i="6"/>
  <c r="BU253" i="6"/>
  <c r="BV253" i="6"/>
  <c r="BW253" i="6"/>
  <c r="BX253" i="6"/>
  <c r="BY253" i="6"/>
  <c r="BZ253" i="6"/>
  <c r="CA253" i="6"/>
  <c r="CB253" i="6"/>
  <c r="CC253" i="6"/>
  <c r="CD253" i="6"/>
  <c r="CE253" i="6"/>
  <c r="CF253" i="6"/>
  <c r="CG253" i="6"/>
  <c r="CH253" i="6"/>
  <c r="S254" i="6"/>
  <c r="W254" i="6"/>
  <c r="X254" i="6"/>
  <c r="Y254" i="6"/>
  <c r="Z254" i="6"/>
  <c r="AA254" i="6"/>
  <c r="AB254" i="6"/>
  <c r="AE254" i="6"/>
  <c r="AF254" i="6"/>
  <c r="AG254" i="6"/>
  <c r="AH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BF254" i="6"/>
  <c r="BG254" i="6"/>
  <c r="BH254" i="6"/>
  <c r="BI254" i="6"/>
  <c r="BJ254" i="6"/>
  <c r="BL254" i="6"/>
  <c r="BM254" i="6"/>
  <c r="BO254" i="6"/>
  <c r="BP254" i="6"/>
  <c r="BR254" i="6"/>
  <c r="BS254" i="6"/>
  <c r="BT254" i="6"/>
  <c r="BU254" i="6"/>
  <c r="BV254" i="6"/>
  <c r="BW254" i="6"/>
  <c r="BX254" i="6"/>
  <c r="BY254" i="6"/>
  <c r="BZ254" i="6"/>
  <c r="CA254" i="6"/>
  <c r="CB254" i="6"/>
  <c r="CC254" i="6"/>
  <c r="CD254" i="6"/>
  <c r="CE254" i="6"/>
  <c r="CF254" i="6"/>
  <c r="CG254" i="6"/>
  <c r="CH254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BF255" i="6"/>
  <c r="BG255" i="6"/>
  <c r="BH255" i="6"/>
  <c r="BI255" i="6"/>
  <c r="BJ255" i="6"/>
  <c r="BK255" i="6"/>
  <c r="BL255" i="6"/>
  <c r="BM255" i="6"/>
  <c r="BN255" i="6"/>
  <c r="BO255" i="6"/>
  <c r="BP255" i="6"/>
  <c r="BQ255" i="6"/>
  <c r="BR255" i="6"/>
  <c r="BS255" i="6"/>
  <c r="BT255" i="6"/>
  <c r="BU255" i="6"/>
  <c r="BV255" i="6"/>
  <c r="BW255" i="6"/>
  <c r="BX255" i="6"/>
  <c r="BY255" i="6"/>
  <c r="BZ255" i="6"/>
  <c r="CA255" i="6"/>
  <c r="CB255" i="6"/>
  <c r="CC255" i="6"/>
  <c r="CD255" i="6"/>
  <c r="CE255" i="6"/>
  <c r="CF255" i="6"/>
  <c r="CG255" i="6"/>
  <c r="CH255" i="6"/>
  <c r="W256" i="6"/>
  <c r="X256" i="6"/>
  <c r="Y256" i="6"/>
  <c r="Z256" i="6"/>
  <c r="AA256" i="6"/>
  <c r="AB256" i="6"/>
  <c r="AE256" i="6"/>
  <c r="AF256" i="6"/>
  <c r="AG256" i="6"/>
  <c r="AH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J256" i="6"/>
  <c r="BM256" i="6"/>
  <c r="BP256" i="6"/>
  <c r="BS256" i="6"/>
  <c r="BT256" i="6"/>
  <c r="BU256" i="6"/>
  <c r="BV256" i="6"/>
  <c r="BW256" i="6"/>
  <c r="BX256" i="6"/>
  <c r="BY256" i="6"/>
  <c r="BZ256" i="6"/>
  <c r="CA256" i="6"/>
  <c r="CB256" i="6"/>
  <c r="CC256" i="6"/>
  <c r="CD256" i="6"/>
  <c r="CE256" i="6"/>
  <c r="CF256" i="6"/>
  <c r="CG256" i="6"/>
  <c r="CH256" i="6"/>
  <c r="S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J259" i="6"/>
  <c r="BK259" i="6"/>
  <c r="BL259" i="6"/>
  <c r="BM259" i="6"/>
  <c r="BN259" i="6"/>
  <c r="BO259" i="6"/>
  <c r="BP259" i="6"/>
  <c r="BQ259" i="6"/>
  <c r="BR259" i="6"/>
  <c r="BS259" i="6"/>
  <c r="BT259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Q250" i="6" l="1"/>
  <c r="R250" i="6"/>
  <c r="N250" i="6"/>
  <c r="AG126" i="6"/>
  <c r="R147" i="6"/>
  <c r="R84" i="6"/>
  <c r="R120" i="6"/>
  <c r="R44" i="6"/>
  <c r="R179" i="6"/>
  <c r="R248" i="6" l="1"/>
  <c r="AG18" i="6"/>
  <c r="R18" i="7"/>
  <c r="S18" i="7"/>
  <c r="R93" i="6"/>
  <c r="S93" i="6"/>
  <c r="R113" i="6"/>
  <c r="S117" i="6"/>
  <c r="R117" i="6"/>
  <c r="AF41" i="6" l="1"/>
  <c r="AF40" i="6"/>
  <c r="AF51" i="6" l="1"/>
  <c r="AF136" i="6"/>
  <c r="AG129" i="6"/>
  <c r="AG145" i="6"/>
  <c r="R165" i="6"/>
  <c r="R154" i="6"/>
  <c r="R146" i="6"/>
  <c r="R137" i="6"/>
  <c r="R86" i="6"/>
  <c r="R73" i="6"/>
  <c r="R58" i="6"/>
  <c r="R40" i="6"/>
  <c r="R33" i="6"/>
  <c r="R11" i="6"/>
  <c r="O142" i="6" l="1"/>
  <c r="O100" i="6"/>
  <c r="N142" i="6"/>
  <c r="N100" i="6"/>
  <c r="AG100" i="6"/>
  <c r="R100" i="6"/>
  <c r="R163" i="6" l="1"/>
  <c r="R162" i="6"/>
  <c r="R161" i="6"/>
  <c r="R130" i="6"/>
  <c r="R106" i="6"/>
  <c r="R90" i="6"/>
  <c r="R79" i="6"/>
  <c r="R72" i="6"/>
  <c r="R80" i="6"/>
  <c r="R54" i="6"/>
  <c r="R35" i="6"/>
  <c r="R16" i="6"/>
  <c r="O148" i="6"/>
  <c r="N148" i="6"/>
  <c r="R148" i="6"/>
  <c r="O96" i="6"/>
  <c r="N96" i="6"/>
  <c r="R96" i="6"/>
  <c r="AG163" i="6" l="1"/>
  <c r="AF18" i="6"/>
  <c r="R77" i="6" l="1"/>
  <c r="R125" i="6"/>
  <c r="R59" i="6"/>
  <c r="R133" i="6"/>
  <c r="DQ259" i="6" l="1"/>
  <c r="DP259" i="6"/>
  <c r="DO259" i="6"/>
  <c r="DN259" i="6"/>
  <c r="DM259" i="6"/>
  <c r="DL259" i="6"/>
  <c r="DK259" i="6"/>
  <c r="DJ259" i="6"/>
  <c r="DI259" i="6"/>
  <c r="DH259" i="6"/>
  <c r="DG259" i="6"/>
  <c r="DF259" i="6"/>
  <c r="DE259" i="6"/>
  <c r="DD259" i="6"/>
  <c r="DC259" i="6"/>
  <c r="DB259" i="6"/>
  <c r="DA259" i="6"/>
  <c r="CY259" i="6"/>
  <c r="CX259" i="6"/>
  <c r="CW259" i="6"/>
  <c r="CV259" i="6"/>
  <c r="CU259" i="6"/>
  <c r="CT259" i="6"/>
  <c r="CS259" i="6"/>
  <c r="CR259" i="6"/>
  <c r="CQ259" i="6"/>
  <c r="CP259" i="6"/>
  <c r="CI259" i="6"/>
  <c r="DQ256" i="6"/>
  <c r="DP256" i="6"/>
  <c r="DO256" i="6"/>
  <c r="DN256" i="6"/>
  <c r="DM256" i="6"/>
  <c r="DL256" i="6"/>
  <c r="DK256" i="6"/>
  <c r="DJ256" i="6"/>
  <c r="DI256" i="6"/>
  <c r="DH256" i="6"/>
  <c r="DG256" i="6"/>
  <c r="DF256" i="6"/>
  <c r="DE256" i="6"/>
  <c r="DD256" i="6"/>
  <c r="DC256" i="6"/>
  <c r="DB256" i="6"/>
  <c r="DA256" i="6"/>
  <c r="CY256" i="6"/>
  <c r="CX256" i="6"/>
  <c r="CW256" i="6"/>
  <c r="CV256" i="6"/>
  <c r="CU256" i="6"/>
  <c r="CT256" i="6"/>
  <c r="CS256" i="6"/>
  <c r="CR256" i="6"/>
  <c r="CQ256" i="6"/>
  <c r="CP256" i="6"/>
  <c r="CI256" i="6"/>
  <c r="DQ255" i="6"/>
  <c r="DP255" i="6"/>
  <c r="DO255" i="6"/>
  <c r="DN255" i="6"/>
  <c r="DM255" i="6"/>
  <c r="DL255" i="6"/>
  <c r="DK255" i="6"/>
  <c r="DJ255" i="6"/>
  <c r="DI255" i="6"/>
  <c r="DH255" i="6"/>
  <c r="DG255" i="6"/>
  <c r="DF255" i="6"/>
  <c r="DE255" i="6"/>
  <c r="DD255" i="6"/>
  <c r="DC255" i="6"/>
  <c r="DB255" i="6"/>
  <c r="DA255" i="6"/>
  <c r="CY255" i="6"/>
  <c r="CX255" i="6"/>
  <c r="CW255" i="6"/>
  <c r="CV255" i="6"/>
  <c r="CU255" i="6"/>
  <c r="CT255" i="6"/>
  <c r="CS255" i="6"/>
  <c r="CR255" i="6"/>
  <c r="CQ255" i="6"/>
  <c r="CP255" i="6"/>
  <c r="CI255" i="6"/>
  <c r="DQ254" i="6"/>
  <c r="DP254" i="6"/>
  <c r="DO254" i="6"/>
  <c r="DN254" i="6"/>
  <c r="DM254" i="6"/>
  <c r="DL254" i="6"/>
  <c r="DK254" i="6"/>
  <c r="DJ254" i="6"/>
  <c r="DI254" i="6"/>
  <c r="DH254" i="6"/>
  <c r="DG254" i="6"/>
  <c r="DF254" i="6"/>
  <c r="DE254" i="6"/>
  <c r="DD254" i="6"/>
  <c r="DC254" i="6"/>
  <c r="DB254" i="6"/>
  <c r="DA254" i="6"/>
  <c r="CY254" i="6"/>
  <c r="CX254" i="6"/>
  <c r="CW254" i="6"/>
  <c r="CV254" i="6"/>
  <c r="CU254" i="6"/>
  <c r="CT254" i="6"/>
  <c r="CS254" i="6"/>
  <c r="CR254" i="6"/>
  <c r="CQ254" i="6"/>
  <c r="CP254" i="6"/>
  <c r="CI254" i="6"/>
  <c r="DQ253" i="6"/>
  <c r="DP253" i="6"/>
  <c r="DO253" i="6"/>
  <c r="DN253" i="6"/>
  <c r="DM253" i="6"/>
  <c r="DL253" i="6"/>
  <c r="DK253" i="6"/>
  <c r="DJ253" i="6"/>
  <c r="DI253" i="6"/>
  <c r="DH253" i="6"/>
  <c r="DG253" i="6"/>
  <c r="DF253" i="6"/>
  <c r="DE253" i="6"/>
  <c r="DD253" i="6"/>
  <c r="DC253" i="6"/>
  <c r="DB253" i="6"/>
  <c r="DA253" i="6"/>
  <c r="CY253" i="6"/>
  <c r="CX253" i="6"/>
  <c r="CW253" i="6"/>
  <c r="CV253" i="6"/>
  <c r="CU253" i="6"/>
  <c r="CT253" i="6"/>
  <c r="CS253" i="6"/>
  <c r="CR253" i="6"/>
  <c r="CQ253" i="6"/>
  <c r="CP253" i="6"/>
  <c r="CI253" i="6"/>
  <c r="DQ252" i="6"/>
  <c r="DP252" i="6"/>
  <c r="DO252" i="6"/>
  <c r="DN252" i="6"/>
  <c r="DM252" i="6"/>
  <c r="DL252" i="6"/>
  <c r="DK252" i="6"/>
  <c r="DJ252" i="6"/>
  <c r="DI252" i="6"/>
  <c r="DH252" i="6"/>
  <c r="DG252" i="6"/>
  <c r="DF252" i="6"/>
  <c r="DE252" i="6"/>
  <c r="DD252" i="6"/>
  <c r="DC252" i="6"/>
  <c r="DB252" i="6"/>
  <c r="DA252" i="6"/>
  <c r="CY252" i="6"/>
  <c r="CX252" i="6"/>
  <c r="CW252" i="6"/>
  <c r="CV252" i="6"/>
  <c r="CU252" i="6"/>
  <c r="CT252" i="6"/>
  <c r="CS252" i="6"/>
  <c r="CR252" i="6"/>
  <c r="CQ252" i="6"/>
  <c r="CP252" i="6"/>
  <c r="CI252" i="6"/>
  <c r="BY250" i="6"/>
  <c r="AS250" i="6"/>
  <c r="AK250" i="6"/>
  <c r="DQ251" i="6"/>
  <c r="DP251" i="6"/>
  <c r="DP250" i="6" s="1"/>
  <c r="DO251" i="6"/>
  <c r="DN251" i="6"/>
  <c r="DM251" i="6"/>
  <c r="DL251" i="6"/>
  <c r="DL250" i="6" s="1"/>
  <c r="DK251" i="6"/>
  <c r="DJ251" i="6"/>
  <c r="DI251" i="6"/>
  <c r="DH251" i="6"/>
  <c r="DH250" i="6" s="1"/>
  <c r="DG251" i="6"/>
  <c r="DF251" i="6"/>
  <c r="DE251" i="6"/>
  <c r="DD251" i="6"/>
  <c r="DD250" i="6" s="1"/>
  <c r="DC251" i="6"/>
  <c r="DB251" i="6"/>
  <c r="DA251" i="6"/>
  <c r="CY251" i="6"/>
  <c r="CX251" i="6"/>
  <c r="CW251" i="6"/>
  <c r="CV251" i="6"/>
  <c r="CU251" i="6"/>
  <c r="CT251" i="6"/>
  <c r="CS251" i="6"/>
  <c r="CR251" i="6"/>
  <c r="CQ251" i="6"/>
  <c r="CP251" i="6"/>
  <c r="CI251" i="6"/>
  <c r="BZ250" i="6"/>
  <c r="BG250" i="6"/>
  <c r="BC250" i="6"/>
  <c r="AY250" i="6"/>
  <c r="BI250" i="6"/>
  <c r="CL52" i="6"/>
  <c r="CK52" i="6"/>
  <c r="CJ52" i="6"/>
  <c r="CB52" i="6"/>
  <c r="BR52" i="6"/>
  <c r="BQ52" i="6"/>
  <c r="BP52" i="6"/>
  <c r="BO52" i="6"/>
  <c r="BN52" i="6"/>
  <c r="BM52" i="6"/>
  <c r="BL52" i="6"/>
  <c r="BK52" i="6"/>
  <c r="BJ52" i="6"/>
  <c r="AD52" i="6"/>
  <c r="AC52" i="6"/>
  <c r="AI52" i="6" s="1"/>
  <c r="V52" i="6"/>
  <c r="U52" i="6"/>
  <c r="T52" i="6"/>
  <c r="BR50" i="6"/>
  <c r="BQ50" i="6"/>
  <c r="BP50" i="6"/>
  <c r="BO50" i="6"/>
  <c r="BM50" i="6"/>
  <c r="BL50" i="6"/>
  <c r="BK50" i="6"/>
  <c r="BJ50" i="6"/>
  <c r="BI50" i="6"/>
  <c r="BH50" i="6"/>
  <c r="BG50" i="6"/>
  <c r="BA50" i="6"/>
  <c r="AZ50" i="6"/>
  <c r="AY50" i="6"/>
  <c r="AT50" i="6"/>
  <c r="AS50" i="6"/>
  <c r="AP50" i="6"/>
  <c r="AD50" i="6"/>
  <c r="AC50" i="6" s="1"/>
  <c r="V50" i="6"/>
  <c r="CL50" i="6"/>
  <c r="T50" i="6"/>
  <c r="M50" i="6"/>
  <c r="K50" i="6"/>
  <c r="CB50" i="6" s="1"/>
  <c r="J50" i="6"/>
  <c r="AB250" i="6" l="1"/>
  <c r="AQ250" i="6"/>
  <c r="CV250" i="6"/>
  <c r="CY250" i="6"/>
  <c r="DC250" i="6"/>
  <c r="M250" i="6"/>
  <c r="AH250" i="6"/>
  <c r="AM250" i="6"/>
  <c r="BV250" i="6"/>
  <c r="CR250" i="6"/>
  <c r="CQ250" i="6"/>
  <c r="CU250" i="6"/>
  <c r="AW250" i="6"/>
  <c r="BA250" i="6"/>
  <c r="BE250" i="6"/>
  <c r="DG250" i="6"/>
  <c r="DK250" i="6"/>
  <c r="DO250" i="6"/>
  <c r="AJ250" i="6"/>
  <c r="AR250" i="6"/>
  <c r="AZ250" i="6"/>
  <c r="BH250" i="6"/>
  <c r="BW250" i="6"/>
  <c r="CI250" i="6"/>
  <c r="CW250" i="6"/>
  <c r="DE250" i="6"/>
  <c r="DQ250" i="6"/>
  <c r="K250" i="6"/>
  <c r="S250" i="6"/>
  <c r="Z250" i="6"/>
  <c r="BT250" i="6"/>
  <c r="CP250" i="6"/>
  <c r="CT250" i="6"/>
  <c r="CX250" i="6"/>
  <c r="DB250" i="6"/>
  <c r="DF250" i="6"/>
  <c r="DJ250" i="6"/>
  <c r="DN250" i="6"/>
  <c r="AO250" i="6"/>
  <c r="J250" i="6"/>
  <c r="AE250" i="6"/>
  <c r="AN250" i="6"/>
  <c r="AV250" i="6"/>
  <c r="BD250" i="6"/>
  <c r="BS250" i="6"/>
  <c r="CA250" i="6"/>
  <c r="CS250" i="6"/>
  <c r="DA250" i="6"/>
  <c r="DI250" i="6"/>
  <c r="DM250" i="6"/>
  <c r="L250" i="6"/>
  <c r="AA250" i="6"/>
  <c r="AL250" i="6"/>
  <c r="AP250" i="6"/>
  <c r="AT250" i="6"/>
  <c r="AX250" i="6"/>
  <c r="BB250" i="6"/>
  <c r="BF250" i="6"/>
  <c r="Y250" i="6"/>
  <c r="P250" i="6"/>
  <c r="X250" i="6"/>
  <c r="W250" i="6"/>
  <c r="AF250" i="6"/>
  <c r="AG250" i="6"/>
  <c r="O250" i="6"/>
  <c r="CM52" i="6"/>
  <c r="CO52" i="6"/>
  <c r="CN52" i="6"/>
  <c r="CK50" i="6"/>
  <c r="U50" i="6"/>
  <c r="AI50" i="6"/>
  <c r="CJ50" i="6"/>
  <c r="BN50" i="6"/>
  <c r="CM50" i="6" l="1"/>
  <c r="CO50" i="6"/>
  <c r="CN50" i="6"/>
  <c r="O94" i="6" l="1"/>
  <c r="N94" i="6"/>
  <c r="O95" i="6"/>
  <c r="N95" i="6"/>
  <c r="R95" i="6"/>
  <c r="R116" i="6"/>
  <c r="AG20" i="7" l="1"/>
  <c r="AF20" i="7"/>
  <c r="AF19" i="7"/>
  <c r="AF18" i="7"/>
  <c r="AF173" i="6"/>
  <c r="AF154" i="6"/>
  <c r="AG154" i="6"/>
  <c r="AF186" i="6"/>
  <c r="AF185" i="6"/>
  <c r="AF184" i="6"/>
  <c r="AF149" i="6"/>
  <c r="AH137" i="6"/>
  <c r="AF118" i="6"/>
  <c r="AG121" i="6"/>
  <c r="AH93" i="6" l="1"/>
  <c r="AG89" i="6"/>
  <c r="AF88" i="6"/>
  <c r="AF87" i="6"/>
  <c r="AF84" i="6"/>
  <c r="AF57" i="6"/>
  <c r="AF47" i="6"/>
  <c r="AG47" i="6"/>
  <c r="AF33" i="6"/>
  <c r="AG27" i="6"/>
  <c r="AF19" i="6"/>
  <c r="AG9" i="6"/>
  <c r="AG19" i="6"/>
  <c r="S19" i="6"/>
  <c r="R138" i="6"/>
  <c r="R127" i="6"/>
  <c r="R69" i="6"/>
  <c r="R67" i="6"/>
  <c r="R129" i="6"/>
  <c r="R75" i="6"/>
  <c r="R74" i="6" l="1"/>
  <c r="R140" i="6" l="1"/>
  <c r="BJ8" i="7" l="1"/>
  <c r="BK8" i="7"/>
  <c r="BL8" i="7"/>
  <c r="BM8" i="7"/>
  <c r="BN8" i="7"/>
  <c r="BO8" i="7"/>
  <c r="BP8" i="7"/>
  <c r="BQ8" i="7"/>
  <c r="BR8" i="7"/>
  <c r="BJ9" i="7"/>
  <c r="BK9" i="7"/>
  <c r="BL9" i="7"/>
  <c r="BM9" i="7"/>
  <c r="BN9" i="7"/>
  <c r="BO9" i="7"/>
  <c r="BP9" i="7"/>
  <c r="BQ9" i="7"/>
  <c r="BR9" i="7"/>
  <c r="BJ10" i="7"/>
  <c r="BK10" i="7"/>
  <c r="BL10" i="7"/>
  <c r="BM10" i="7"/>
  <c r="BN10" i="7"/>
  <c r="BO10" i="7"/>
  <c r="BP10" i="7"/>
  <c r="BQ10" i="7"/>
  <c r="BR10" i="7"/>
  <c r="BJ11" i="7"/>
  <c r="BK11" i="7"/>
  <c r="BL11" i="7"/>
  <c r="BM11" i="7"/>
  <c r="BN11" i="7"/>
  <c r="BO11" i="7"/>
  <c r="BP11" i="7"/>
  <c r="BQ11" i="7"/>
  <c r="BR11" i="7"/>
  <c r="BJ12" i="7"/>
  <c r="BK12" i="7"/>
  <c r="BL12" i="7"/>
  <c r="BM12" i="7"/>
  <c r="BN12" i="7"/>
  <c r="BO12" i="7"/>
  <c r="BP12" i="7"/>
  <c r="BQ12" i="7"/>
  <c r="BR12" i="7"/>
  <c r="BJ13" i="7"/>
  <c r="BK13" i="7"/>
  <c r="BL13" i="7"/>
  <c r="BM13" i="7"/>
  <c r="BN13" i="7"/>
  <c r="BO13" i="7"/>
  <c r="BP13" i="7"/>
  <c r="BQ13" i="7"/>
  <c r="BR13" i="7"/>
  <c r="BJ14" i="7"/>
  <c r="BK14" i="7"/>
  <c r="BL14" i="7"/>
  <c r="BM14" i="7"/>
  <c r="BN14" i="7"/>
  <c r="BO14" i="7"/>
  <c r="BP14" i="7"/>
  <c r="BQ14" i="7"/>
  <c r="BR14" i="7"/>
  <c r="BJ15" i="7"/>
  <c r="BK15" i="7"/>
  <c r="BL15" i="7"/>
  <c r="BM15" i="7"/>
  <c r="BN15" i="7"/>
  <c r="BO15" i="7"/>
  <c r="BP15" i="7"/>
  <c r="BQ15" i="7"/>
  <c r="BR15" i="7"/>
  <c r="BJ16" i="7"/>
  <c r="BK16" i="7"/>
  <c r="BL16" i="7"/>
  <c r="BM16" i="7"/>
  <c r="BN16" i="7"/>
  <c r="BO16" i="7"/>
  <c r="BP16" i="7"/>
  <c r="BQ16" i="7"/>
  <c r="BR16" i="7"/>
  <c r="BJ17" i="7"/>
  <c r="BK17" i="7"/>
  <c r="BL17" i="7"/>
  <c r="BM17" i="7"/>
  <c r="BN17" i="7"/>
  <c r="BO17" i="7"/>
  <c r="BP17" i="7"/>
  <c r="BQ17" i="7"/>
  <c r="BR17" i="7"/>
  <c r="BJ18" i="7"/>
  <c r="BK18" i="7"/>
  <c r="BL18" i="7"/>
  <c r="BM18" i="7"/>
  <c r="BN18" i="7"/>
  <c r="BO18" i="7"/>
  <c r="BP18" i="7"/>
  <c r="BQ18" i="7"/>
  <c r="BR18" i="7"/>
  <c r="BJ19" i="7"/>
  <c r="BK19" i="7"/>
  <c r="BL19" i="7"/>
  <c r="BM19" i="7"/>
  <c r="BN19" i="7"/>
  <c r="BO19" i="7"/>
  <c r="BP19" i="7"/>
  <c r="BQ19" i="7"/>
  <c r="BR19" i="7"/>
  <c r="BJ20" i="7"/>
  <c r="BK20" i="7"/>
  <c r="BL20" i="7"/>
  <c r="BM20" i="7"/>
  <c r="BN20" i="7"/>
  <c r="BO20" i="7"/>
  <c r="BP20" i="7"/>
  <c r="BQ20" i="7"/>
  <c r="BR20" i="7"/>
  <c r="BJ21" i="7"/>
  <c r="BK21" i="7"/>
  <c r="BL21" i="7"/>
  <c r="BM21" i="7"/>
  <c r="BN21" i="7"/>
  <c r="BO21" i="7"/>
  <c r="BP21" i="7"/>
  <c r="BQ21" i="7"/>
  <c r="BR21" i="7"/>
  <c r="BJ22" i="7"/>
  <c r="BK22" i="7"/>
  <c r="BL22" i="7"/>
  <c r="BM22" i="7"/>
  <c r="BN22" i="7"/>
  <c r="BO22" i="7"/>
  <c r="BP22" i="7"/>
  <c r="BQ22" i="7"/>
  <c r="BR22" i="7"/>
  <c r="BJ23" i="7"/>
  <c r="BK23" i="7"/>
  <c r="BL23" i="7"/>
  <c r="BM23" i="7"/>
  <c r="BN23" i="7"/>
  <c r="BO23" i="7"/>
  <c r="BP23" i="7"/>
  <c r="BQ23" i="7"/>
  <c r="BR23" i="7"/>
  <c r="BJ24" i="7"/>
  <c r="BK24" i="7"/>
  <c r="BL24" i="7"/>
  <c r="BM24" i="7"/>
  <c r="BN24" i="7"/>
  <c r="BO24" i="7"/>
  <c r="BP24" i="7"/>
  <c r="BQ24" i="7"/>
  <c r="BR24" i="7"/>
  <c r="BJ25" i="7"/>
  <c r="BK25" i="7"/>
  <c r="BL25" i="7"/>
  <c r="BM25" i="7"/>
  <c r="BN25" i="7"/>
  <c r="BO25" i="7"/>
  <c r="BP25" i="7"/>
  <c r="BQ25" i="7"/>
  <c r="BR25" i="7"/>
  <c r="BJ26" i="7"/>
  <c r="BK26" i="7"/>
  <c r="BL26" i="7"/>
  <c r="BM26" i="7"/>
  <c r="BN26" i="7"/>
  <c r="BO26" i="7"/>
  <c r="BP26" i="7"/>
  <c r="BQ26" i="7"/>
  <c r="BR26" i="7"/>
  <c r="BJ27" i="7"/>
  <c r="BK27" i="7"/>
  <c r="BL27" i="7"/>
  <c r="BM27" i="7"/>
  <c r="BN27" i="7"/>
  <c r="BO27" i="7"/>
  <c r="BP27" i="7"/>
  <c r="BQ27" i="7"/>
  <c r="BR27" i="7"/>
  <c r="BJ28" i="7"/>
  <c r="BK28" i="7"/>
  <c r="BL28" i="7"/>
  <c r="BM28" i="7"/>
  <c r="BN28" i="7"/>
  <c r="BO28" i="7"/>
  <c r="BP28" i="7"/>
  <c r="BQ28" i="7"/>
  <c r="BR28" i="7"/>
  <c r="BJ29" i="7"/>
  <c r="BK29" i="7"/>
  <c r="BL29" i="7"/>
  <c r="BM29" i="7"/>
  <c r="BN29" i="7"/>
  <c r="BO29" i="7"/>
  <c r="BP29" i="7"/>
  <c r="BQ29" i="7"/>
  <c r="BR29" i="7"/>
  <c r="BJ30" i="7"/>
  <c r="BK30" i="7"/>
  <c r="BL30" i="7"/>
  <c r="BM30" i="7"/>
  <c r="BN30" i="7"/>
  <c r="BO30" i="7"/>
  <c r="BP30" i="7"/>
  <c r="BQ30" i="7"/>
  <c r="BR30" i="7"/>
  <c r="BJ31" i="7"/>
  <c r="BK31" i="7"/>
  <c r="BL31" i="7"/>
  <c r="BM31" i="7"/>
  <c r="BN31" i="7"/>
  <c r="BO31" i="7"/>
  <c r="BP31" i="7"/>
  <c r="BQ31" i="7"/>
  <c r="BR31" i="7"/>
  <c r="BJ32" i="7"/>
  <c r="BK32" i="7"/>
  <c r="BL32" i="7"/>
  <c r="BM32" i="7"/>
  <c r="BN32" i="7"/>
  <c r="BO32" i="7"/>
  <c r="BP32" i="7"/>
  <c r="BQ32" i="7"/>
  <c r="BR32" i="7"/>
  <c r="BJ33" i="7"/>
  <c r="BK33" i="7"/>
  <c r="BL33" i="7"/>
  <c r="BM33" i="7"/>
  <c r="BN33" i="7"/>
  <c r="BO33" i="7"/>
  <c r="BP33" i="7"/>
  <c r="BQ33" i="7"/>
  <c r="BR33" i="7"/>
  <c r="BJ34" i="7"/>
  <c r="BK34" i="7"/>
  <c r="BL34" i="7"/>
  <c r="BM34" i="7"/>
  <c r="BN34" i="7"/>
  <c r="BO34" i="7"/>
  <c r="BP34" i="7"/>
  <c r="BQ34" i="7"/>
  <c r="BR34" i="7"/>
  <c r="BJ35" i="7"/>
  <c r="BK35" i="7"/>
  <c r="BL35" i="7"/>
  <c r="BM35" i="7"/>
  <c r="BN35" i="7"/>
  <c r="BO35" i="7"/>
  <c r="BP35" i="7"/>
  <c r="BQ35" i="7"/>
  <c r="BR35" i="7"/>
  <c r="BR7" i="7"/>
  <c r="BQ7" i="7"/>
  <c r="BP7" i="7"/>
  <c r="BO7" i="7"/>
  <c r="BN7" i="7"/>
  <c r="BM7" i="7"/>
  <c r="BL7" i="7"/>
  <c r="BK7" i="7"/>
  <c r="BJ7" i="7"/>
  <c r="BJ61" i="6"/>
  <c r="BK61" i="6"/>
  <c r="BL61" i="6"/>
  <c r="BM61" i="6"/>
  <c r="BN61" i="6"/>
  <c r="BO61" i="6"/>
  <c r="BP61" i="6"/>
  <c r="BQ61" i="6"/>
  <c r="BR61" i="6"/>
  <c r="BJ62" i="6"/>
  <c r="BK62" i="6"/>
  <c r="BL62" i="6"/>
  <c r="BM62" i="6"/>
  <c r="BN62" i="6"/>
  <c r="BO62" i="6"/>
  <c r="BP62" i="6"/>
  <c r="BQ62" i="6"/>
  <c r="BR62" i="6"/>
  <c r="BJ63" i="6"/>
  <c r="BK63" i="6"/>
  <c r="BL63" i="6"/>
  <c r="BM63" i="6"/>
  <c r="BN63" i="6"/>
  <c r="BO63" i="6"/>
  <c r="BP63" i="6"/>
  <c r="BQ63" i="6"/>
  <c r="BR63" i="6"/>
  <c r="BJ64" i="6"/>
  <c r="BK64" i="6"/>
  <c r="BL64" i="6"/>
  <c r="BM64" i="6"/>
  <c r="BN64" i="6"/>
  <c r="BO64" i="6"/>
  <c r="BP64" i="6"/>
  <c r="BQ64" i="6"/>
  <c r="BR64" i="6"/>
  <c r="BJ65" i="6"/>
  <c r="BK65" i="6"/>
  <c r="BL65" i="6"/>
  <c r="BM65" i="6"/>
  <c r="BN65" i="6"/>
  <c r="BO65" i="6"/>
  <c r="BP65" i="6"/>
  <c r="BQ65" i="6"/>
  <c r="BR65" i="6"/>
  <c r="BJ66" i="6"/>
  <c r="BK66" i="6"/>
  <c r="BL66" i="6"/>
  <c r="BM66" i="6"/>
  <c r="BN66" i="6"/>
  <c r="BO66" i="6"/>
  <c r="BP66" i="6"/>
  <c r="BQ66" i="6"/>
  <c r="BR66" i="6"/>
  <c r="BJ67" i="6"/>
  <c r="BK67" i="6"/>
  <c r="BL67" i="6"/>
  <c r="BM67" i="6"/>
  <c r="BN67" i="6"/>
  <c r="BO67" i="6"/>
  <c r="BP67" i="6"/>
  <c r="BQ67" i="6"/>
  <c r="BR67" i="6"/>
  <c r="BJ68" i="6"/>
  <c r="BK68" i="6"/>
  <c r="BL68" i="6"/>
  <c r="BM68" i="6"/>
  <c r="BN68" i="6"/>
  <c r="BO68" i="6"/>
  <c r="BP68" i="6"/>
  <c r="BQ68" i="6"/>
  <c r="BR68" i="6"/>
  <c r="BJ69" i="6"/>
  <c r="BK69" i="6"/>
  <c r="BL69" i="6"/>
  <c r="BM69" i="6"/>
  <c r="BN69" i="6"/>
  <c r="BO69" i="6"/>
  <c r="BP69" i="6"/>
  <c r="BQ69" i="6"/>
  <c r="BR69" i="6"/>
  <c r="BJ70" i="6"/>
  <c r="BK70" i="6"/>
  <c r="BL70" i="6"/>
  <c r="BM70" i="6"/>
  <c r="BN70" i="6"/>
  <c r="BO70" i="6"/>
  <c r="BP70" i="6"/>
  <c r="BQ70" i="6"/>
  <c r="BR70" i="6"/>
  <c r="BJ71" i="6"/>
  <c r="BK71" i="6"/>
  <c r="BL71" i="6"/>
  <c r="BM71" i="6"/>
  <c r="BN71" i="6"/>
  <c r="BO71" i="6"/>
  <c r="BP71" i="6"/>
  <c r="BQ71" i="6"/>
  <c r="BR71" i="6"/>
  <c r="BJ80" i="6"/>
  <c r="BK80" i="6"/>
  <c r="BL80" i="6"/>
  <c r="BM80" i="6"/>
  <c r="BN80" i="6"/>
  <c r="BO80" i="6"/>
  <c r="BP80" i="6"/>
  <c r="BQ80" i="6"/>
  <c r="BR80" i="6"/>
  <c r="BJ81" i="6"/>
  <c r="BK81" i="6"/>
  <c r="BL81" i="6"/>
  <c r="BM81" i="6"/>
  <c r="BN81" i="6"/>
  <c r="BO81" i="6"/>
  <c r="BP81" i="6"/>
  <c r="BQ81" i="6"/>
  <c r="BR81" i="6"/>
  <c r="BJ82" i="6"/>
  <c r="BK82" i="6"/>
  <c r="BL82" i="6"/>
  <c r="BM82" i="6"/>
  <c r="BN82" i="6"/>
  <c r="BO82" i="6"/>
  <c r="BP82" i="6"/>
  <c r="BQ82" i="6"/>
  <c r="BR82" i="6"/>
  <c r="BJ72" i="6"/>
  <c r="BK72" i="6"/>
  <c r="BL72" i="6"/>
  <c r="BM72" i="6"/>
  <c r="BN72" i="6"/>
  <c r="BO72" i="6"/>
  <c r="BP72" i="6"/>
  <c r="BQ72" i="6"/>
  <c r="BR72" i="6"/>
  <c r="BJ73" i="6"/>
  <c r="BK73" i="6"/>
  <c r="BL73" i="6"/>
  <c r="BM73" i="6"/>
  <c r="BN73" i="6"/>
  <c r="BO73" i="6"/>
  <c r="BP73" i="6"/>
  <c r="BQ73" i="6"/>
  <c r="BR73" i="6"/>
  <c r="BJ74" i="6"/>
  <c r="BK74" i="6"/>
  <c r="BL74" i="6"/>
  <c r="BM74" i="6"/>
  <c r="BN74" i="6"/>
  <c r="BO74" i="6"/>
  <c r="BP74" i="6"/>
  <c r="BQ74" i="6"/>
  <c r="BR74" i="6"/>
  <c r="BJ75" i="6"/>
  <c r="BK75" i="6"/>
  <c r="BL75" i="6"/>
  <c r="BM75" i="6"/>
  <c r="BN75" i="6"/>
  <c r="BO75" i="6"/>
  <c r="BP75" i="6"/>
  <c r="BQ75" i="6"/>
  <c r="BR75" i="6"/>
  <c r="BJ76" i="6"/>
  <c r="BK76" i="6"/>
  <c r="BL76" i="6"/>
  <c r="BM76" i="6"/>
  <c r="BN76" i="6"/>
  <c r="BO76" i="6"/>
  <c r="BP76" i="6"/>
  <c r="BQ76" i="6"/>
  <c r="BR76" i="6"/>
  <c r="BJ77" i="6"/>
  <c r="BK77" i="6"/>
  <c r="BL77" i="6"/>
  <c r="BM77" i="6"/>
  <c r="BN77" i="6"/>
  <c r="BO77" i="6"/>
  <c r="BP77" i="6"/>
  <c r="BQ77" i="6"/>
  <c r="BR77" i="6"/>
  <c r="BJ78" i="6"/>
  <c r="BK78" i="6"/>
  <c r="BL78" i="6"/>
  <c r="BM78" i="6"/>
  <c r="BN78" i="6"/>
  <c r="BO78" i="6"/>
  <c r="BP78" i="6"/>
  <c r="BQ78" i="6"/>
  <c r="BR78" i="6"/>
  <c r="BJ79" i="6"/>
  <c r="BK79" i="6"/>
  <c r="BL79" i="6"/>
  <c r="BM79" i="6"/>
  <c r="BN79" i="6"/>
  <c r="BO79" i="6"/>
  <c r="BP79" i="6"/>
  <c r="BQ79" i="6"/>
  <c r="BR79" i="6"/>
  <c r="BJ91" i="6"/>
  <c r="BK91" i="6"/>
  <c r="BL91" i="6"/>
  <c r="BM91" i="6"/>
  <c r="BN91" i="6"/>
  <c r="BO91" i="6"/>
  <c r="BP91" i="6"/>
  <c r="BQ91" i="6"/>
  <c r="BR91" i="6"/>
  <c r="BJ92" i="6"/>
  <c r="BK92" i="6"/>
  <c r="BL92" i="6"/>
  <c r="BM92" i="6"/>
  <c r="BN92" i="6"/>
  <c r="BO92" i="6"/>
  <c r="BP92" i="6"/>
  <c r="BQ92" i="6"/>
  <c r="BR92" i="6"/>
  <c r="BJ93" i="6"/>
  <c r="BK93" i="6"/>
  <c r="BL93" i="6"/>
  <c r="BM93" i="6"/>
  <c r="BN93" i="6"/>
  <c r="BO93" i="6"/>
  <c r="BP93" i="6"/>
  <c r="BQ93" i="6"/>
  <c r="BR93" i="6"/>
  <c r="BJ96" i="6"/>
  <c r="BK96" i="6"/>
  <c r="BL96" i="6"/>
  <c r="BM96" i="6"/>
  <c r="BN96" i="6"/>
  <c r="BO96" i="6"/>
  <c r="BP96" i="6"/>
  <c r="BQ96" i="6"/>
  <c r="BR96" i="6"/>
  <c r="BJ97" i="6"/>
  <c r="BK97" i="6"/>
  <c r="BL97" i="6"/>
  <c r="BM97" i="6"/>
  <c r="BN97" i="6"/>
  <c r="BO97" i="6"/>
  <c r="BP97" i="6"/>
  <c r="BQ97" i="6"/>
  <c r="BR97" i="6"/>
  <c r="BJ98" i="6"/>
  <c r="BK98" i="6"/>
  <c r="BL98" i="6"/>
  <c r="BM98" i="6"/>
  <c r="BN98" i="6"/>
  <c r="BO98" i="6"/>
  <c r="BP98" i="6"/>
  <c r="BQ98" i="6"/>
  <c r="BR98" i="6"/>
  <c r="BJ99" i="6"/>
  <c r="BK99" i="6"/>
  <c r="BL99" i="6"/>
  <c r="BM99" i="6"/>
  <c r="BN99" i="6"/>
  <c r="BO99" i="6"/>
  <c r="BP99" i="6"/>
  <c r="BQ99" i="6"/>
  <c r="BR99" i="6"/>
  <c r="BJ100" i="6"/>
  <c r="BK100" i="6"/>
  <c r="BL100" i="6"/>
  <c r="BM100" i="6"/>
  <c r="BN100" i="6"/>
  <c r="BO100" i="6"/>
  <c r="BP100" i="6"/>
  <c r="BQ100" i="6"/>
  <c r="BR100" i="6"/>
  <c r="BJ101" i="6"/>
  <c r="BK101" i="6"/>
  <c r="BL101" i="6"/>
  <c r="BM101" i="6"/>
  <c r="BN101" i="6"/>
  <c r="BO101" i="6"/>
  <c r="BP101" i="6"/>
  <c r="BQ101" i="6"/>
  <c r="BR101" i="6"/>
  <c r="BJ102" i="6"/>
  <c r="BK102" i="6"/>
  <c r="BL102" i="6"/>
  <c r="BM102" i="6"/>
  <c r="BN102" i="6"/>
  <c r="BO102" i="6"/>
  <c r="BP102" i="6"/>
  <c r="BQ102" i="6"/>
  <c r="BR102" i="6"/>
  <c r="BJ103" i="6"/>
  <c r="BK103" i="6"/>
  <c r="BL103" i="6"/>
  <c r="BM103" i="6"/>
  <c r="BN103" i="6"/>
  <c r="BO103" i="6"/>
  <c r="BP103" i="6"/>
  <c r="BQ103" i="6"/>
  <c r="BR103" i="6"/>
  <c r="BJ104" i="6"/>
  <c r="BK104" i="6"/>
  <c r="BL104" i="6"/>
  <c r="BM104" i="6"/>
  <c r="BN104" i="6"/>
  <c r="BO104" i="6"/>
  <c r="BP104" i="6"/>
  <c r="BQ104" i="6"/>
  <c r="BR104" i="6"/>
  <c r="BJ105" i="6"/>
  <c r="BK105" i="6"/>
  <c r="BL105" i="6"/>
  <c r="BM105" i="6"/>
  <c r="BN105" i="6"/>
  <c r="BO105" i="6"/>
  <c r="BP105" i="6"/>
  <c r="BQ105" i="6"/>
  <c r="BR105" i="6"/>
  <c r="BJ106" i="6"/>
  <c r="BK106" i="6"/>
  <c r="BL106" i="6"/>
  <c r="BM106" i="6"/>
  <c r="BN106" i="6"/>
  <c r="BO106" i="6"/>
  <c r="BP106" i="6"/>
  <c r="BQ106" i="6"/>
  <c r="BR106" i="6"/>
  <c r="BJ107" i="6"/>
  <c r="BK107" i="6"/>
  <c r="BL107" i="6"/>
  <c r="BM107" i="6"/>
  <c r="BN107" i="6"/>
  <c r="BO107" i="6"/>
  <c r="BP107" i="6"/>
  <c r="BQ107" i="6"/>
  <c r="BR107" i="6"/>
  <c r="BJ108" i="6"/>
  <c r="BK108" i="6"/>
  <c r="BL108" i="6"/>
  <c r="BM108" i="6"/>
  <c r="BN108" i="6"/>
  <c r="BO108" i="6"/>
  <c r="BP108" i="6"/>
  <c r="BQ108" i="6"/>
  <c r="BR108" i="6"/>
  <c r="BJ109" i="6"/>
  <c r="BK109" i="6"/>
  <c r="BL109" i="6"/>
  <c r="BM109" i="6"/>
  <c r="BN109" i="6"/>
  <c r="BO109" i="6"/>
  <c r="BP109" i="6"/>
  <c r="BQ109" i="6"/>
  <c r="BR109" i="6"/>
  <c r="BJ120" i="6"/>
  <c r="BK120" i="6"/>
  <c r="BL120" i="6"/>
  <c r="BM120" i="6"/>
  <c r="BN120" i="6"/>
  <c r="BO120" i="6"/>
  <c r="BP120" i="6"/>
  <c r="BQ120" i="6"/>
  <c r="BR120" i="6"/>
  <c r="BJ122" i="6"/>
  <c r="BK122" i="6"/>
  <c r="BL122" i="6"/>
  <c r="BM122" i="6"/>
  <c r="BN122" i="6"/>
  <c r="BO122" i="6"/>
  <c r="BP122" i="6"/>
  <c r="BQ122" i="6"/>
  <c r="BR122" i="6"/>
  <c r="BJ123" i="6"/>
  <c r="BK123" i="6"/>
  <c r="BL123" i="6"/>
  <c r="BM123" i="6"/>
  <c r="BN123" i="6"/>
  <c r="BO123" i="6"/>
  <c r="BP123" i="6"/>
  <c r="BQ123" i="6"/>
  <c r="BR123" i="6"/>
  <c r="BJ125" i="6"/>
  <c r="BK125" i="6"/>
  <c r="BL125" i="6"/>
  <c r="BM125" i="6"/>
  <c r="BN125" i="6"/>
  <c r="BO125" i="6"/>
  <c r="BP125" i="6"/>
  <c r="BQ125" i="6"/>
  <c r="BR125" i="6"/>
  <c r="BJ112" i="6"/>
  <c r="BK112" i="6"/>
  <c r="BL112" i="6"/>
  <c r="BM112" i="6"/>
  <c r="BN112" i="6"/>
  <c r="BO112" i="6"/>
  <c r="BP112" i="6"/>
  <c r="BQ112" i="6"/>
  <c r="BR112" i="6"/>
  <c r="BJ114" i="6"/>
  <c r="BK114" i="6"/>
  <c r="BL114" i="6"/>
  <c r="BM114" i="6"/>
  <c r="BN114" i="6"/>
  <c r="BO114" i="6"/>
  <c r="BP114" i="6"/>
  <c r="BQ114" i="6"/>
  <c r="BR114" i="6"/>
  <c r="BJ116" i="6"/>
  <c r="BK116" i="6"/>
  <c r="BL116" i="6"/>
  <c r="BM116" i="6"/>
  <c r="BN116" i="6"/>
  <c r="BO116" i="6"/>
  <c r="BP116" i="6"/>
  <c r="BQ116" i="6"/>
  <c r="BR116" i="6"/>
  <c r="BJ117" i="6"/>
  <c r="BK117" i="6"/>
  <c r="BL117" i="6"/>
  <c r="BM117" i="6"/>
  <c r="BN117" i="6"/>
  <c r="BO117" i="6"/>
  <c r="BP117" i="6"/>
  <c r="BQ117" i="6"/>
  <c r="BR117" i="6"/>
  <c r="BJ118" i="6"/>
  <c r="BK118" i="6"/>
  <c r="BL118" i="6"/>
  <c r="BM118" i="6"/>
  <c r="BN118" i="6"/>
  <c r="BO118" i="6"/>
  <c r="BP118" i="6"/>
  <c r="BQ118" i="6"/>
  <c r="BR118" i="6"/>
  <c r="BJ119" i="6"/>
  <c r="BK119" i="6"/>
  <c r="BL119" i="6"/>
  <c r="BM119" i="6"/>
  <c r="BN119" i="6"/>
  <c r="BO119" i="6"/>
  <c r="BP119" i="6"/>
  <c r="BQ119" i="6"/>
  <c r="BR119" i="6"/>
  <c r="BJ166" i="6"/>
  <c r="BK166" i="6"/>
  <c r="BL166" i="6"/>
  <c r="BM166" i="6"/>
  <c r="BN166" i="6"/>
  <c r="BO166" i="6"/>
  <c r="BP166" i="6"/>
  <c r="BQ166" i="6"/>
  <c r="BR166" i="6"/>
  <c r="BJ169" i="6"/>
  <c r="BK169" i="6"/>
  <c r="BL169" i="6"/>
  <c r="BM169" i="6"/>
  <c r="BN169" i="6"/>
  <c r="BO169" i="6"/>
  <c r="BP169" i="6"/>
  <c r="BQ169" i="6"/>
  <c r="BR169" i="6"/>
  <c r="BJ170" i="6"/>
  <c r="BK170" i="6"/>
  <c r="BL170" i="6"/>
  <c r="BM170" i="6"/>
  <c r="BN170" i="6"/>
  <c r="BO170" i="6"/>
  <c r="BP170" i="6"/>
  <c r="BQ170" i="6"/>
  <c r="BR170" i="6"/>
  <c r="BJ171" i="6"/>
  <c r="BK171" i="6"/>
  <c r="BL171" i="6"/>
  <c r="BM171" i="6"/>
  <c r="BN171" i="6"/>
  <c r="BO171" i="6"/>
  <c r="BP171" i="6"/>
  <c r="BQ171" i="6"/>
  <c r="BR171" i="6"/>
  <c r="BJ172" i="6"/>
  <c r="BK172" i="6"/>
  <c r="BL172" i="6"/>
  <c r="BM172" i="6"/>
  <c r="BN172" i="6"/>
  <c r="BO172" i="6"/>
  <c r="BP172" i="6"/>
  <c r="BQ172" i="6"/>
  <c r="BR172" i="6"/>
  <c r="BJ173" i="6"/>
  <c r="BK173" i="6"/>
  <c r="BL173" i="6"/>
  <c r="BM173" i="6"/>
  <c r="BN173" i="6"/>
  <c r="BO173" i="6"/>
  <c r="BP173" i="6"/>
  <c r="BQ173" i="6"/>
  <c r="BR173" i="6"/>
  <c r="BJ174" i="6"/>
  <c r="BK174" i="6"/>
  <c r="BL174" i="6"/>
  <c r="BM174" i="6"/>
  <c r="BN174" i="6"/>
  <c r="BO174" i="6"/>
  <c r="BP174" i="6"/>
  <c r="BQ174" i="6"/>
  <c r="BR174" i="6"/>
  <c r="BJ175" i="6"/>
  <c r="BK175" i="6"/>
  <c r="BL175" i="6"/>
  <c r="BM175" i="6"/>
  <c r="BN175" i="6"/>
  <c r="BO175" i="6"/>
  <c r="BP175" i="6"/>
  <c r="BQ175" i="6"/>
  <c r="BR175" i="6"/>
  <c r="BJ176" i="6"/>
  <c r="BK176" i="6"/>
  <c r="BL176" i="6"/>
  <c r="BM176" i="6"/>
  <c r="BN176" i="6"/>
  <c r="BO176" i="6"/>
  <c r="BP176" i="6"/>
  <c r="BQ176" i="6"/>
  <c r="BR176" i="6"/>
  <c r="BJ177" i="6"/>
  <c r="BK177" i="6"/>
  <c r="BL177" i="6"/>
  <c r="BM177" i="6"/>
  <c r="BN177" i="6"/>
  <c r="BO177" i="6"/>
  <c r="BP177" i="6"/>
  <c r="BQ177" i="6"/>
  <c r="BR177" i="6"/>
  <c r="BJ178" i="6"/>
  <c r="BK178" i="6"/>
  <c r="BL178" i="6"/>
  <c r="BM178" i="6"/>
  <c r="BN178" i="6"/>
  <c r="BO178" i="6"/>
  <c r="BP178" i="6"/>
  <c r="BQ178" i="6"/>
  <c r="BR178" i="6"/>
  <c r="BJ179" i="6"/>
  <c r="BK179" i="6"/>
  <c r="BL179" i="6"/>
  <c r="BM179" i="6"/>
  <c r="BN179" i="6"/>
  <c r="BO179" i="6"/>
  <c r="BP179" i="6"/>
  <c r="BQ179" i="6"/>
  <c r="BR179" i="6"/>
  <c r="BJ180" i="6"/>
  <c r="BK180" i="6"/>
  <c r="BL180" i="6"/>
  <c r="BM180" i="6"/>
  <c r="BN180" i="6"/>
  <c r="BO180" i="6"/>
  <c r="BP180" i="6"/>
  <c r="BQ180" i="6"/>
  <c r="BR180" i="6"/>
  <c r="BJ181" i="6"/>
  <c r="BK181" i="6"/>
  <c r="BL181" i="6"/>
  <c r="BM181" i="6"/>
  <c r="BN181" i="6"/>
  <c r="BO181" i="6"/>
  <c r="BP181" i="6"/>
  <c r="BQ181" i="6"/>
  <c r="BR181" i="6"/>
  <c r="BJ182" i="6"/>
  <c r="BK182" i="6"/>
  <c r="BL182" i="6"/>
  <c r="BM182" i="6"/>
  <c r="BN182" i="6"/>
  <c r="BO182" i="6"/>
  <c r="BP182" i="6"/>
  <c r="BQ182" i="6"/>
  <c r="BR182" i="6"/>
  <c r="BJ183" i="6"/>
  <c r="BK183" i="6"/>
  <c r="BL183" i="6"/>
  <c r="BM183" i="6"/>
  <c r="BN183" i="6"/>
  <c r="BO183" i="6"/>
  <c r="BP183" i="6"/>
  <c r="BQ183" i="6"/>
  <c r="BR183" i="6"/>
  <c r="BJ7" i="6"/>
  <c r="BK7" i="6"/>
  <c r="BL7" i="6"/>
  <c r="BM7" i="6"/>
  <c r="BN7" i="6"/>
  <c r="BO7" i="6"/>
  <c r="BP7" i="6"/>
  <c r="BQ7" i="6"/>
  <c r="BR7" i="6"/>
  <c r="BJ8" i="6"/>
  <c r="BK8" i="6"/>
  <c r="BL8" i="6"/>
  <c r="BM8" i="6"/>
  <c r="BN8" i="6"/>
  <c r="BO8" i="6"/>
  <c r="BP8" i="6"/>
  <c r="BQ8" i="6"/>
  <c r="BR8" i="6"/>
  <c r="BJ9" i="6"/>
  <c r="BK9" i="6"/>
  <c r="BL9" i="6"/>
  <c r="BM9" i="6"/>
  <c r="BN9" i="6"/>
  <c r="BO9" i="6"/>
  <c r="BP9" i="6"/>
  <c r="BQ9" i="6"/>
  <c r="BR9" i="6"/>
  <c r="BJ10" i="6"/>
  <c r="BK10" i="6"/>
  <c r="BL10" i="6"/>
  <c r="BM10" i="6"/>
  <c r="BN10" i="6"/>
  <c r="BO10" i="6"/>
  <c r="BP10" i="6"/>
  <c r="BQ10" i="6"/>
  <c r="BR10" i="6"/>
  <c r="BJ11" i="6"/>
  <c r="BK11" i="6"/>
  <c r="BL11" i="6"/>
  <c r="BM11" i="6"/>
  <c r="BN11" i="6"/>
  <c r="BO11" i="6"/>
  <c r="BP11" i="6"/>
  <c r="BQ11" i="6"/>
  <c r="BR11" i="6"/>
  <c r="BJ12" i="6"/>
  <c r="BJ251" i="6" s="1"/>
  <c r="BK12" i="6"/>
  <c r="BL12" i="6"/>
  <c r="BL251" i="6" s="1"/>
  <c r="BM12" i="6"/>
  <c r="BM251" i="6" s="1"/>
  <c r="BN12" i="6"/>
  <c r="BO12" i="6"/>
  <c r="BO251" i="6" s="1"/>
  <c r="BP12" i="6"/>
  <c r="BP251" i="6" s="1"/>
  <c r="BQ12" i="6"/>
  <c r="BR12" i="6"/>
  <c r="BR251" i="6" s="1"/>
  <c r="BJ13" i="6"/>
  <c r="BK13" i="6"/>
  <c r="BL13" i="6"/>
  <c r="BM13" i="6"/>
  <c r="BN13" i="6"/>
  <c r="BO13" i="6"/>
  <c r="BP13" i="6"/>
  <c r="BQ13" i="6"/>
  <c r="BR13" i="6"/>
  <c r="BJ19" i="6"/>
  <c r="BK19" i="6"/>
  <c r="BL19" i="6"/>
  <c r="BM19" i="6"/>
  <c r="BN19" i="6"/>
  <c r="BO19" i="6"/>
  <c r="BP19" i="6"/>
  <c r="BQ19" i="6"/>
  <c r="BR19" i="6"/>
  <c r="BJ25" i="6"/>
  <c r="BK25" i="6"/>
  <c r="BL25" i="6"/>
  <c r="BM25" i="6"/>
  <c r="BN25" i="6"/>
  <c r="BO25" i="6"/>
  <c r="BP25" i="6"/>
  <c r="BQ25" i="6"/>
  <c r="BR25" i="6"/>
  <c r="BJ26" i="6"/>
  <c r="BK26" i="6"/>
  <c r="BL26" i="6"/>
  <c r="BM26" i="6"/>
  <c r="BN26" i="6"/>
  <c r="BO26" i="6"/>
  <c r="BP26" i="6"/>
  <c r="BQ26" i="6"/>
  <c r="BR26" i="6"/>
  <c r="BJ14" i="6"/>
  <c r="BK14" i="6"/>
  <c r="BL14" i="6"/>
  <c r="BM14" i="6"/>
  <c r="BN14" i="6"/>
  <c r="BO14" i="6"/>
  <c r="BP14" i="6"/>
  <c r="BQ14" i="6"/>
  <c r="BR14" i="6"/>
  <c r="BJ15" i="6"/>
  <c r="BK15" i="6"/>
  <c r="BL15" i="6"/>
  <c r="BM15" i="6"/>
  <c r="BN15" i="6"/>
  <c r="BO15" i="6"/>
  <c r="BP15" i="6"/>
  <c r="BQ15" i="6"/>
  <c r="BR15" i="6"/>
  <c r="BJ16" i="6"/>
  <c r="BK16" i="6"/>
  <c r="BL16" i="6"/>
  <c r="BM16" i="6"/>
  <c r="BN16" i="6"/>
  <c r="BO16" i="6"/>
  <c r="BP16" i="6"/>
  <c r="BQ16" i="6"/>
  <c r="BR16" i="6"/>
  <c r="BJ17" i="6"/>
  <c r="BK17" i="6"/>
  <c r="BL17" i="6"/>
  <c r="BM17" i="6"/>
  <c r="BN17" i="6"/>
  <c r="BO17" i="6"/>
  <c r="BP17" i="6"/>
  <c r="BQ17" i="6"/>
  <c r="BR17" i="6"/>
  <c r="BJ18" i="6"/>
  <c r="BK18" i="6"/>
  <c r="BL18" i="6"/>
  <c r="BM18" i="6"/>
  <c r="BN18" i="6"/>
  <c r="BO18" i="6"/>
  <c r="BP18" i="6"/>
  <c r="BQ18" i="6"/>
  <c r="BR18" i="6"/>
  <c r="BJ20" i="6"/>
  <c r="BK20" i="6"/>
  <c r="BL20" i="6"/>
  <c r="BM20" i="6"/>
  <c r="BN20" i="6"/>
  <c r="BO20" i="6"/>
  <c r="BP20" i="6"/>
  <c r="BQ20" i="6"/>
  <c r="BR20" i="6"/>
  <c r="BJ21" i="6"/>
  <c r="BK21" i="6"/>
  <c r="BL21" i="6"/>
  <c r="BM21" i="6"/>
  <c r="BN21" i="6"/>
  <c r="BO21" i="6"/>
  <c r="BP21" i="6"/>
  <c r="BQ21" i="6"/>
  <c r="BR21" i="6"/>
  <c r="BJ22" i="6"/>
  <c r="BK22" i="6"/>
  <c r="BL22" i="6"/>
  <c r="BM22" i="6"/>
  <c r="BN22" i="6"/>
  <c r="BO22" i="6"/>
  <c r="BP22" i="6"/>
  <c r="BQ22" i="6"/>
  <c r="BR22" i="6"/>
  <c r="BJ23" i="6"/>
  <c r="BK23" i="6"/>
  <c r="BL23" i="6"/>
  <c r="BM23" i="6"/>
  <c r="BN23" i="6"/>
  <c r="BO23" i="6"/>
  <c r="BP23" i="6"/>
  <c r="BQ23" i="6"/>
  <c r="BR23" i="6"/>
  <c r="BJ24" i="6"/>
  <c r="BK24" i="6"/>
  <c r="BL24" i="6"/>
  <c r="BM24" i="6"/>
  <c r="BN24" i="6"/>
  <c r="BO24" i="6"/>
  <c r="BP24" i="6"/>
  <c r="BQ24" i="6"/>
  <c r="BR24" i="6"/>
  <c r="BJ27" i="6"/>
  <c r="BK27" i="6"/>
  <c r="BL27" i="6"/>
  <c r="BM27" i="6"/>
  <c r="BN27" i="6"/>
  <c r="BO27" i="6"/>
  <c r="BP27" i="6"/>
  <c r="BQ27" i="6"/>
  <c r="BR27" i="6"/>
  <c r="BJ28" i="6"/>
  <c r="BK28" i="6"/>
  <c r="BL28" i="6"/>
  <c r="BM28" i="6"/>
  <c r="BN28" i="6"/>
  <c r="BO28" i="6"/>
  <c r="BP28" i="6"/>
  <c r="BQ28" i="6"/>
  <c r="BR28" i="6"/>
  <c r="BJ29" i="6"/>
  <c r="BK29" i="6"/>
  <c r="BL29" i="6"/>
  <c r="BM29" i="6"/>
  <c r="BN29" i="6"/>
  <c r="BO29" i="6"/>
  <c r="BP29" i="6"/>
  <c r="BQ29" i="6"/>
  <c r="BR29" i="6"/>
  <c r="BJ30" i="6"/>
  <c r="BK30" i="6"/>
  <c r="BL30" i="6"/>
  <c r="BM30" i="6"/>
  <c r="BN30" i="6"/>
  <c r="BO30" i="6"/>
  <c r="BP30" i="6"/>
  <c r="BQ30" i="6"/>
  <c r="BR30" i="6"/>
  <c r="BJ31" i="6"/>
  <c r="BK31" i="6"/>
  <c r="BL31" i="6"/>
  <c r="BM31" i="6"/>
  <c r="BN31" i="6"/>
  <c r="BO31" i="6"/>
  <c r="BP31" i="6"/>
  <c r="BQ31" i="6"/>
  <c r="BR31" i="6"/>
  <c r="BJ32" i="6"/>
  <c r="BK32" i="6"/>
  <c r="BL32" i="6"/>
  <c r="BM32" i="6"/>
  <c r="BN32" i="6"/>
  <c r="BO32" i="6"/>
  <c r="BP32" i="6"/>
  <c r="BQ32" i="6"/>
  <c r="BR32" i="6"/>
  <c r="BJ39" i="6"/>
  <c r="BK39" i="6"/>
  <c r="BL39" i="6"/>
  <c r="BM39" i="6"/>
  <c r="BN39" i="6"/>
  <c r="BO39" i="6"/>
  <c r="BP39" i="6"/>
  <c r="BQ39" i="6"/>
  <c r="BR39" i="6"/>
  <c r="BJ51" i="6"/>
  <c r="BK51" i="6"/>
  <c r="BL51" i="6"/>
  <c r="BM51" i="6"/>
  <c r="BN51" i="6"/>
  <c r="BO51" i="6"/>
  <c r="BP51" i="6"/>
  <c r="BQ51" i="6"/>
  <c r="BR51" i="6"/>
  <c r="BJ33" i="6"/>
  <c r="BK33" i="6"/>
  <c r="BL33" i="6"/>
  <c r="BM33" i="6"/>
  <c r="BN33" i="6"/>
  <c r="BO33" i="6"/>
  <c r="BP33" i="6"/>
  <c r="BQ33" i="6"/>
  <c r="BR33" i="6"/>
  <c r="BJ34" i="6"/>
  <c r="BK34" i="6"/>
  <c r="BL34" i="6"/>
  <c r="BM34" i="6"/>
  <c r="BN34" i="6"/>
  <c r="BO34" i="6"/>
  <c r="BP34" i="6"/>
  <c r="BQ34" i="6"/>
  <c r="BR34" i="6"/>
  <c r="BJ35" i="6"/>
  <c r="BK35" i="6"/>
  <c r="BL35" i="6"/>
  <c r="BM35" i="6"/>
  <c r="BN35" i="6"/>
  <c r="BO35" i="6"/>
  <c r="BP35" i="6"/>
  <c r="BQ35" i="6"/>
  <c r="BR35" i="6"/>
  <c r="BJ36" i="6"/>
  <c r="BK36" i="6"/>
  <c r="BL36" i="6"/>
  <c r="BM36" i="6"/>
  <c r="BN36" i="6"/>
  <c r="BO36" i="6"/>
  <c r="BP36" i="6"/>
  <c r="BQ36" i="6"/>
  <c r="BR36" i="6"/>
  <c r="BJ37" i="6"/>
  <c r="BK37" i="6"/>
  <c r="BL37" i="6"/>
  <c r="BM37" i="6"/>
  <c r="BN37" i="6"/>
  <c r="BO37" i="6"/>
  <c r="BP37" i="6"/>
  <c r="BQ37" i="6"/>
  <c r="BR37" i="6"/>
  <c r="BJ38" i="6"/>
  <c r="BK38" i="6"/>
  <c r="BL38" i="6"/>
  <c r="BM38" i="6"/>
  <c r="BN38" i="6"/>
  <c r="BO38" i="6"/>
  <c r="BP38" i="6"/>
  <c r="BQ38" i="6"/>
  <c r="BR38" i="6"/>
  <c r="BJ40" i="6"/>
  <c r="BK40" i="6"/>
  <c r="BL40" i="6"/>
  <c r="BM40" i="6"/>
  <c r="BN40" i="6"/>
  <c r="BO40" i="6"/>
  <c r="BP40" i="6"/>
  <c r="BQ40" i="6"/>
  <c r="BR40" i="6"/>
  <c r="BJ41" i="6"/>
  <c r="BK41" i="6"/>
  <c r="BL41" i="6"/>
  <c r="BM41" i="6"/>
  <c r="BN41" i="6"/>
  <c r="BO41" i="6"/>
  <c r="BP41" i="6"/>
  <c r="BQ41" i="6"/>
  <c r="BR41" i="6"/>
  <c r="BJ42" i="6"/>
  <c r="BK42" i="6"/>
  <c r="BL42" i="6"/>
  <c r="BM42" i="6"/>
  <c r="BN42" i="6"/>
  <c r="BO42" i="6"/>
  <c r="BP42" i="6"/>
  <c r="BQ42" i="6"/>
  <c r="BR42" i="6"/>
  <c r="BJ43" i="6"/>
  <c r="BK43" i="6"/>
  <c r="BL43" i="6"/>
  <c r="BM43" i="6"/>
  <c r="BN43" i="6"/>
  <c r="BO43" i="6"/>
  <c r="BP43" i="6"/>
  <c r="BQ43" i="6"/>
  <c r="BR43" i="6"/>
  <c r="BJ44" i="6"/>
  <c r="BK44" i="6"/>
  <c r="BL44" i="6"/>
  <c r="BM44" i="6"/>
  <c r="BN44" i="6"/>
  <c r="BO44" i="6"/>
  <c r="BP44" i="6"/>
  <c r="BQ44" i="6"/>
  <c r="BR44" i="6"/>
  <c r="BJ45" i="6"/>
  <c r="BK45" i="6"/>
  <c r="BL45" i="6"/>
  <c r="BM45" i="6"/>
  <c r="BN45" i="6"/>
  <c r="BO45" i="6"/>
  <c r="BP45" i="6"/>
  <c r="BQ45" i="6"/>
  <c r="BR45" i="6"/>
  <c r="BJ46" i="6"/>
  <c r="BK46" i="6"/>
  <c r="BL46" i="6"/>
  <c r="BM46" i="6"/>
  <c r="BN46" i="6"/>
  <c r="BO46" i="6"/>
  <c r="BP46" i="6"/>
  <c r="BQ46" i="6"/>
  <c r="BR46" i="6"/>
  <c r="BJ47" i="6"/>
  <c r="BK47" i="6"/>
  <c r="BL47" i="6"/>
  <c r="BM47" i="6"/>
  <c r="BN47" i="6"/>
  <c r="BO47" i="6"/>
  <c r="BP47" i="6"/>
  <c r="BQ47" i="6"/>
  <c r="BR47" i="6"/>
  <c r="BR256" i="6" s="1"/>
  <c r="BJ48" i="6"/>
  <c r="BK48" i="6"/>
  <c r="BL48" i="6"/>
  <c r="BM48" i="6"/>
  <c r="BN48" i="6"/>
  <c r="BO48" i="6"/>
  <c r="BP48" i="6"/>
  <c r="BQ48" i="6"/>
  <c r="BR48" i="6"/>
  <c r="BJ49" i="6"/>
  <c r="BK49" i="6"/>
  <c r="BL49" i="6"/>
  <c r="BM49" i="6"/>
  <c r="BN49" i="6"/>
  <c r="BO49" i="6"/>
  <c r="BP49" i="6"/>
  <c r="BQ49" i="6"/>
  <c r="BR49" i="6"/>
  <c r="BJ53" i="6"/>
  <c r="BK53" i="6"/>
  <c r="BL53" i="6"/>
  <c r="BM53" i="6"/>
  <c r="BN53" i="6"/>
  <c r="BO53" i="6"/>
  <c r="BP53" i="6"/>
  <c r="BQ53" i="6"/>
  <c r="BR53" i="6"/>
  <c r="BJ54" i="6"/>
  <c r="BK54" i="6"/>
  <c r="BL54" i="6"/>
  <c r="BM54" i="6"/>
  <c r="BN54" i="6"/>
  <c r="BO54" i="6"/>
  <c r="BP54" i="6"/>
  <c r="BQ54" i="6"/>
  <c r="BR54" i="6"/>
  <c r="BJ55" i="6"/>
  <c r="BK55" i="6"/>
  <c r="BL55" i="6"/>
  <c r="BM55" i="6"/>
  <c r="BN55" i="6"/>
  <c r="BO55" i="6"/>
  <c r="BP55" i="6"/>
  <c r="BQ55" i="6"/>
  <c r="BR55" i="6"/>
  <c r="BJ56" i="6"/>
  <c r="BK56" i="6"/>
  <c r="BL56" i="6"/>
  <c r="BM56" i="6"/>
  <c r="BN56" i="6"/>
  <c r="BO56" i="6"/>
  <c r="BP56" i="6"/>
  <c r="BQ56" i="6"/>
  <c r="BR56" i="6"/>
  <c r="BJ57" i="6"/>
  <c r="BK57" i="6"/>
  <c r="BL57" i="6"/>
  <c r="BM57" i="6"/>
  <c r="BN57" i="6"/>
  <c r="BO57" i="6"/>
  <c r="BP57" i="6"/>
  <c r="BQ57" i="6"/>
  <c r="BR57" i="6"/>
  <c r="BJ58" i="6"/>
  <c r="BK58" i="6"/>
  <c r="BL58" i="6"/>
  <c r="BM58" i="6"/>
  <c r="BN58" i="6"/>
  <c r="BO58" i="6"/>
  <c r="BP58" i="6"/>
  <c r="BQ58" i="6"/>
  <c r="BR58" i="6"/>
  <c r="BJ59" i="6"/>
  <c r="BK59" i="6"/>
  <c r="BL59" i="6"/>
  <c r="BM59" i="6"/>
  <c r="BN59" i="6"/>
  <c r="BO59" i="6"/>
  <c r="BP59" i="6"/>
  <c r="BQ59" i="6"/>
  <c r="BR59" i="6"/>
  <c r="BJ83" i="6"/>
  <c r="BK83" i="6"/>
  <c r="BL83" i="6"/>
  <c r="BM83" i="6"/>
  <c r="BN83" i="6"/>
  <c r="BO83" i="6"/>
  <c r="BP83" i="6"/>
  <c r="BQ83" i="6"/>
  <c r="BR83" i="6"/>
  <c r="BJ84" i="6"/>
  <c r="BK84" i="6"/>
  <c r="BL84" i="6"/>
  <c r="BM84" i="6"/>
  <c r="BN84" i="6"/>
  <c r="BO84" i="6"/>
  <c r="BP84" i="6"/>
  <c r="BQ84" i="6"/>
  <c r="BR84" i="6"/>
  <c r="BJ85" i="6"/>
  <c r="BK85" i="6"/>
  <c r="BL85" i="6"/>
  <c r="BM85" i="6"/>
  <c r="BN85" i="6"/>
  <c r="BO85" i="6"/>
  <c r="BP85" i="6"/>
  <c r="BQ85" i="6"/>
  <c r="BR85" i="6"/>
  <c r="BJ86" i="6"/>
  <c r="BK86" i="6"/>
  <c r="BL86" i="6"/>
  <c r="BM86" i="6"/>
  <c r="BN86" i="6"/>
  <c r="BO86" i="6"/>
  <c r="BP86" i="6"/>
  <c r="BQ86" i="6"/>
  <c r="BR86" i="6"/>
  <c r="BJ87" i="6"/>
  <c r="BK87" i="6"/>
  <c r="BL87" i="6"/>
  <c r="BM87" i="6"/>
  <c r="BN87" i="6"/>
  <c r="BO87" i="6"/>
  <c r="BP87" i="6"/>
  <c r="BQ87" i="6"/>
  <c r="BR87" i="6"/>
  <c r="BJ88" i="6"/>
  <c r="BK88" i="6"/>
  <c r="BL88" i="6"/>
  <c r="BM88" i="6"/>
  <c r="BN88" i="6"/>
  <c r="BO88" i="6"/>
  <c r="BP88" i="6"/>
  <c r="BQ88" i="6"/>
  <c r="BR88" i="6"/>
  <c r="BJ89" i="6"/>
  <c r="BK89" i="6"/>
  <c r="BL89" i="6"/>
  <c r="BM89" i="6"/>
  <c r="BN89" i="6"/>
  <c r="BO89" i="6"/>
  <c r="BP89" i="6"/>
  <c r="BQ89" i="6"/>
  <c r="BR89" i="6"/>
  <c r="BJ90" i="6"/>
  <c r="BK90" i="6"/>
  <c r="BL90" i="6"/>
  <c r="BM90" i="6"/>
  <c r="BN90" i="6"/>
  <c r="BO90" i="6"/>
  <c r="BP90" i="6"/>
  <c r="BQ90" i="6"/>
  <c r="BR90" i="6"/>
  <c r="BJ94" i="6"/>
  <c r="BK94" i="6"/>
  <c r="BL94" i="6"/>
  <c r="BM94" i="6"/>
  <c r="BN94" i="6"/>
  <c r="BO94" i="6"/>
  <c r="BP94" i="6"/>
  <c r="BQ94" i="6"/>
  <c r="BR94" i="6"/>
  <c r="BJ95" i="6"/>
  <c r="BK95" i="6"/>
  <c r="BL95" i="6"/>
  <c r="BM95" i="6"/>
  <c r="BN95" i="6"/>
  <c r="BO95" i="6"/>
  <c r="BP95" i="6"/>
  <c r="BQ95" i="6"/>
  <c r="BR95" i="6"/>
  <c r="BJ121" i="6"/>
  <c r="BK121" i="6"/>
  <c r="BL121" i="6"/>
  <c r="BM121" i="6"/>
  <c r="BN121" i="6"/>
  <c r="BO121" i="6"/>
  <c r="BP121" i="6"/>
  <c r="BQ121" i="6"/>
  <c r="BR121" i="6"/>
  <c r="BJ124" i="6"/>
  <c r="BK124" i="6"/>
  <c r="BL124" i="6"/>
  <c r="BM124" i="6"/>
  <c r="BN124" i="6"/>
  <c r="BO124" i="6"/>
  <c r="BP124" i="6"/>
  <c r="BQ124" i="6"/>
  <c r="BR124" i="6"/>
  <c r="BJ110" i="6"/>
  <c r="BK110" i="6"/>
  <c r="BL110" i="6"/>
  <c r="BM110" i="6"/>
  <c r="BN110" i="6"/>
  <c r="BO110" i="6"/>
  <c r="BP110" i="6"/>
  <c r="BQ110" i="6"/>
  <c r="BR110" i="6"/>
  <c r="BJ111" i="6"/>
  <c r="BK111" i="6"/>
  <c r="BL111" i="6"/>
  <c r="BM111" i="6"/>
  <c r="BN111" i="6"/>
  <c r="BO111" i="6"/>
  <c r="BP111" i="6"/>
  <c r="BQ111" i="6"/>
  <c r="BR111" i="6"/>
  <c r="BJ113" i="6"/>
  <c r="BK113" i="6"/>
  <c r="BL113" i="6"/>
  <c r="BL253" i="6" s="1"/>
  <c r="BM113" i="6"/>
  <c r="BN113" i="6"/>
  <c r="BO113" i="6"/>
  <c r="BO253" i="6" s="1"/>
  <c r="BP113" i="6"/>
  <c r="BQ113" i="6"/>
  <c r="BR113" i="6"/>
  <c r="BR253" i="6" s="1"/>
  <c r="BJ115" i="6"/>
  <c r="BK115" i="6"/>
  <c r="BL115" i="6"/>
  <c r="BM115" i="6"/>
  <c r="BN115" i="6"/>
  <c r="BO115" i="6"/>
  <c r="BP115" i="6"/>
  <c r="BQ115" i="6"/>
  <c r="BR115" i="6"/>
  <c r="BJ134" i="6"/>
  <c r="BK134" i="6"/>
  <c r="BL134" i="6"/>
  <c r="BM134" i="6"/>
  <c r="BN134" i="6"/>
  <c r="BO134" i="6"/>
  <c r="BP134" i="6"/>
  <c r="BQ134" i="6"/>
  <c r="BR134" i="6"/>
  <c r="BJ135" i="6"/>
  <c r="BK135" i="6"/>
  <c r="BL135" i="6"/>
  <c r="BM135" i="6"/>
  <c r="BN135" i="6"/>
  <c r="BO135" i="6"/>
  <c r="BP135" i="6"/>
  <c r="BQ135" i="6"/>
  <c r="BR135" i="6"/>
  <c r="BJ126" i="6"/>
  <c r="BK126" i="6"/>
  <c r="BL126" i="6"/>
  <c r="BM126" i="6"/>
  <c r="BN126" i="6"/>
  <c r="BO126" i="6"/>
  <c r="BP126" i="6"/>
  <c r="BQ126" i="6"/>
  <c r="BR126" i="6"/>
  <c r="BJ127" i="6"/>
  <c r="BK127" i="6"/>
  <c r="BL127" i="6"/>
  <c r="BM127" i="6"/>
  <c r="BN127" i="6"/>
  <c r="BO127" i="6"/>
  <c r="BP127" i="6"/>
  <c r="BQ127" i="6"/>
  <c r="BR127" i="6"/>
  <c r="BJ128" i="6"/>
  <c r="BK128" i="6"/>
  <c r="BL128" i="6"/>
  <c r="BM128" i="6"/>
  <c r="BN128" i="6"/>
  <c r="BO128" i="6"/>
  <c r="BP128" i="6"/>
  <c r="BQ128" i="6"/>
  <c r="BR128" i="6"/>
  <c r="BJ129" i="6"/>
  <c r="BK129" i="6"/>
  <c r="BL129" i="6"/>
  <c r="BM129" i="6"/>
  <c r="BN129" i="6"/>
  <c r="BO129" i="6"/>
  <c r="BP129" i="6"/>
  <c r="BQ129" i="6"/>
  <c r="BR129" i="6"/>
  <c r="BJ130" i="6"/>
  <c r="BK130" i="6"/>
  <c r="BL130" i="6"/>
  <c r="BM130" i="6"/>
  <c r="BN130" i="6"/>
  <c r="BO130" i="6"/>
  <c r="BP130" i="6"/>
  <c r="BQ130" i="6"/>
  <c r="BR130" i="6"/>
  <c r="BJ131" i="6"/>
  <c r="BK131" i="6"/>
  <c r="BL131" i="6"/>
  <c r="BM131" i="6"/>
  <c r="BN131" i="6"/>
  <c r="BO131" i="6"/>
  <c r="BP131" i="6"/>
  <c r="BQ131" i="6"/>
  <c r="BR131" i="6"/>
  <c r="BJ132" i="6"/>
  <c r="BK132" i="6"/>
  <c r="BL132" i="6"/>
  <c r="BM132" i="6"/>
  <c r="BN132" i="6"/>
  <c r="BO132" i="6"/>
  <c r="BP132" i="6"/>
  <c r="BQ132" i="6"/>
  <c r="BR132" i="6"/>
  <c r="BJ133" i="6"/>
  <c r="BK133" i="6"/>
  <c r="BL133" i="6"/>
  <c r="BM133" i="6"/>
  <c r="BN133" i="6"/>
  <c r="BO133" i="6"/>
  <c r="BP133" i="6"/>
  <c r="BQ133" i="6"/>
  <c r="BR133" i="6"/>
  <c r="BJ136" i="6"/>
  <c r="BK136" i="6"/>
  <c r="BL136" i="6"/>
  <c r="BM136" i="6"/>
  <c r="BN136" i="6"/>
  <c r="BO136" i="6"/>
  <c r="BP136" i="6"/>
  <c r="BQ136" i="6"/>
  <c r="BR136" i="6"/>
  <c r="BJ137" i="6"/>
  <c r="BK137" i="6"/>
  <c r="BL137" i="6"/>
  <c r="BM137" i="6"/>
  <c r="BN137" i="6"/>
  <c r="BO137" i="6"/>
  <c r="BP137" i="6"/>
  <c r="BQ137" i="6"/>
  <c r="BR137" i="6"/>
  <c r="BJ139" i="6"/>
  <c r="BK139" i="6"/>
  <c r="BL139" i="6"/>
  <c r="BM139" i="6"/>
  <c r="BN139" i="6"/>
  <c r="BO139" i="6"/>
  <c r="BP139" i="6"/>
  <c r="BQ139" i="6"/>
  <c r="BR139" i="6"/>
  <c r="BJ140" i="6"/>
  <c r="BK140" i="6"/>
  <c r="BL140" i="6"/>
  <c r="BM140" i="6"/>
  <c r="BN140" i="6"/>
  <c r="BO140" i="6"/>
  <c r="BP140" i="6"/>
  <c r="BQ140" i="6"/>
  <c r="BR140" i="6"/>
  <c r="BJ141" i="6"/>
  <c r="BK141" i="6"/>
  <c r="BL141" i="6"/>
  <c r="BM141" i="6"/>
  <c r="BN141" i="6"/>
  <c r="BO141" i="6"/>
  <c r="BP141" i="6"/>
  <c r="BQ141" i="6"/>
  <c r="BR141" i="6"/>
  <c r="BJ142" i="6"/>
  <c r="BK142" i="6"/>
  <c r="BL142" i="6"/>
  <c r="BM142" i="6"/>
  <c r="BN142" i="6"/>
  <c r="BO142" i="6"/>
  <c r="BP142" i="6"/>
  <c r="BQ142" i="6"/>
  <c r="BR142" i="6"/>
  <c r="BJ143" i="6"/>
  <c r="BK143" i="6"/>
  <c r="BL143" i="6"/>
  <c r="BM143" i="6"/>
  <c r="BN143" i="6"/>
  <c r="BO143" i="6"/>
  <c r="BP143" i="6"/>
  <c r="BQ143" i="6"/>
  <c r="BR143" i="6"/>
  <c r="BJ144" i="6"/>
  <c r="BK144" i="6"/>
  <c r="BL144" i="6"/>
  <c r="BM144" i="6"/>
  <c r="BN144" i="6"/>
  <c r="BO144" i="6"/>
  <c r="BP144" i="6"/>
  <c r="BQ144" i="6"/>
  <c r="BR144" i="6"/>
  <c r="BJ145" i="6"/>
  <c r="BK145" i="6"/>
  <c r="BL145" i="6"/>
  <c r="BM145" i="6"/>
  <c r="BN145" i="6"/>
  <c r="BO145" i="6"/>
  <c r="BP145" i="6"/>
  <c r="BQ145" i="6"/>
  <c r="BR145" i="6"/>
  <c r="BJ146" i="6"/>
  <c r="BK146" i="6"/>
  <c r="BL146" i="6"/>
  <c r="BM146" i="6"/>
  <c r="BN146" i="6"/>
  <c r="BO146" i="6"/>
  <c r="BP146" i="6"/>
  <c r="BQ146" i="6"/>
  <c r="BR146" i="6"/>
  <c r="BJ138" i="6"/>
  <c r="BK138" i="6"/>
  <c r="BL138" i="6"/>
  <c r="BM138" i="6"/>
  <c r="BN138" i="6"/>
  <c r="BO138" i="6"/>
  <c r="BP138" i="6"/>
  <c r="BQ138" i="6"/>
  <c r="BR138" i="6"/>
  <c r="BJ147" i="6"/>
  <c r="BK147" i="6"/>
  <c r="BL147" i="6"/>
  <c r="BM147" i="6"/>
  <c r="BN147" i="6"/>
  <c r="BO147" i="6"/>
  <c r="BP147" i="6"/>
  <c r="BQ147" i="6"/>
  <c r="BR147" i="6"/>
  <c r="BJ148" i="6"/>
  <c r="BK148" i="6"/>
  <c r="BL148" i="6"/>
  <c r="BM148" i="6"/>
  <c r="BN148" i="6"/>
  <c r="BO148" i="6"/>
  <c r="BP148" i="6"/>
  <c r="BQ148" i="6"/>
  <c r="BR148" i="6"/>
  <c r="BJ149" i="6"/>
  <c r="BK149" i="6"/>
  <c r="BL149" i="6"/>
  <c r="BM149" i="6"/>
  <c r="BN149" i="6"/>
  <c r="BO149" i="6"/>
  <c r="BP149" i="6"/>
  <c r="BQ149" i="6"/>
  <c r="BR149" i="6"/>
  <c r="BJ184" i="6"/>
  <c r="BK184" i="6"/>
  <c r="BL184" i="6"/>
  <c r="BM184" i="6"/>
  <c r="BN184" i="6"/>
  <c r="BO184" i="6"/>
  <c r="BP184" i="6"/>
  <c r="BQ184" i="6"/>
  <c r="BR184" i="6"/>
  <c r="BJ185" i="6"/>
  <c r="BK185" i="6"/>
  <c r="BL185" i="6"/>
  <c r="BM185" i="6"/>
  <c r="BN185" i="6"/>
  <c r="BO185" i="6"/>
  <c r="BP185" i="6"/>
  <c r="BQ185" i="6"/>
  <c r="BR185" i="6"/>
  <c r="BJ186" i="6"/>
  <c r="BK186" i="6"/>
  <c r="BL186" i="6"/>
  <c r="BM186" i="6"/>
  <c r="BN186" i="6"/>
  <c r="BO186" i="6"/>
  <c r="BP186" i="6"/>
  <c r="BQ186" i="6"/>
  <c r="BR186" i="6"/>
  <c r="BJ187" i="6"/>
  <c r="BK187" i="6"/>
  <c r="BL187" i="6"/>
  <c r="BM187" i="6"/>
  <c r="BN187" i="6"/>
  <c r="BO187" i="6"/>
  <c r="BP187" i="6"/>
  <c r="BQ187" i="6"/>
  <c r="BR187" i="6"/>
  <c r="BJ150" i="6"/>
  <c r="BK150" i="6"/>
  <c r="BL150" i="6"/>
  <c r="BM150" i="6"/>
  <c r="BN150" i="6"/>
  <c r="BO150" i="6"/>
  <c r="BP150" i="6"/>
  <c r="BQ150" i="6"/>
  <c r="BR150" i="6"/>
  <c r="BJ151" i="6"/>
  <c r="BK151" i="6"/>
  <c r="BL151" i="6"/>
  <c r="BM151" i="6"/>
  <c r="BN151" i="6"/>
  <c r="BO151" i="6"/>
  <c r="BP151" i="6"/>
  <c r="BQ151" i="6"/>
  <c r="BR151" i="6"/>
  <c r="BJ152" i="6"/>
  <c r="BK152" i="6"/>
  <c r="BL152" i="6"/>
  <c r="BM152" i="6"/>
  <c r="BN152" i="6"/>
  <c r="BO152" i="6"/>
  <c r="BP152" i="6"/>
  <c r="BQ152" i="6"/>
  <c r="BR152" i="6"/>
  <c r="BJ153" i="6"/>
  <c r="BK153" i="6"/>
  <c r="BL153" i="6"/>
  <c r="BM153" i="6"/>
  <c r="BN153" i="6"/>
  <c r="BO153" i="6"/>
  <c r="BP153" i="6"/>
  <c r="BQ153" i="6"/>
  <c r="BR153" i="6"/>
  <c r="BJ154" i="6"/>
  <c r="BK154" i="6"/>
  <c r="BL154" i="6"/>
  <c r="BM154" i="6"/>
  <c r="BN154" i="6"/>
  <c r="BO154" i="6"/>
  <c r="BP154" i="6"/>
  <c r="BQ154" i="6"/>
  <c r="BR154" i="6"/>
  <c r="BJ155" i="6"/>
  <c r="BK155" i="6"/>
  <c r="BL155" i="6"/>
  <c r="BM155" i="6"/>
  <c r="BN155" i="6"/>
  <c r="BO155" i="6"/>
  <c r="BP155" i="6"/>
  <c r="BQ155" i="6"/>
  <c r="BR155" i="6"/>
  <c r="BJ156" i="6"/>
  <c r="BK156" i="6"/>
  <c r="BL156" i="6"/>
  <c r="BM156" i="6"/>
  <c r="BN156" i="6"/>
  <c r="BO156" i="6"/>
  <c r="BP156" i="6"/>
  <c r="BQ156" i="6"/>
  <c r="BR156" i="6"/>
  <c r="BJ157" i="6"/>
  <c r="BK157" i="6"/>
  <c r="BL157" i="6"/>
  <c r="BM157" i="6"/>
  <c r="BN157" i="6"/>
  <c r="BO157" i="6"/>
  <c r="BP157" i="6"/>
  <c r="BQ157" i="6"/>
  <c r="BR157" i="6"/>
  <c r="BJ158" i="6"/>
  <c r="BK158" i="6"/>
  <c r="BL158" i="6"/>
  <c r="BM158" i="6"/>
  <c r="BN158" i="6"/>
  <c r="BO158" i="6"/>
  <c r="BP158" i="6"/>
  <c r="BQ158" i="6"/>
  <c r="BR158" i="6"/>
  <c r="BJ159" i="6"/>
  <c r="BK159" i="6"/>
  <c r="BL159" i="6"/>
  <c r="BM159" i="6"/>
  <c r="BN159" i="6"/>
  <c r="BO159" i="6"/>
  <c r="BP159" i="6"/>
  <c r="BQ159" i="6"/>
  <c r="BR159" i="6"/>
  <c r="BJ160" i="6"/>
  <c r="BK160" i="6"/>
  <c r="BL160" i="6"/>
  <c r="BM160" i="6"/>
  <c r="BN160" i="6"/>
  <c r="BO160" i="6"/>
  <c r="BP160" i="6"/>
  <c r="BQ160" i="6"/>
  <c r="BR160" i="6"/>
  <c r="BJ161" i="6"/>
  <c r="BK161" i="6"/>
  <c r="BL161" i="6"/>
  <c r="BM161" i="6"/>
  <c r="BN161" i="6"/>
  <c r="BO161" i="6"/>
  <c r="BP161" i="6"/>
  <c r="BQ161" i="6"/>
  <c r="BR161" i="6"/>
  <c r="BJ162" i="6"/>
  <c r="BK162" i="6"/>
  <c r="BL162" i="6"/>
  <c r="BM162" i="6"/>
  <c r="BN162" i="6"/>
  <c r="BO162" i="6"/>
  <c r="BP162" i="6"/>
  <c r="BQ162" i="6"/>
  <c r="BR162" i="6"/>
  <c r="BJ163" i="6"/>
  <c r="BK163" i="6"/>
  <c r="BL163" i="6"/>
  <c r="BM163" i="6"/>
  <c r="BN163" i="6"/>
  <c r="BO163" i="6"/>
  <c r="BP163" i="6"/>
  <c r="BQ163" i="6"/>
  <c r="BR163" i="6"/>
  <c r="BJ164" i="6"/>
  <c r="BK164" i="6"/>
  <c r="BL164" i="6"/>
  <c r="BM164" i="6"/>
  <c r="BN164" i="6"/>
  <c r="BO164" i="6"/>
  <c r="BP164" i="6"/>
  <c r="BQ164" i="6"/>
  <c r="BR164" i="6"/>
  <c r="BJ165" i="6"/>
  <c r="BK165" i="6"/>
  <c r="BL165" i="6"/>
  <c r="BM165" i="6"/>
  <c r="BN165" i="6"/>
  <c r="BO165" i="6"/>
  <c r="BP165" i="6"/>
  <c r="BQ165" i="6"/>
  <c r="BR165" i="6"/>
  <c r="BJ167" i="6"/>
  <c r="BK167" i="6"/>
  <c r="BL167" i="6"/>
  <c r="BM167" i="6"/>
  <c r="BN167" i="6"/>
  <c r="BO167" i="6"/>
  <c r="BP167" i="6"/>
  <c r="BQ167" i="6"/>
  <c r="BR167" i="6"/>
  <c r="BJ168" i="6"/>
  <c r="BK168" i="6"/>
  <c r="BL168" i="6"/>
  <c r="BM168" i="6"/>
  <c r="BN168" i="6"/>
  <c r="BO168" i="6"/>
  <c r="BP168" i="6"/>
  <c r="BQ168" i="6"/>
  <c r="BR168" i="6"/>
  <c r="BR60" i="6"/>
  <c r="BQ60" i="6"/>
  <c r="BP60" i="6"/>
  <c r="BO60" i="6"/>
  <c r="BN60" i="6"/>
  <c r="BM60" i="6"/>
  <c r="BL60" i="6"/>
  <c r="BK60" i="6"/>
  <c r="BJ60" i="6"/>
  <c r="BL256" i="6" l="1"/>
  <c r="BO256" i="6"/>
  <c r="BN251" i="6"/>
  <c r="BQ251" i="6"/>
  <c r="BN256" i="6"/>
  <c r="BQ256" i="6"/>
  <c r="BK254" i="6"/>
  <c r="BN254" i="6"/>
  <c r="BQ254" i="6"/>
  <c r="BN253" i="6"/>
  <c r="BQ253" i="6"/>
  <c r="BK253" i="6"/>
  <c r="BK251" i="6"/>
  <c r="BK256" i="6"/>
  <c r="BK252" i="6"/>
  <c r="BN252" i="6"/>
  <c r="BQ252" i="6"/>
  <c r="BM254" i="7"/>
  <c r="BQ254" i="7"/>
  <c r="BL254" i="7"/>
  <c r="BO254" i="7"/>
  <c r="BQ253" i="7"/>
  <c r="BR253" i="7"/>
  <c r="BJ253" i="7"/>
  <c r="BP254" i="7"/>
  <c r="BK254" i="7"/>
  <c r="BP253" i="7"/>
  <c r="BL253" i="7"/>
  <c r="BO253" i="7"/>
  <c r="BK253" i="7"/>
  <c r="BK250" i="7" s="1"/>
  <c r="BJ254" i="7"/>
  <c r="BN254" i="7"/>
  <c r="BR254" i="7"/>
  <c r="BR250" i="7" s="1"/>
  <c r="BM253" i="7"/>
  <c r="BN253" i="7"/>
  <c r="BL250" i="7"/>
  <c r="BM250" i="7"/>
  <c r="BM248" i="6"/>
  <c r="BP248" i="6"/>
  <c r="BO248" i="6"/>
  <c r="BJ248" i="6"/>
  <c r="BL248" i="6"/>
  <c r="BR248" i="6"/>
  <c r="BK248" i="6"/>
  <c r="BN248" i="6"/>
  <c r="CV8" i="7"/>
  <c r="CW8" i="7"/>
  <c r="CX8" i="7"/>
  <c r="CV9" i="7"/>
  <c r="CW9" i="7"/>
  <c r="CX9" i="7"/>
  <c r="CV10" i="7"/>
  <c r="CW10" i="7"/>
  <c r="CX10" i="7"/>
  <c r="CV11" i="7"/>
  <c r="CW11" i="7"/>
  <c r="CX11" i="7"/>
  <c r="CV12" i="7"/>
  <c r="CW12" i="7"/>
  <c r="CX12" i="7"/>
  <c r="CV13" i="7"/>
  <c r="CW13" i="7"/>
  <c r="CX13" i="7"/>
  <c r="CV14" i="7"/>
  <c r="CW14" i="7"/>
  <c r="CX14" i="7"/>
  <c r="CV15" i="7"/>
  <c r="CW15" i="7"/>
  <c r="CX15" i="7"/>
  <c r="CV16" i="7"/>
  <c r="CW16" i="7"/>
  <c r="CX16" i="7"/>
  <c r="CV17" i="7"/>
  <c r="CW17" i="7"/>
  <c r="CX17" i="7"/>
  <c r="CV18" i="7"/>
  <c r="CW18" i="7"/>
  <c r="CX18" i="7"/>
  <c r="CV19" i="7"/>
  <c r="CW19" i="7"/>
  <c r="CX19" i="7"/>
  <c r="CV20" i="7"/>
  <c r="CW20" i="7"/>
  <c r="CX20" i="7"/>
  <c r="CV21" i="7"/>
  <c r="CW21" i="7"/>
  <c r="CX21" i="7"/>
  <c r="CV22" i="7"/>
  <c r="CW22" i="7"/>
  <c r="CX22" i="7"/>
  <c r="CV23" i="7"/>
  <c r="CW23" i="7"/>
  <c r="CX23" i="7"/>
  <c r="CV24" i="7"/>
  <c r="CW24" i="7"/>
  <c r="CX24" i="7"/>
  <c r="CV25" i="7"/>
  <c r="CW25" i="7"/>
  <c r="CX25" i="7"/>
  <c r="CV26" i="7"/>
  <c r="CW26" i="7"/>
  <c r="CX26" i="7"/>
  <c r="CV27" i="7"/>
  <c r="CW27" i="7"/>
  <c r="CX27" i="7"/>
  <c r="CV28" i="7"/>
  <c r="CW28" i="7"/>
  <c r="CX28" i="7"/>
  <c r="CV29" i="7"/>
  <c r="CW29" i="7"/>
  <c r="CX29" i="7"/>
  <c r="CV30" i="7"/>
  <c r="CW30" i="7"/>
  <c r="CX30" i="7"/>
  <c r="CV31" i="7"/>
  <c r="CW31" i="7"/>
  <c r="CX31" i="7"/>
  <c r="CV32" i="7"/>
  <c r="CW32" i="7"/>
  <c r="CX32" i="7"/>
  <c r="CV33" i="7"/>
  <c r="CW33" i="7"/>
  <c r="CX33" i="7"/>
  <c r="CV34" i="7"/>
  <c r="CW34" i="7"/>
  <c r="CX34" i="7"/>
  <c r="CV35" i="7"/>
  <c r="CW35" i="7"/>
  <c r="CX35" i="7"/>
  <c r="CX7" i="7"/>
  <c r="CW7" i="7"/>
  <c r="CV7" i="7"/>
  <c r="CJ61" i="6"/>
  <c r="CK61" i="6"/>
  <c r="CL61" i="6"/>
  <c r="CJ62" i="6"/>
  <c r="CK62" i="6"/>
  <c r="CL62" i="6"/>
  <c r="CJ63" i="6"/>
  <c r="CK63" i="6"/>
  <c r="CL63" i="6"/>
  <c r="CJ64" i="6"/>
  <c r="CK64" i="6"/>
  <c r="CL64" i="6"/>
  <c r="CJ65" i="6"/>
  <c r="CK65" i="6"/>
  <c r="CL65" i="6"/>
  <c r="CJ66" i="6"/>
  <c r="CK66" i="6"/>
  <c r="CL66" i="6"/>
  <c r="CJ67" i="6"/>
  <c r="CK67" i="6"/>
  <c r="CL67" i="6"/>
  <c r="CJ68" i="6"/>
  <c r="CK68" i="6"/>
  <c r="CL68" i="6"/>
  <c r="CJ69" i="6"/>
  <c r="CK69" i="6"/>
  <c r="CL69" i="6"/>
  <c r="CJ70" i="6"/>
  <c r="CK70" i="6"/>
  <c r="CL70" i="6"/>
  <c r="CJ71" i="6"/>
  <c r="CK71" i="6"/>
  <c r="CL71" i="6"/>
  <c r="CJ80" i="6"/>
  <c r="CK80" i="6"/>
  <c r="CL80" i="6"/>
  <c r="CJ81" i="6"/>
  <c r="CK81" i="6"/>
  <c r="CL81" i="6"/>
  <c r="CJ82" i="6"/>
  <c r="CK82" i="6"/>
  <c r="CL82" i="6"/>
  <c r="CJ72" i="6"/>
  <c r="CK72" i="6"/>
  <c r="CL72" i="6"/>
  <c r="CJ73" i="6"/>
  <c r="CK73" i="6"/>
  <c r="CL73" i="6"/>
  <c r="CJ74" i="6"/>
  <c r="CK74" i="6"/>
  <c r="CL74" i="6"/>
  <c r="CJ75" i="6"/>
  <c r="CK75" i="6"/>
  <c r="CL75" i="6"/>
  <c r="CJ76" i="6"/>
  <c r="CK76" i="6"/>
  <c r="CL76" i="6"/>
  <c r="CJ77" i="6"/>
  <c r="CK77" i="6"/>
  <c r="CL77" i="6"/>
  <c r="CJ78" i="6"/>
  <c r="CK78" i="6"/>
  <c r="CL78" i="6"/>
  <c r="CJ79" i="6"/>
  <c r="CK79" i="6"/>
  <c r="CL79" i="6"/>
  <c r="CJ91" i="6"/>
  <c r="CK91" i="6"/>
  <c r="CL91" i="6"/>
  <c r="CJ92" i="6"/>
  <c r="CK92" i="6"/>
  <c r="CL92" i="6"/>
  <c r="CJ93" i="6"/>
  <c r="CK93" i="6"/>
  <c r="CL93" i="6"/>
  <c r="CJ96" i="6"/>
  <c r="CK96" i="6"/>
  <c r="CL96" i="6"/>
  <c r="CJ97" i="6"/>
  <c r="CK97" i="6"/>
  <c r="CL97" i="6"/>
  <c r="CJ98" i="6"/>
  <c r="CK98" i="6"/>
  <c r="CL98" i="6"/>
  <c r="CJ99" i="6"/>
  <c r="CK99" i="6"/>
  <c r="CL99" i="6"/>
  <c r="CJ100" i="6"/>
  <c r="CK100" i="6"/>
  <c r="CL100" i="6"/>
  <c r="CJ101" i="6"/>
  <c r="CK101" i="6"/>
  <c r="CL101" i="6"/>
  <c r="CJ102" i="6"/>
  <c r="CK102" i="6"/>
  <c r="CL102" i="6"/>
  <c r="CJ103" i="6"/>
  <c r="CK103" i="6"/>
  <c r="CL103" i="6"/>
  <c r="CJ104" i="6"/>
  <c r="CK104" i="6"/>
  <c r="CL104" i="6"/>
  <c r="CJ105" i="6"/>
  <c r="CK105" i="6"/>
  <c r="CL105" i="6"/>
  <c r="CJ106" i="6"/>
  <c r="CK106" i="6"/>
  <c r="CL106" i="6"/>
  <c r="CJ107" i="6"/>
  <c r="CK107" i="6"/>
  <c r="CL107" i="6"/>
  <c r="CJ108" i="6"/>
  <c r="CK108" i="6"/>
  <c r="CL108" i="6"/>
  <c r="CJ109" i="6"/>
  <c r="CK109" i="6"/>
  <c r="CL109" i="6"/>
  <c r="CJ120" i="6"/>
  <c r="CK120" i="6"/>
  <c r="CL120" i="6"/>
  <c r="CJ122" i="6"/>
  <c r="CK122" i="6"/>
  <c r="CL122" i="6"/>
  <c r="CJ123" i="6"/>
  <c r="CK123" i="6"/>
  <c r="CL123" i="6"/>
  <c r="CJ125" i="6"/>
  <c r="CK125" i="6"/>
  <c r="CL125" i="6"/>
  <c r="CJ112" i="6"/>
  <c r="CK112" i="6"/>
  <c r="CL112" i="6"/>
  <c r="CJ114" i="6"/>
  <c r="CK114" i="6"/>
  <c r="CL114" i="6"/>
  <c r="CJ116" i="6"/>
  <c r="CK116" i="6"/>
  <c r="CL116" i="6"/>
  <c r="CJ117" i="6"/>
  <c r="CK117" i="6"/>
  <c r="CL117" i="6"/>
  <c r="CJ118" i="6"/>
  <c r="CK118" i="6"/>
  <c r="CL118" i="6"/>
  <c r="CJ119" i="6"/>
  <c r="CK119" i="6"/>
  <c r="CL119" i="6"/>
  <c r="CJ166" i="6"/>
  <c r="CK166" i="6"/>
  <c r="CL166" i="6"/>
  <c r="CJ169" i="6"/>
  <c r="CK169" i="6"/>
  <c r="CL169" i="6"/>
  <c r="CJ170" i="6"/>
  <c r="CK170" i="6"/>
  <c r="CL170" i="6"/>
  <c r="CJ171" i="6"/>
  <c r="CK171" i="6"/>
  <c r="CL171" i="6"/>
  <c r="CJ172" i="6"/>
  <c r="CK172" i="6"/>
  <c r="CL172" i="6"/>
  <c r="CJ173" i="6"/>
  <c r="CK173" i="6"/>
  <c r="CL173" i="6"/>
  <c r="CJ174" i="6"/>
  <c r="CK174" i="6"/>
  <c r="CL174" i="6"/>
  <c r="CJ175" i="6"/>
  <c r="CK175" i="6"/>
  <c r="CL175" i="6"/>
  <c r="CJ176" i="6"/>
  <c r="CK176" i="6"/>
  <c r="CL176" i="6"/>
  <c r="CJ177" i="6"/>
  <c r="CK177" i="6"/>
  <c r="CL177" i="6"/>
  <c r="CJ178" i="6"/>
  <c r="CK178" i="6"/>
  <c r="CL178" i="6"/>
  <c r="CJ179" i="6"/>
  <c r="CK179" i="6"/>
  <c r="CL179" i="6"/>
  <c r="CJ180" i="6"/>
  <c r="CK180" i="6"/>
  <c r="CL180" i="6"/>
  <c r="CJ181" i="6"/>
  <c r="CK181" i="6"/>
  <c r="CL181" i="6"/>
  <c r="CJ182" i="6"/>
  <c r="CK182" i="6"/>
  <c r="CL182" i="6"/>
  <c r="CJ183" i="6"/>
  <c r="CK183" i="6"/>
  <c r="CL183" i="6"/>
  <c r="CJ7" i="6"/>
  <c r="CK7" i="6"/>
  <c r="CL7" i="6"/>
  <c r="CJ8" i="6"/>
  <c r="CK8" i="6"/>
  <c r="CL8" i="6"/>
  <c r="CJ9" i="6"/>
  <c r="CK9" i="6"/>
  <c r="CL9" i="6"/>
  <c r="CJ10" i="6"/>
  <c r="CK10" i="6"/>
  <c r="CL10" i="6"/>
  <c r="CJ11" i="6"/>
  <c r="CK11" i="6"/>
  <c r="CL11" i="6"/>
  <c r="CJ12" i="6"/>
  <c r="CK12" i="6"/>
  <c r="CL12" i="6"/>
  <c r="CJ13" i="6"/>
  <c r="CK13" i="6"/>
  <c r="CL13" i="6"/>
  <c r="CJ19" i="6"/>
  <c r="CK19" i="6"/>
  <c r="CL19" i="6"/>
  <c r="CJ25" i="6"/>
  <c r="CK25" i="6"/>
  <c r="CL25" i="6"/>
  <c r="CJ26" i="6"/>
  <c r="CK26" i="6"/>
  <c r="CL26" i="6"/>
  <c r="CJ14" i="6"/>
  <c r="CK14" i="6"/>
  <c r="CL14" i="6"/>
  <c r="CJ15" i="6"/>
  <c r="CK15" i="6"/>
  <c r="CL15" i="6"/>
  <c r="CJ16" i="6"/>
  <c r="CK16" i="6"/>
  <c r="CL16" i="6"/>
  <c r="CJ17" i="6"/>
  <c r="CK17" i="6"/>
  <c r="CL17" i="6"/>
  <c r="CJ18" i="6"/>
  <c r="CK18" i="6"/>
  <c r="CL18" i="6"/>
  <c r="CJ20" i="6"/>
  <c r="CK20" i="6"/>
  <c r="CL20" i="6"/>
  <c r="CJ21" i="6"/>
  <c r="CK21" i="6"/>
  <c r="CL21" i="6"/>
  <c r="CJ22" i="6"/>
  <c r="CK22" i="6"/>
  <c r="CL22" i="6"/>
  <c r="CJ23" i="6"/>
  <c r="CK23" i="6"/>
  <c r="CL23" i="6"/>
  <c r="CJ24" i="6"/>
  <c r="CK24" i="6"/>
  <c r="CL24" i="6"/>
  <c r="CJ27" i="6"/>
  <c r="CK27" i="6"/>
  <c r="CL27" i="6"/>
  <c r="CJ28" i="6"/>
  <c r="CK28" i="6"/>
  <c r="CL28" i="6"/>
  <c r="CJ29" i="6"/>
  <c r="CK29" i="6"/>
  <c r="CL29" i="6"/>
  <c r="CJ30" i="6"/>
  <c r="CK30" i="6"/>
  <c r="CL30" i="6"/>
  <c r="CJ31" i="6"/>
  <c r="CK31" i="6"/>
  <c r="CL31" i="6"/>
  <c r="CJ32" i="6"/>
  <c r="CK32" i="6"/>
  <c r="CL32" i="6"/>
  <c r="CJ39" i="6"/>
  <c r="CK39" i="6"/>
  <c r="CL39" i="6"/>
  <c r="CJ51" i="6"/>
  <c r="CK51" i="6"/>
  <c r="CL51" i="6"/>
  <c r="CJ33" i="6"/>
  <c r="CK33" i="6"/>
  <c r="CL33" i="6"/>
  <c r="CJ34" i="6"/>
  <c r="CK34" i="6"/>
  <c r="CL34" i="6"/>
  <c r="CJ35" i="6"/>
  <c r="CK35" i="6"/>
  <c r="CL35" i="6"/>
  <c r="CJ36" i="6"/>
  <c r="CK36" i="6"/>
  <c r="CL36" i="6"/>
  <c r="CJ37" i="6"/>
  <c r="CK37" i="6"/>
  <c r="CL37" i="6"/>
  <c r="CJ38" i="6"/>
  <c r="CK38" i="6"/>
  <c r="CL38" i="6"/>
  <c r="CJ40" i="6"/>
  <c r="CK40" i="6"/>
  <c r="CL40" i="6"/>
  <c r="CJ41" i="6"/>
  <c r="CK41" i="6"/>
  <c r="CL41" i="6"/>
  <c r="CJ42" i="6"/>
  <c r="CK42" i="6"/>
  <c r="CL42" i="6"/>
  <c r="CJ43" i="6"/>
  <c r="CK43" i="6"/>
  <c r="CL43" i="6"/>
  <c r="CJ44" i="6"/>
  <c r="CK44" i="6"/>
  <c r="CL44" i="6"/>
  <c r="CJ45" i="6"/>
  <c r="CK45" i="6"/>
  <c r="CL45" i="6"/>
  <c r="CJ46" i="6"/>
  <c r="CK46" i="6"/>
  <c r="CL46" i="6"/>
  <c r="CJ47" i="6"/>
  <c r="CK47" i="6"/>
  <c r="CL47" i="6"/>
  <c r="CJ48" i="6"/>
  <c r="CK48" i="6"/>
  <c r="CL48" i="6"/>
  <c r="CJ49" i="6"/>
  <c r="CK49" i="6"/>
  <c r="CL49" i="6"/>
  <c r="CJ53" i="6"/>
  <c r="CK53" i="6"/>
  <c r="CL53" i="6"/>
  <c r="CJ54" i="6"/>
  <c r="CK54" i="6"/>
  <c r="CL54" i="6"/>
  <c r="CJ55" i="6"/>
  <c r="CK55" i="6"/>
  <c r="CL55" i="6"/>
  <c r="CJ56" i="6"/>
  <c r="CK56" i="6"/>
  <c r="CL56" i="6"/>
  <c r="CJ57" i="6"/>
  <c r="CK57" i="6"/>
  <c r="CL57" i="6"/>
  <c r="CJ58" i="6"/>
  <c r="CK58" i="6"/>
  <c r="CL58" i="6"/>
  <c r="CJ59" i="6"/>
  <c r="CK59" i="6"/>
  <c r="CL59" i="6"/>
  <c r="CJ83" i="6"/>
  <c r="CK83" i="6"/>
  <c r="CL83" i="6"/>
  <c r="CJ84" i="6"/>
  <c r="CK84" i="6"/>
  <c r="CL84" i="6"/>
  <c r="CJ85" i="6"/>
  <c r="CK85" i="6"/>
  <c r="CL85" i="6"/>
  <c r="CJ86" i="6"/>
  <c r="CK86" i="6"/>
  <c r="CL86" i="6"/>
  <c r="CJ87" i="6"/>
  <c r="CK87" i="6"/>
  <c r="CL87" i="6"/>
  <c r="CJ88" i="6"/>
  <c r="CK88" i="6"/>
  <c r="CL88" i="6"/>
  <c r="CJ89" i="6"/>
  <c r="CK89" i="6"/>
  <c r="CL89" i="6"/>
  <c r="CJ90" i="6"/>
  <c r="CK90" i="6"/>
  <c r="CL90" i="6"/>
  <c r="CJ94" i="6"/>
  <c r="CK94" i="6"/>
  <c r="CL94" i="6"/>
  <c r="CJ95" i="6"/>
  <c r="CK95" i="6"/>
  <c r="CL95" i="6"/>
  <c r="CJ121" i="6"/>
  <c r="CK121" i="6"/>
  <c r="CL121" i="6"/>
  <c r="CJ124" i="6"/>
  <c r="CK124" i="6"/>
  <c r="CL124" i="6"/>
  <c r="CJ110" i="6"/>
  <c r="CK110" i="6"/>
  <c r="CL110" i="6"/>
  <c r="CJ111" i="6"/>
  <c r="CK111" i="6"/>
  <c r="CL111" i="6"/>
  <c r="CJ113" i="6"/>
  <c r="CK113" i="6"/>
  <c r="CL113" i="6"/>
  <c r="CJ115" i="6"/>
  <c r="CK115" i="6"/>
  <c r="CL115" i="6"/>
  <c r="CJ134" i="6"/>
  <c r="CK134" i="6"/>
  <c r="CL134" i="6"/>
  <c r="CJ135" i="6"/>
  <c r="CK135" i="6"/>
  <c r="CL135" i="6"/>
  <c r="CJ126" i="6"/>
  <c r="CK126" i="6"/>
  <c r="CL126" i="6"/>
  <c r="CJ127" i="6"/>
  <c r="CK127" i="6"/>
  <c r="CL127" i="6"/>
  <c r="CJ128" i="6"/>
  <c r="CK128" i="6"/>
  <c r="CL128" i="6"/>
  <c r="CJ129" i="6"/>
  <c r="CK129" i="6"/>
  <c r="CL129" i="6"/>
  <c r="CJ130" i="6"/>
  <c r="CK130" i="6"/>
  <c r="CL130" i="6"/>
  <c r="CJ131" i="6"/>
  <c r="CK131" i="6"/>
  <c r="CL131" i="6"/>
  <c r="CJ132" i="6"/>
  <c r="CK132" i="6"/>
  <c r="CL132" i="6"/>
  <c r="CJ133" i="6"/>
  <c r="CK133" i="6"/>
  <c r="CL133" i="6"/>
  <c r="CJ136" i="6"/>
  <c r="CK136" i="6"/>
  <c r="CL136" i="6"/>
  <c r="CJ137" i="6"/>
  <c r="CK137" i="6"/>
  <c r="CL137" i="6"/>
  <c r="CJ139" i="6"/>
  <c r="CK139" i="6"/>
  <c r="CL139" i="6"/>
  <c r="CJ140" i="6"/>
  <c r="CK140" i="6"/>
  <c r="CL140" i="6"/>
  <c r="CJ141" i="6"/>
  <c r="CK141" i="6"/>
  <c r="CL141" i="6"/>
  <c r="CJ142" i="6"/>
  <c r="CK142" i="6"/>
  <c r="CL142" i="6"/>
  <c r="CJ143" i="6"/>
  <c r="CK143" i="6"/>
  <c r="CL143" i="6"/>
  <c r="CJ144" i="6"/>
  <c r="CK144" i="6"/>
  <c r="CL144" i="6"/>
  <c r="CJ145" i="6"/>
  <c r="CK145" i="6"/>
  <c r="CL145" i="6"/>
  <c r="CJ146" i="6"/>
  <c r="CK146" i="6"/>
  <c r="CL146" i="6"/>
  <c r="CJ138" i="6"/>
  <c r="CK138" i="6"/>
  <c r="CL138" i="6"/>
  <c r="CJ147" i="6"/>
  <c r="CK147" i="6"/>
  <c r="CL147" i="6"/>
  <c r="CJ148" i="6"/>
  <c r="CK148" i="6"/>
  <c r="CL148" i="6"/>
  <c r="CJ149" i="6"/>
  <c r="CK149" i="6"/>
  <c r="CL149" i="6"/>
  <c r="CJ184" i="6"/>
  <c r="CK184" i="6"/>
  <c r="CL184" i="6"/>
  <c r="CJ185" i="6"/>
  <c r="CK185" i="6"/>
  <c r="CL185" i="6"/>
  <c r="CJ186" i="6"/>
  <c r="CK186" i="6"/>
  <c r="CL186" i="6"/>
  <c r="CJ187" i="6"/>
  <c r="CK187" i="6"/>
  <c r="CL187" i="6"/>
  <c r="CJ150" i="6"/>
  <c r="CK150" i="6"/>
  <c r="CL150" i="6"/>
  <c r="CJ151" i="6"/>
  <c r="CK151" i="6"/>
  <c r="CL151" i="6"/>
  <c r="CJ152" i="6"/>
  <c r="CK152" i="6"/>
  <c r="CL152" i="6"/>
  <c r="CJ153" i="6"/>
  <c r="CK153" i="6"/>
  <c r="CL153" i="6"/>
  <c r="CJ154" i="6"/>
  <c r="CK154" i="6"/>
  <c r="CL154" i="6"/>
  <c r="CJ155" i="6"/>
  <c r="CK155" i="6"/>
  <c r="CL155" i="6"/>
  <c r="CJ156" i="6"/>
  <c r="CK156" i="6"/>
  <c r="CL156" i="6"/>
  <c r="CJ157" i="6"/>
  <c r="CK157" i="6"/>
  <c r="CL157" i="6"/>
  <c r="CJ158" i="6"/>
  <c r="CK158" i="6"/>
  <c r="CL158" i="6"/>
  <c r="CJ159" i="6"/>
  <c r="CK159" i="6"/>
  <c r="CL159" i="6"/>
  <c r="CJ160" i="6"/>
  <c r="CK160" i="6"/>
  <c r="CL160" i="6"/>
  <c r="CJ161" i="6"/>
  <c r="CK161" i="6"/>
  <c r="CL161" i="6"/>
  <c r="CJ162" i="6"/>
  <c r="CK162" i="6"/>
  <c r="CL162" i="6"/>
  <c r="CJ163" i="6"/>
  <c r="CK163" i="6"/>
  <c r="CL163" i="6"/>
  <c r="CJ164" i="6"/>
  <c r="CK164" i="6"/>
  <c r="CL164" i="6"/>
  <c r="CJ165" i="6"/>
  <c r="CK165" i="6"/>
  <c r="CL165" i="6"/>
  <c r="CJ167" i="6"/>
  <c r="CK167" i="6"/>
  <c r="CL167" i="6"/>
  <c r="CL60" i="6"/>
  <c r="CK60" i="6"/>
  <c r="CJ60" i="6"/>
  <c r="BO250" i="7" l="1"/>
  <c r="BR250" i="6"/>
  <c r="CK255" i="6"/>
  <c r="CJ259" i="6"/>
  <c r="BP250" i="6"/>
  <c r="BM250" i="6"/>
  <c r="CK259" i="6"/>
  <c r="BL250" i="6"/>
  <c r="CJ255" i="6"/>
  <c r="BJ250" i="6"/>
  <c r="BO250" i="6"/>
  <c r="BQ250" i="7"/>
  <c r="CJ252" i="6"/>
  <c r="CK252" i="6"/>
  <c r="CJ256" i="6"/>
  <c r="CK256" i="6"/>
  <c r="BQ250" i="6"/>
  <c r="BN250" i="6"/>
  <c r="BK250" i="6"/>
  <c r="CK251" i="6"/>
  <c r="CJ251" i="6"/>
  <c r="CJ253" i="6"/>
  <c r="CK253" i="6"/>
  <c r="BJ250" i="7"/>
  <c r="BP250" i="7"/>
  <c r="BN250" i="7"/>
  <c r="CN258" i="4"/>
  <c r="CM258" i="4"/>
  <c r="CN257" i="4"/>
  <c r="CM257" i="4"/>
  <c r="V61" i="6" l="1"/>
  <c r="V62" i="6"/>
  <c r="V63" i="6"/>
  <c r="V64" i="6"/>
  <c r="V65" i="6"/>
  <c r="V66" i="6"/>
  <c r="V67" i="6"/>
  <c r="V68" i="6"/>
  <c r="V69" i="6"/>
  <c r="V70" i="6"/>
  <c r="V71" i="6"/>
  <c r="V80" i="6"/>
  <c r="V81" i="6"/>
  <c r="V82" i="6"/>
  <c r="V72" i="6"/>
  <c r="V73" i="6"/>
  <c r="V74" i="6"/>
  <c r="V75" i="6"/>
  <c r="V76" i="6"/>
  <c r="V77" i="6"/>
  <c r="V78" i="6"/>
  <c r="V79" i="6"/>
  <c r="V91" i="6"/>
  <c r="V92" i="6"/>
  <c r="V93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20" i="6"/>
  <c r="V122" i="6"/>
  <c r="V123" i="6"/>
  <c r="V125" i="6"/>
  <c r="V112" i="6"/>
  <c r="V114" i="6"/>
  <c r="V116" i="6"/>
  <c r="V117" i="6"/>
  <c r="V118" i="6"/>
  <c r="V119" i="6"/>
  <c r="V166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7" i="6"/>
  <c r="V8" i="6"/>
  <c r="V9" i="6"/>
  <c r="V10" i="6"/>
  <c r="V11" i="6"/>
  <c r="V12" i="6"/>
  <c r="V13" i="6"/>
  <c r="V19" i="6"/>
  <c r="V25" i="6"/>
  <c r="V26" i="6"/>
  <c r="V14" i="6"/>
  <c r="V15" i="6"/>
  <c r="V16" i="6"/>
  <c r="V17" i="6"/>
  <c r="V18" i="6"/>
  <c r="V20" i="6"/>
  <c r="V21" i="6"/>
  <c r="V22" i="6"/>
  <c r="V23" i="6"/>
  <c r="V24" i="6"/>
  <c r="V27" i="6"/>
  <c r="V28" i="6"/>
  <c r="V29" i="6"/>
  <c r="V30" i="6"/>
  <c r="V31" i="6"/>
  <c r="V32" i="6"/>
  <c r="V39" i="6"/>
  <c r="V51" i="6"/>
  <c r="V33" i="6"/>
  <c r="V34" i="6"/>
  <c r="V35" i="6"/>
  <c r="V36" i="6"/>
  <c r="V37" i="6"/>
  <c r="V38" i="6"/>
  <c r="V40" i="6"/>
  <c r="V41" i="6"/>
  <c r="V42" i="6"/>
  <c r="V43" i="6"/>
  <c r="V44" i="6"/>
  <c r="V45" i="6"/>
  <c r="V46" i="6"/>
  <c r="V47" i="6"/>
  <c r="V48" i="6"/>
  <c r="V49" i="6"/>
  <c r="V53" i="6"/>
  <c r="V54" i="6"/>
  <c r="V55" i="6"/>
  <c r="V56" i="6"/>
  <c r="V57" i="6"/>
  <c r="V58" i="6"/>
  <c r="V59" i="6"/>
  <c r="V83" i="6"/>
  <c r="V84" i="6"/>
  <c r="V85" i="6"/>
  <c r="V86" i="6"/>
  <c r="V87" i="6"/>
  <c r="V88" i="6"/>
  <c r="V89" i="6"/>
  <c r="V90" i="6"/>
  <c r="V94" i="6"/>
  <c r="V95" i="6"/>
  <c r="V121" i="6"/>
  <c r="V124" i="6"/>
  <c r="V110" i="6"/>
  <c r="V111" i="6"/>
  <c r="V113" i="6"/>
  <c r="V115" i="6"/>
  <c r="V134" i="6"/>
  <c r="V135" i="6"/>
  <c r="V126" i="6"/>
  <c r="V127" i="6"/>
  <c r="V128" i="6"/>
  <c r="V129" i="6"/>
  <c r="V130" i="6"/>
  <c r="V131" i="6"/>
  <c r="V132" i="6"/>
  <c r="V133" i="6"/>
  <c r="V136" i="6"/>
  <c r="V137" i="6"/>
  <c r="V139" i="6"/>
  <c r="V140" i="6"/>
  <c r="V141" i="6"/>
  <c r="V142" i="6"/>
  <c r="V143" i="6"/>
  <c r="V144" i="6"/>
  <c r="V145" i="6"/>
  <c r="V146" i="6"/>
  <c r="V138" i="6"/>
  <c r="V147" i="6"/>
  <c r="V148" i="6"/>
  <c r="V149" i="6"/>
  <c r="V184" i="6"/>
  <c r="V185" i="6"/>
  <c r="V186" i="6"/>
  <c r="V187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7" i="6"/>
  <c r="V168" i="6"/>
  <c r="V60" i="6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7" i="7"/>
  <c r="V259" i="6" l="1"/>
  <c r="V252" i="6"/>
  <c r="V255" i="6"/>
  <c r="V253" i="6"/>
  <c r="V254" i="6"/>
  <c r="V251" i="6"/>
  <c r="V256" i="6"/>
  <c r="CL168" i="6"/>
  <c r="CK168" i="6"/>
  <c r="CK254" i="6" s="1"/>
  <c r="CK250" i="6" s="1"/>
  <c r="CJ168" i="6"/>
  <c r="CJ254" i="6" s="1"/>
  <c r="CJ250" i="6" s="1"/>
  <c r="V250" i="6" l="1"/>
  <c r="DQ259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Y259" i="4"/>
  <c r="CX259" i="4"/>
  <c r="CW259" i="4"/>
  <c r="CV259" i="4"/>
  <c r="CU259" i="4"/>
  <c r="CT259" i="4"/>
  <c r="CS259" i="4"/>
  <c r="CR259" i="4"/>
  <c r="CQ259" i="4"/>
  <c r="CP259" i="4"/>
  <c r="CI259" i="4"/>
  <c r="CA259" i="4"/>
  <c r="BZ259" i="4"/>
  <c r="BY259" i="4"/>
  <c r="BW259" i="4"/>
  <c r="BV259" i="4"/>
  <c r="BT259" i="4"/>
  <c r="BS259" i="4"/>
  <c r="BR259" i="4"/>
  <c r="BQ259" i="4"/>
  <c r="BP259" i="4"/>
  <c r="BO259" i="4"/>
  <c r="BN259" i="4"/>
  <c r="BM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T259" i="4"/>
  <c r="AS259" i="4"/>
  <c r="AQ259" i="4"/>
  <c r="AP259" i="4"/>
  <c r="AO259" i="4"/>
  <c r="AN259" i="4"/>
  <c r="AM259" i="4"/>
  <c r="AL259" i="4"/>
  <c r="AK259" i="4"/>
  <c r="AJ259" i="4"/>
  <c r="AH259" i="4"/>
  <c r="AG259" i="4"/>
  <c r="AF259" i="4"/>
  <c r="AE259" i="4"/>
  <c r="AB259" i="4"/>
  <c r="AA259" i="4"/>
  <c r="Z259" i="4"/>
  <c r="Y259" i="4"/>
  <c r="W259" i="4"/>
  <c r="Q259" i="4"/>
  <c r="P259" i="4"/>
  <c r="O259" i="4"/>
  <c r="N259" i="4"/>
  <c r="M259" i="4"/>
  <c r="L259" i="4"/>
  <c r="K259" i="4"/>
  <c r="J259" i="4"/>
  <c r="G259" i="4"/>
  <c r="BQ248" i="6" l="1"/>
  <c r="X259" i="4"/>
  <c r="N32" i="6" l="1"/>
  <c r="DQ258" i="4" l="1"/>
  <c r="DP258" i="4"/>
  <c r="DO258" i="4"/>
  <c r="DN258" i="4"/>
  <c r="DM258" i="4"/>
  <c r="DL258" i="4"/>
  <c r="DK258" i="4"/>
  <c r="D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DQ257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CW257" i="4"/>
  <c r="CV257" i="4"/>
  <c r="CU257" i="4"/>
  <c r="CT257" i="4"/>
  <c r="CS257" i="4"/>
  <c r="CR257" i="4"/>
  <c r="CQ257" i="4"/>
  <c r="CP257" i="4"/>
  <c r="CK257" i="4"/>
  <c r="CJ257" i="4"/>
  <c r="CI257" i="4"/>
  <c r="CH257" i="4"/>
  <c r="CG257" i="4"/>
  <c r="CF257" i="4"/>
  <c r="CE257" i="4"/>
  <c r="CD257" i="4"/>
  <c r="CC257" i="4"/>
  <c r="CB257" i="4"/>
  <c r="CA257" i="4"/>
  <c r="BZ257" i="4"/>
  <c r="BY257" i="4"/>
  <c r="BX257" i="4"/>
  <c r="BW257" i="4"/>
  <c r="BV257" i="4"/>
  <c r="BU257" i="4"/>
  <c r="BT257" i="4"/>
  <c r="BS257" i="4"/>
  <c r="BR257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G257" i="4"/>
  <c r="G258" i="4"/>
  <c r="EC254" i="7" l="1"/>
  <c r="EB254" i="7"/>
  <c r="EA254" i="7"/>
  <c r="DZ254" i="7"/>
  <c r="DN254" i="4" s="1"/>
  <c r="DY254" i="7"/>
  <c r="DX254" i="7"/>
  <c r="DW254" i="7"/>
  <c r="DK254" i="4" s="1"/>
  <c r="DV254" i="7"/>
  <c r="DU254" i="7"/>
  <c r="DT254" i="7"/>
  <c r="DS254" i="7"/>
  <c r="DG254" i="4" s="1"/>
  <c r="DR254" i="7"/>
  <c r="DQ254" i="7"/>
  <c r="DP254" i="7"/>
  <c r="DD254" i="4" s="1"/>
  <c r="DO254" i="7"/>
  <c r="DN254" i="7"/>
  <c r="DM254" i="7"/>
  <c r="DK254" i="7"/>
  <c r="DJ254" i="7"/>
  <c r="CX254" i="4" s="1"/>
  <c r="DI254" i="7"/>
  <c r="CW254" i="4" s="1"/>
  <c r="DH254" i="7"/>
  <c r="DG254" i="7"/>
  <c r="DF254" i="7"/>
  <c r="CT254" i="4" s="1"/>
  <c r="DE254" i="7"/>
  <c r="CS254" i="4" s="1"/>
  <c r="DD254" i="7"/>
  <c r="DC254" i="7"/>
  <c r="DB254" i="7"/>
  <c r="CP254" i="4" s="1"/>
  <c r="EC253" i="7"/>
  <c r="DQ253" i="4" s="1"/>
  <c r="EB253" i="7"/>
  <c r="EA253" i="7"/>
  <c r="DZ253" i="7"/>
  <c r="DN253" i="4" s="1"/>
  <c r="DY253" i="7"/>
  <c r="DM253" i="4" s="1"/>
  <c r="DX253" i="7"/>
  <c r="DW253" i="7"/>
  <c r="DV253" i="7"/>
  <c r="DJ253" i="4" s="1"/>
  <c r="DU253" i="7"/>
  <c r="DI253" i="4" s="1"/>
  <c r="DT253" i="7"/>
  <c r="DS253" i="7"/>
  <c r="DR253" i="7"/>
  <c r="DF253" i="4" s="1"/>
  <c r="DQ253" i="7"/>
  <c r="DE253" i="4" s="1"/>
  <c r="DP253" i="7"/>
  <c r="DO253" i="7"/>
  <c r="DN253" i="7"/>
  <c r="DB253" i="4" s="1"/>
  <c r="DM253" i="7"/>
  <c r="DA253" i="4" s="1"/>
  <c r="DK253" i="7"/>
  <c r="DJ253" i="7"/>
  <c r="DI253" i="7"/>
  <c r="DH253" i="7"/>
  <c r="DG253" i="7"/>
  <c r="DF253" i="7"/>
  <c r="DE253" i="7"/>
  <c r="DD253" i="7"/>
  <c r="CR253" i="4" s="1"/>
  <c r="DC253" i="7"/>
  <c r="DB253" i="7"/>
  <c r="EC248" i="7"/>
  <c r="EB248" i="7"/>
  <c r="EA248" i="7"/>
  <c r="DZ248" i="7"/>
  <c r="DY248" i="7"/>
  <c r="DX248" i="7"/>
  <c r="DW248" i="7"/>
  <c r="DV248" i="7"/>
  <c r="DU248" i="7"/>
  <c r="DT248" i="7"/>
  <c r="DS248" i="7"/>
  <c r="DR248" i="7"/>
  <c r="DQ248" i="7"/>
  <c r="DP248" i="7"/>
  <c r="DO248" i="7"/>
  <c r="DN248" i="7"/>
  <c r="DM248" i="7"/>
  <c r="DK248" i="7"/>
  <c r="DJ248" i="7"/>
  <c r="DI248" i="7"/>
  <c r="DH248" i="7"/>
  <c r="DG248" i="7"/>
  <c r="DF248" i="7"/>
  <c r="DE248" i="7"/>
  <c r="DD248" i="7"/>
  <c r="DC248" i="7"/>
  <c r="DB248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Y256" i="4"/>
  <c r="CX256" i="4"/>
  <c r="CW256" i="4"/>
  <c r="CV256" i="4"/>
  <c r="CU256" i="4"/>
  <c r="CT256" i="4"/>
  <c r="CS256" i="4"/>
  <c r="CR256" i="4"/>
  <c r="CQ256" i="4"/>
  <c r="CP256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Y255" i="4"/>
  <c r="CX255" i="4"/>
  <c r="CW255" i="4"/>
  <c r="CV255" i="4"/>
  <c r="CU255" i="4"/>
  <c r="CT255" i="4"/>
  <c r="CS255" i="4"/>
  <c r="CR255" i="4"/>
  <c r="CQ255" i="4"/>
  <c r="CP255" i="4"/>
  <c r="DO254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E252" i="4"/>
  <c r="DD252" i="4"/>
  <c r="DC252" i="4"/>
  <c r="DB252" i="4"/>
  <c r="DA252" i="4"/>
  <c r="CY252" i="4"/>
  <c r="CX252" i="4"/>
  <c r="CW252" i="4"/>
  <c r="CV252" i="4"/>
  <c r="CU252" i="4"/>
  <c r="CT252" i="4"/>
  <c r="CS252" i="4"/>
  <c r="CR252" i="4"/>
  <c r="CQ252" i="4"/>
  <c r="CP252" i="4"/>
  <c r="DJ251" i="4"/>
  <c r="DF251" i="4"/>
  <c r="DB251" i="4"/>
  <c r="CX251" i="4"/>
  <c r="DO248" i="6"/>
  <c r="DN248" i="6"/>
  <c r="DL248" i="6"/>
  <c r="DK248" i="6"/>
  <c r="DG248" i="6"/>
  <c r="DD248" i="6"/>
  <c r="DA248" i="6"/>
  <c r="CX248" i="6"/>
  <c r="CW248" i="6"/>
  <c r="CV248" i="6"/>
  <c r="CU248" i="6"/>
  <c r="CS248" i="6"/>
  <c r="CR248" i="6"/>
  <c r="CQ248" i="6"/>
  <c r="CP248" i="6"/>
  <c r="DL254" i="7" l="1"/>
  <c r="DB250" i="7"/>
  <c r="CP250" i="4" s="1"/>
  <c r="DF250" i="7"/>
  <c r="DJ250" i="7"/>
  <c r="CX250" i="4" s="1"/>
  <c r="DO250" i="7"/>
  <c r="DS250" i="7"/>
  <c r="DG250" i="4" s="1"/>
  <c r="DW250" i="7"/>
  <c r="DK250" i="4" s="1"/>
  <c r="EA250" i="7"/>
  <c r="DO250" i="4" s="1"/>
  <c r="DC250" i="7"/>
  <c r="CQ250" i="4" s="1"/>
  <c r="DG250" i="7"/>
  <c r="DK250" i="7"/>
  <c r="DP250" i="7"/>
  <c r="DD250" i="4" s="1"/>
  <c r="DT250" i="7"/>
  <c r="DX250" i="7"/>
  <c r="DL250" i="4" s="1"/>
  <c r="EB250" i="7"/>
  <c r="DD250" i="7"/>
  <c r="DH250" i="7"/>
  <c r="CV250" i="4" s="1"/>
  <c r="DM250" i="7"/>
  <c r="DA250" i="4" s="1"/>
  <c r="DQ250" i="7"/>
  <c r="DU250" i="7"/>
  <c r="DY250" i="7"/>
  <c r="EC250" i="7"/>
  <c r="CV253" i="4"/>
  <c r="DE250" i="7"/>
  <c r="DI250" i="7"/>
  <c r="DN250" i="7"/>
  <c r="DR250" i="7"/>
  <c r="DV250" i="7"/>
  <c r="DZ250" i="7"/>
  <c r="DN250" i="4" s="1"/>
  <c r="DC253" i="4"/>
  <c r="DG253" i="4"/>
  <c r="DK253" i="4"/>
  <c r="DO253" i="4"/>
  <c r="CQ254" i="4"/>
  <c r="CU254" i="4"/>
  <c r="CY254" i="4"/>
  <c r="DP254" i="4"/>
  <c r="DD253" i="4"/>
  <c r="DH253" i="4"/>
  <c r="DL253" i="4"/>
  <c r="DP253" i="4"/>
  <c r="CR254" i="4"/>
  <c r="CV254" i="4"/>
  <c r="DL253" i="7"/>
  <c r="DL254" i="4"/>
  <c r="CS253" i="4"/>
  <c r="CW253" i="4"/>
  <c r="CP253" i="4"/>
  <c r="CT253" i="4"/>
  <c r="CX253" i="4"/>
  <c r="CQ253" i="4"/>
  <c r="CU253" i="4"/>
  <c r="CY253" i="4"/>
  <c r="DA254" i="4"/>
  <c r="DL248" i="7"/>
  <c r="DN251" i="4"/>
  <c r="CP251" i="4"/>
  <c r="DD251" i="4"/>
  <c r="DL251" i="4"/>
  <c r="CR251" i="4"/>
  <c r="CQ251" i="4"/>
  <c r="DG251" i="4"/>
  <c r="CV251" i="4"/>
  <c r="DH251" i="4"/>
  <c r="DO251" i="4"/>
  <c r="CU251" i="4"/>
  <c r="DC251" i="4"/>
  <c r="DK251" i="4"/>
  <c r="CS251" i="4"/>
  <c r="CW251" i="4"/>
  <c r="DA251" i="4"/>
  <c r="DE251" i="4"/>
  <c r="DI251" i="4"/>
  <c r="DM251" i="4"/>
  <c r="CZ168" i="6"/>
  <c r="CZ167" i="6"/>
  <c r="CZ165" i="6"/>
  <c r="CZ164" i="6"/>
  <c r="CZ163" i="6"/>
  <c r="CZ162" i="6"/>
  <c r="CZ161" i="6"/>
  <c r="CZ160" i="6"/>
  <c r="CZ159" i="6"/>
  <c r="CZ158" i="6"/>
  <c r="CZ157" i="6"/>
  <c r="CZ156" i="6"/>
  <c r="CZ155" i="6"/>
  <c r="CZ154" i="6"/>
  <c r="CZ153" i="6"/>
  <c r="CZ152" i="6"/>
  <c r="CZ151" i="6"/>
  <c r="CZ150" i="6"/>
  <c r="CZ187" i="6"/>
  <c r="CZ186" i="6"/>
  <c r="CZ185" i="6"/>
  <c r="CZ184" i="6"/>
  <c r="CZ149" i="6"/>
  <c r="CZ148" i="6"/>
  <c r="DQ147" i="6"/>
  <c r="CZ147" i="6"/>
  <c r="CZ138" i="6"/>
  <c r="CZ146" i="6"/>
  <c r="CZ145" i="6"/>
  <c r="CZ144" i="6"/>
  <c r="CZ143" i="6"/>
  <c r="DQ142" i="6"/>
  <c r="CZ142" i="6"/>
  <c r="CZ141" i="6"/>
  <c r="CZ140" i="6"/>
  <c r="DQ139" i="6"/>
  <c r="CZ139" i="6"/>
  <c r="DQ137" i="6"/>
  <c r="CZ137" i="6"/>
  <c r="CZ136" i="6"/>
  <c r="CZ133" i="6"/>
  <c r="CZ132" i="6"/>
  <c r="CZ131" i="6"/>
  <c r="CZ130" i="6"/>
  <c r="CZ129" i="6"/>
  <c r="CZ128" i="6"/>
  <c r="CZ127" i="6"/>
  <c r="CZ126" i="6"/>
  <c r="CZ135" i="6"/>
  <c r="CZ134" i="6"/>
  <c r="CZ115" i="6"/>
  <c r="CZ113" i="6"/>
  <c r="CZ111" i="6"/>
  <c r="CZ110" i="6"/>
  <c r="CZ124" i="6"/>
  <c r="CZ121" i="6"/>
  <c r="DQ95" i="6"/>
  <c r="CZ95" i="6"/>
  <c r="DQ94" i="6"/>
  <c r="CZ94" i="6"/>
  <c r="DQ90" i="6"/>
  <c r="CZ90" i="6"/>
  <c r="CZ89" i="6"/>
  <c r="DQ88" i="6"/>
  <c r="CZ88" i="6"/>
  <c r="CZ87" i="6"/>
  <c r="CZ86" i="6"/>
  <c r="DQ85" i="6"/>
  <c r="CZ85" i="6"/>
  <c r="DQ84" i="6"/>
  <c r="CZ84" i="6"/>
  <c r="DQ83" i="6"/>
  <c r="CZ83" i="6"/>
  <c r="CZ59" i="6"/>
  <c r="CZ58" i="6"/>
  <c r="CZ57" i="6"/>
  <c r="CZ56" i="6"/>
  <c r="CZ55" i="6"/>
  <c r="CZ54" i="6"/>
  <c r="CZ53" i="6"/>
  <c r="CZ49" i="6"/>
  <c r="CZ48" i="6"/>
  <c r="DQ47" i="6"/>
  <c r="CZ47" i="6"/>
  <c r="CZ46" i="6"/>
  <c r="CZ45" i="6"/>
  <c r="DQ44" i="6"/>
  <c r="CZ44" i="6"/>
  <c r="CZ43" i="6"/>
  <c r="CZ42" i="6"/>
  <c r="CZ41" i="6"/>
  <c r="CZ40" i="6"/>
  <c r="CZ38" i="6"/>
  <c r="DQ37" i="6"/>
  <c r="CZ37" i="6"/>
  <c r="CZ36" i="6"/>
  <c r="CZ35" i="6"/>
  <c r="DQ34" i="6"/>
  <c r="CZ34" i="6"/>
  <c r="CZ33" i="6"/>
  <c r="CZ51" i="6"/>
  <c r="CZ39" i="6"/>
  <c r="DQ32" i="6"/>
  <c r="CZ32" i="6"/>
  <c r="CZ31" i="6"/>
  <c r="CZ30" i="6"/>
  <c r="CZ29" i="6"/>
  <c r="CZ28" i="6"/>
  <c r="CZ27" i="6"/>
  <c r="CZ24" i="6"/>
  <c r="CZ23" i="6"/>
  <c r="CZ22" i="6"/>
  <c r="CZ21" i="6"/>
  <c r="DQ20" i="6"/>
  <c r="CZ20" i="6"/>
  <c r="DQ18" i="6"/>
  <c r="CZ18" i="6"/>
  <c r="DQ17" i="6"/>
  <c r="CZ17" i="6"/>
  <c r="DQ16" i="6"/>
  <c r="CZ16" i="6"/>
  <c r="DQ15" i="6"/>
  <c r="CZ15" i="6"/>
  <c r="DQ14" i="6"/>
  <c r="CZ14" i="6"/>
  <c r="CZ26" i="6"/>
  <c r="CZ25" i="6"/>
  <c r="DQ19" i="6"/>
  <c r="CZ19" i="6"/>
  <c r="DQ13" i="6"/>
  <c r="CZ13" i="6"/>
  <c r="CZ12" i="6"/>
  <c r="CZ11" i="6"/>
  <c r="CZ10" i="6"/>
  <c r="CZ9" i="6"/>
  <c r="CZ8" i="6"/>
  <c r="CZ7" i="6"/>
  <c r="DQ183" i="6"/>
  <c r="DP183" i="6"/>
  <c r="CY183" i="6"/>
  <c r="CT183" i="6"/>
  <c r="CZ182" i="6"/>
  <c r="CZ181" i="6"/>
  <c r="CZ180" i="6"/>
  <c r="CZ179" i="6"/>
  <c r="CZ178" i="6"/>
  <c r="CZ177" i="6"/>
  <c r="CZ176" i="6"/>
  <c r="CZ175" i="6"/>
  <c r="CZ174" i="6"/>
  <c r="CZ173" i="6"/>
  <c r="CZ172" i="6"/>
  <c r="CZ171" i="6"/>
  <c r="CZ170" i="6"/>
  <c r="CZ169" i="6"/>
  <c r="CZ166" i="6"/>
  <c r="CZ119" i="6"/>
  <c r="CZ118" i="6"/>
  <c r="CZ117" i="6"/>
  <c r="CZ116" i="6"/>
  <c r="CZ114" i="6"/>
  <c r="CZ112" i="6"/>
  <c r="CZ125" i="6"/>
  <c r="CZ123" i="6"/>
  <c r="CZ122" i="6"/>
  <c r="CZ120" i="6"/>
  <c r="CZ109" i="6"/>
  <c r="CZ108" i="6"/>
  <c r="CZ107" i="6"/>
  <c r="CZ106" i="6"/>
  <c r="CZ105" i="6"/>
  <c r="CZ104" i="6"/>
  <c r="CZ103" i="6"/>
  <c r="CZ102" i="6"/>
  <c r="CZ101" i="6"/>
  <c r="CZ100" i="6"/>
  <c r="CZ99" i="6"/>
  <c r="CZ98" i="6"/>
  <c r="CZ97" i="6"/>
  <c r="CZ96" i="6"/>
  <c r="CZ93" i="6"/>
  <c r="CZ92" i="6"/>
  <c r="CZ91" i="6"/>
  <c r="CZ79" i="6"/>
  <c r="CZ78" i="6"/>
  <c r="CZ77" i="6"/>
  <c r="CZ76" i="6"/>
  <c r="CZ75" i="6"/>
  <c r="CZ74" i="6"/>
  <c r="CZ73" i="6"/>
  <c r="CZ72" i="6"/>
  <c r="CZ82" i="6"/>
  <c r="CZ81" i="6"/>
  <c r="CZ80" i="6"/>
  <c r="CZ71" i="6"/>
  <c r="CZ70" i="6"/>
  <c r="CZ69" i="6"/>
  <c r="CZ68" i="6"/>
  <c r="CZ67" i="6"/>
  <c r="CZ66" i="6"/>
  <c r="CZ65" i="6"/>
  <c r="CZ64" i="6"/>
  <c r="CZ63" i="6"/>
  <c r="CZ62" i="6"/>
  <c r="CZ61" i="6"/>
  <c r="CZ60" i="6"/>
  <c r="CZ256" i="6" l="1"/>
  <c r="CZ254" i="6"/>
  <c r="CZ252" i="6"/>
  <c r="CZ252" i="4" s="1"/>
  <c r="CZ253" i="6"/>
  <c r="CZ253" i="4" s="1"/>
  <c r="CZ255" i="6"/>
  <c r="CZ255" i="4" s="1"/>
  <c r="CZ259" i="6"/>
  <c r="CZ259" i="4" s="1"/>
  <c r="DQ256" i="4"/>
  <c r="CZ256" i="4"/>
  <c r="DL250" i="7"/>
  <c r="CZ254" i="4"/>
  <c r="CU250" i="4"/>
  <c r="CR250" i="4"/>
  <c r="CW250" i="4"/>
  <c r="CS250" i="4"/>
  <c r="DP248" i="6"/>
  <c r="DB248" i="6"/>
  <c r="DH248" i="6"/>
  <c r="DI248" i="6"/>
  <c r="CT248" i="6"/>
  <c r="DE248" i="6"/>
  <c r="DJ248" i="6"/>
  <c r="DQ248" i="6"/>
  <c r="DC248" i="6"/>
  <c r="CZ183" i="6"/>
  <c r="CZ251" i="6" s="1"/>
  <c r="CY248" i="6"/>
  <c r="DF248" i="6"/>
  <c r="DM248" i="6"/>
  <c r="CA183" i="6"/>
  <c r="BT183" i="6"/>
  <c r="BS183" i="6"/>
  <c r="BH183" i="6"/>
  <c r="BG183" i="6"/>
  <c r="BF183" i="6"/>
  <c r="BD183" i="6"/>
  <c r="BE183" i="6"/>
  <c r="BC183" i="6"/>
  <c r="BB183" i="6"/>
  <c r="BA183" i="6"/>
  <c r="AZ183" i="6"/>
  <c r="AY183" i="6"/>
  <c r="AX183" i="6"/>
  <c r="AW183" i="6"/>
  <c r="AT183" i="6"/>
  <c r="AS183" i="6"/>
  <c r="AR183" i="6"/>
  <c r="AP183" i="6"/>
  <c r="AO183" i="6"/>
  <c r="AL183" i="6"/>
  <c r="L183" i="6"/>
  <c r="K183" i="6"/>
  <c r="J183" i="6"/>
  <c r="CZ250" i="6" l="1"/>
  <c r="CZ250" i="4" s="1"/>
  <c r="DQ250" i="4"/>
  <c r="DQ254" i="4"/>
  <c r="CZ251" i="4"/>
  <c r="CZ248" i="6"/>
  <c r="DF254" i="4"/>
  <c r="DF250" i="4"/>
  <c r="DC254" i="4"/>
  <c r="DC250" i="4"/>
  <c r="DE254" i="4"/>
  <c r="DE250" i="4"/>
  <c r="DB254" i="4"/>
  <c r="DB250" i="4"/>
  <c r="DI254" i="4"/>
  <c r="DI250" i="4"/>
  <c r="DQ251" i="4"/>
  <c r="DM254" i="4"/>
  <c r="DM250" i="4"/>
  <c r="CY250" i="4"/>
  <c r="CY251" i="4"/>
  <c r="DJ254" i="4"/>
  <c r="DJ250" i="4"/>
  <c r="CT250" i="4"/>
  <c r="CT251" i="4"/>
  <c r="DH254" i="4"/>
  <c r="DH250" i="4"/>
  <c r="DP250" i="4"/>
  <c r="DP251" i="4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168" i="6"/>
  <c r="T168" i="6"/>
  <c r="U167" i="6"/>
  <c r="T167" i="6"/>
  <c r="U165" i="6"/>
  <c r="T165" i="6"/>
  <c r="U164" i="6"/>
  <c r="T164" i="6"/>
  <c r="T163" i="6"/>
  <c r="U162" i="6"/>
  <c r="T162" i="6"/>
  <c r="U161" i="6"/>
  <c r="T161" i="6"/>
  <c r="U160" i="6"/>
  <c r="T160" i="6"/>
  <c r="U159" i="6"/>
  <c r="T159" i="6"/>
  <c r="U158" i="6"/>
  <c r="T158" i="6"/>
  <c r="U157" i="6"/>
  <c r="T157" i="6"/>
  <c r="U156" i="6"/>
  <c r="T156" i="6"/>
  <c r="U155" i="6"/>
  <c r="T155" i="6"/>
  <c r="U154" i="6"/>
  <c r="T154" i="6"/>
  <c r="U153" i="6"/>
  <c r="T153" i="6"/>
  <c r="U152" i="6"/>
  <c r="T152" i="6"/>
  <c r="T151" i="6"/>
  <c r="U187" i="6"/>
  <c r="T187" i="6"/>
  <c r="T186" i="6"/>
  <c r="T185" i="6"/>
  <c r="T184" i="6"/>
  <c r="T149" i="6"/>
  <c r="U148" i="6"/>
  <c r="T148" i="6"/>
  <c r="U147" i="6"/>
  <c r="T147" i="6"/>
  <c r="U138" i="6"/>
  <c r="T138" i="6"/>
  <c r="U146" i="6"/>
  <c r="T146" i="6"/>
  <c r="T145" i="6"/>
  <c r="U144" i="6"/>
  <c r="T144" i="6"/>
  <c r="T143" i="6"/>
  <c r="U142" i="6"/>
  <c r="T142" i="6"/>
  <c r="U141" i="6"/>
  <c r="T141" i="6"/>
  <c r="U137" i="6"/>
  <c r="T137" i="6"/>
  <c r="U136" i="6"/>
  <c r="T136" i="6"/>
  <c r="U133" i="6"/>
  <c r="T133" i="6"/>
  <c r="U132" i="6"/>
  <c r="T132" i="6"/>
  <c r="U131" i="6"/>
  <c r="T131" i="6"/>
  <c r="U130" i="6"/>
  <c r="T130" i="6"/>
  <c r="U129" i="6"/>
  <c r="T129" i="6"/>
  <c r="U128" i="6"/>
  <c r="T128" i="6"/>
  <c r="U127" i="6"/>
  <c r="T127" i="6"/>
  <c r="U126" i="6"/>
  <c r="T126" i="6"/>
  <c r="U135" i="6"/>
  <c r="T135" i="6"/>
  <c r="U134" i="6"/>
  <c r="T134" i="6"/>
  <c r="U115" i="6"/>
  <c r="T115" i="6"/>
  <c r="U113" i="6"/>
  <c r="T113" i="6"/>
  <c r="U111" i="6"/>
  <c r="T111" i="6"/>
  <c r="U110" i="6"/>
  <c r="T110" i="6"/>
  <c r="U124" i="6"/>
  <c r="T124" i="6"/>
  <c r="T121" i="6"/>
  <c r="U95" i="6"/>
  <c r="T95" i="6"/>
  <c r="U90" i="6"/>
  <c r="T90" i="6"/>
  <c r="U88" i="6"/>
  <c r="T88" i="6"/>
  <c r="U87" i="6"/>
  <c r="T87" i="6"/>
  <c r="U86" i="6"/>
  <c r="T86" i="6"/>
  <c r="U85" i="6"/>
  <c r="T85" i="6"/>
  <c r="U84" i="6"/>
  <c r="T84" i="6"/>
  <c r="U59" i="6"/>
  <c r="T59" i="6"/>
  <c r="U58" i="6"/>
  <c r="T58" i="6"/>
  <c r="U57" i="6"/>
  <c r="T57" i="6"/>
  <c r="U56" i="6"/>
  <c r="T56" i="6"/>
  <c r="U55" i="6"/>
  <c r="T55" i="6"/>
  <c r="U53" i="6"/>
  <c r="T53" i="6"/>
  <c r="U49" i="6"/>
  <c r="T49" i="6"/>
  <c r="U48" i="6"/>
  <c r="T48" i="6"/>
  <c r="T47" i="6"/>
  <c r="U46" i="6"/>
  <c r="T46" i="6"/>
  <c r="U45" i="6"/>
  <c r="T45" i="6"/>
  <c r="U44" i="6"/>
  <c r="T44" i="6"/>
  <c r="U43" i="6"/>
  <c r="T43" i="6"/>
  <c r="U42" i="6"/>
  <c r="T42" i="6"/>
  <c r="U41" i="6"/>
  <c r="T41" i="6"/>
  <c r="U40" i="6"/>
  <c r="T40" i="6"/>
  <c r="U38" i="6"/>
  <c r="T38" i="6"/>
  <c r="U37" i="6"/>
  <c r="T37" i="6"/>
  <c r="U35" i="6"/>
  <c r="U255" i="6" s="1"/>
  <c r="T35" i="6"/>
  <c r="T255" i="6" s="1"/>
  <c r="U34" i="6"/>
  <c r="T34" i="6"/>
  <c r="U33" i="6"/>
  <c r="T33" i="6"/>
  <c r="U51" i="6"/>
  <c r="T51" i="6"/>
  <c r="U39" i="6"/>
  <c r="T39" i="6"/>
  <c r="U32" i="6"/>
  <c r="T32" i="6"/>
  <c r="U31" i="6"/>
  <c r="T31" i="6"/>
  <c r="U30" i="6"/>
  <c r="T30" i="6"/>
  <c r="U29" i="6"/>
  <c r="T29" i="6"/>
  <c r="U28" i="6"/>
  <c r="T28" i="6"/>
  <c r="U27" i="6"/>
  <c r="T27" i="6"/>
  <c r="U24" i="6"/>
  <c r="T24" i="6"/>
  <c r="U23" i="6"/>
  <c r="T23" i="6"/>
  <c r="U21" i="6"/>
  <c r="T21" i="6"/>
  <c r="T20" i="6"/>
  <c r="T18" i="6"/>
  <c r="U17" i="6"/>
  <c r="T17" i="6"/>
  <c r="U16" i="6"/>
  <c r="T16" i="6"/>
  <c r="U15" i="6"/>
  <c r="T15" i="6"/>
  <c r="U14" i="6"/>
  <c r="T14" i="6"/>
  <c r="U26" i="6"/>
  <c r="T26" i="6"/>
  <c r="U25" i="6"/>
  <c r="T25" i="6"/>
  <c r="U12" i="6"/>
  <c r="T12" i="6"/>
  <c r="U11" i="6"/>
  <c r="T11" i="6"/>
  <c r="U10" i="6"/>
  <c r="T10" i="6"/>
  <c r="U8" i="6"/>
  <c r="T8" i="6"/>
  <c r="U7" i="6"/>
  <c r="T7" i="6"/>
  <c r="U183" i="6"/>
  <c r="T183" i="6"/>
  <c r="U182" i="6"/>
  <c r="T182" i="6"/>
  <c r="U181" i="6"/>
  <c r="T181" i="6"/>
  <c r="U180" i="6"/>
  <c r="T180" i="6"/>
  <c r="U178" i="6"/>
  <c r="T178" i="6"/>
  <c r="U177" i="6"/>
  <c r="T177" i="6"/>
  <c r="U175" i="6"/>
  <c r="T175" i="6"/>
  <c r="U174" i="6"/>
  <c r="T174" i="6"/>
  <c r="U172" i="6"/>
  <c r="T172" i="6"/>
  <c r="U171" i="6"/>
  <c r="T171" i="6"/>
  <c r="U170" i="6"/>
  <c r="T170" i="6"/>
  <c r="U166" i="6"/>
  <c r="T166" i="6"/>
  <c r="U119" i="6"/>
  <c r="T119" i="6"/>
  <c r="U118" i="6"/>
  <c r="T118" i="6"/>
  <c r="T117" i="6"/>
  <c r="U116" i="6"/>
  <c r="T116" i="6"/>
  <c r="U114" i="6"/>
  <c r="T114" i="6"/>
  <c r="U112" i="6"/>
  <c r="T112" i="6"/>
  <c r="U125" i="6"/>
  <c r="T125" i="6"/>
  <c r="U123" i="6"/>
  <c r="T123" i="6"/>
  <c r="U122" i="6"/>
  <c r="T122" i="6"/>
  <c r="U109" i="6"/>
  <c r="T109" i="6"/>
  <c r="U107" i="6"/>
  <c r="T107" i="6"/>
  <c r="U106" i="6"/>
  <c r="T106" i="6"/>
  <c r="U105" i="6"/>
  <c r="T105" i="6"/>
  <c r="U104" i="6"/>
  <c r="T104" i="6"/>
  <c r="U102" i="6"/>
  <c r="T102" i="6"/>
  <c r="U101" i="6"/>
  <c r="T101" i="6"/>
  <c r="U100" i="6"/>
  <c r="T100" i="6"/>
  <c r="U98" i="6"/>
  <c r="T98" i="6"/>
  <c r="T92" i="6"/>
  <c r="U79" i="6"/>
  <c r="T79" i="6"/>
  <c r="U78" i="6"/>
  <c r="T78" i="6"/>
  <c r="U77" i="6"/>
  <c r="T77" i="6"/>
  <c r="U76" i="6"/>
  <c r="T76" i="6"/>
  <c r="U75" i="6"/>
  <c r="T75" i="6"/>
  <c r="U74" i="6"/>
  <c r="T74" i="6"/>
  <c r="U73" i="6"/>
  <c r="T73" i="6"/>
  <c r="U72" i="6"/>
  <c r="T72" i="6"/>
  <c r="U82" i="6"/>
  <c r="T82" i="6"/>
  <c r="U81" i="6"/>
  <c r="T81" i="6"/>
  <c r="U71" i="6"/>
  <c r="T71" i="6"/>
  <c r="U70" i="6"/>
  <c r="T70" i="6"/>
  <c r="U69" i="6"/>
  <c r="T69" i="6"/>
  <c r="U68" i="6"/>
  <c r="T68" i="6"/>
  <c r="U67" i="6"/>
  <c r="T67" i="6"/>
  <c r="U66" i="6"/>
  <c r="T66" i="6"/>
  <c r="U65" i="6"/>
  <c r="T65" i="6"/>
  <c r="U64" i="6"/>
  <c r="T64" i="6"/>
  <c r="U63" i="6"/>
  <c r="T63" i="6"/>
  <c r="U61" i="6"/>
  <c r="T61" i="6"/>
  <c r="T259" i="6" l="1"/>
  <c r="T140" i="6"/>
  <c r="U140" i="6"/>
  <c r="T54" i="6" l="1"/>
  <c r="U54" i="6"/>
  <c r="BZ248" i="6"/>
  <c r="BY248" i="6"/>
  <c r="AN248" i="6"/>
  <c r="AJ248" i="6"/>
  <c r="AH248" i="6"/>
  <c r="AB248" i="6"/>
  <c r="AA248" i="6"/>
  <c r="Z248" i="6"/>
  <c r="CL7" i="4" l="1"/>
  <c r="CK7" i="4"/>
  <c r="CJ7" i="4"/>
  <c r="CU254" i="7"/>
  <c r="CM254" i="7"/>
  <c r="BZ254" i="7"/>
  <c r="BY254" i="7"/>
  <c r="BX254" i="7"/>
  <c r="BW254" i="7"/>
  <c r="BV254" i="7"/>
  <c r="BU254" i="7"/>
  <c r="BT254" i="7"/>
  <c r="BS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T254" i="7"/>
  <c r="AS254" i="7"/>
  <c r="AQ254" i="7"/>
  <c r="AP254" i="7"/>
  <c r="AO254" i="7"/>
  <c r="AN254" i="7"/>
  <c r="AM254" i="7"/>
  <c r="AL254" i="7"/>
  <c r="AK254" i="7"/>
  <c r="AJ254" i="7"/>
  <c r="AH254" i="7"/>
  <c r="AG254" i="7"/>
  <c r="AF254" i="7"/>
  <c r="AE254" i="7"/>
  <c r="AB254" i="7"/>
  <c r="AA254" i="7"/>
  <c r="Z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CU253" i="7"/>
  <c r="CM253" i="7"/>
  <c r="BZ253" i="7"/>
  <c r="BY253" i="7"/>
  <c r="BX253" i="7"/>
  <c r="BW253" i="7"/>
  <c r="BV253" i="7"/>
  <c r="BV250" i="7" s="1"/>
  <c r="BU253" i="7"/>
  <c r="BT253" i="7"/>
  <c r="BS253" i="7"/>
  <c r="BI253" i="7"/>
  <c r="BI250" i="7" s="1"/>
  <c r="BH253" i="7"/>
  <c r="BG253" i="7"/>
  <c r="BF253" i="7"/>
  <c r="BE253" i="7"/>
  <c r="BE250" i="7" s="1"/>
  <c r="BD253" i="7"/>
  <c r="BC253" i="7"/>
  <c r="BB253" i="7"/>
  <c r="BA253" i="7"/>
  <c r="BA250" i="7" s="1"/>
  <c r="AZ253" i="7"/>
  <c r="AY253" i="7"/>
  <c r="AX253" i="7"/>
  <c r="AW253" i="7"/>
  <c r="AW250" i="7" s="1"/>
  <c r="AV253" i="7"/>
  <c r="AT253" i="7"/>
  <c r="AS253" i="7"/>
  <c r="AQ253" i="7"/>
  <c r="AP253" i="7"/>
  <c r="AO253" i="7"/>
  <c r="AN253" i="7"/>
  <c r="AM253" i="7"/>
  <c r="AM250" i="7" s="1"/>
  <c r="AL253" i="7"/>
  <c r="AK253" i="7"/>
  <c r="AJ253" i="7"/>
  <c r="AH253" i="7"/>
  <c r="AH250" i="7" s="1"/>
  <c r="AG253" i="7"/>
  <c r="AF253" i="7"/>
  <c r="AE253" i="7"/>
  <c r="AB253" i="7"/>
  <c r="AB250" i="7" s="1"/>
  <c r="AA253" i="7"/>
  <c r="Z253" i="7"/>
  <c r="V253" i="7"/>
  <c r="U253" i="7"/>
  <c r="T253" i="7"/>
  <c r="S253" i="7"/>
  <c r="R253" i="7"/>
  <c r="Q253" i="7"/>
  <c r="P253" i="7"/>
  <c r="O253" i="7"/>
  <c r="N253" i="7"/>
  <c r="M253" i="7"/>
  <c r="M250" i="7" s="1"/>
  <c r="L253" i="7"/>
  <c r="K253" i="7"/>
  <c r="J253" i="7"/>
  <c r="CU248" i="7"/>
  <c r="CM248" i="7"/>
  <c r="BZ248" i="7"/>
  <c r="BY248" i="7"/>
  <c r="BX248" i="7"/>
  <c r="BW248" i="7"/>
  <c r="BV248" i="7"/>
  <c r="BU248" i="7"/>
  <c r="BT248" i="7"/>
  <c r="BS248" i="7"/>
  <c r="BR248" i="7"/>
  <c r="BQ248" i="7"/>
  <c r="BP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T248" i="7"/>
  <c r="AS248" i="7"/>
  <c r="AQ248" i="7"/>
  <c r="AP248" i="7"/>
  <c r="AO248" i="7"/>
  <c r="AN248" i="7"/>
  <c r="AM248" i="7"/>
  <c r="AL248" i="7"/>
  <c r="AK248" i="7"/>
  <c r="AJ248" i="7"/>
  <c r="AH248" i="7"/>
  <c r="AG248" i="7"/>
  <c r="AF248" i="7"/>
  <c r="AE248" i="7"/>
  <c r="AB248" i="7"/>
  <c r="AA248" i="7"/>
  <c r="Z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G248" i="7"/>
  <c r="G248" i="6"/>
  <c r="BZ250" i="7" l="1"/>
  <c r="AQ250" i="7"/>
  <c r="J250" i="7"/>
  <c r="N250" i="7"/>
  <c r="R250" i="7"/>
  <c r="V250" i="7"/>
  <c r="AE250" i="7"/>
  <c r="AJ250" i="7"/>
  <c r="AN250" i="7"/>
  <c r="AS250" i="7"/>
  <c r="AX250" i="7"/>
  <c r="BB250" i="7"/>
  <c r="BF250" i="7"/>
  <c r="BS250" i="7"/>
  <c r="CM250" i="7"/>
  <c r="K250" i="7"/>
  <c r="S250" i="7"/>
  <c r="Z250" i="7"/>
  <c r="AK250" i="7"/>
  <c r="AO250" i="7"/>
  <c r="AT250" i="7"/>
  <c r="AY250" i="7"/>
  <c r="BC250" i="7"/>
  <c r="BG250" i="7"/>
  <c r="BT250" i="7"/>
  <c r="BX250" i="7"/>
  <c r="L250" i="7"/>
  <c r="P250" i="7"/>
  <c r="AA250" i="7"/>
  <c r="AG250" i="7"/>
  <c r="AL250" i="7"/>
  <c r="AP250" i="7"/>
  <c r="AV250" i="7"/>
  <c r="AZ250" i="7"/>
  <c r="BD250" i="7"/>
  <c r="BH250" i="7"/>
  <c r="BU250" i="7"/>
  <c r="BY250" i="7"/>
  <c r="CU250" i="7"/>
  <c r="Q250" i="7"/>
  <c r="T250" i="7"/>
  <c r="BW250" i="7"/>
  <c r="U250" i="7"/>
  <c r="O250" i="7"/>
  <c r="AF250" i="7"/>
  <c r="CF168" i="6" l="1"/>
  <c r="CE168" i="6" s="1"/>
  <c r="CD168" i="6"/>
  <c r="CB168" i="6"/>
  <c r="BU168" i="6"/>
  <c r="AU168" i="6"/>
  <c r="AD168" i="6"/>
  <c r="CF167" i="6"/>
  <c r="CE167" i="6" s="1"/>
  <c r="CD167" i="6"/>
  <c r="CB167" i="6"/>
  <c r="BX167" i="6"/>
  <c r="BU167" i="6"/>
  <c r="AU167" i="6"/>
  <c r="AD167" i="6"/>
  <c r="CF165" i="6"/>
  <c r="CE165" i="6" s="1"/>
  <c r="CD165" i="6"/>
  <c r="CC165" i="6" s="1"/>
  <c r="CB165" i="6"/>
  <c r="AU165" i="6"/>
  <c r="AD165" i="6"/>
  <c r="CF164" i="6"/>
  <c r="CE164" i="6" s="1"/>
  <c r="CD164" i="6"/>
  <c r="CC164" i="6" s="1"/>
  <c r="CB164" i="6"/>
  <c r="BX164" i="6"/>
  <c r="BU164" i="6"/>
  <c r="AU164" i="6"/>
  <c r="AD164" i="6"/>
  <c r="CF163" i="6"/>
  <c r="CD163" i="6"/>
  <c r="CC163" i="6" s="1"/>
  <c r="CB163" i="6"/>
  <c r="BU163" i="6"/>
  <c r="AU163" i="6"/>
  <c r="AD163" i="6"/>
  <c r="CF162" i="6"/>
  <c r="CE162" i="6" s="1"/>
  <c r="CD162" i="6"/>
  <c r="CB162" i="6"/>
  <c r="BX162" i="6"/>
  <c r="BU162" i="6"/>
  <c r="AU162" i="6"/>
  <c r="AD162" i="6"/>
  <c r="CF161" i="6"/>
  <c r="CE161" i="6" s="1"/>
  <c r="CD161" i="6"/>
  <c r="CC161" i="6" s="1"/>
  <c r="CB161" i="6"/>
  <c r="BE161" i="6"/>
  <c r="BD161" i="6"/>
  <c r="AU161" i="6"/>
  <c r="AD161" i="6"/>
  <c r="CF160" i="6"/>
  <c r="CE160" i="6" s="1"/>
  <c r="CD160" i="6"/>
  <c r="CB160" i="6"/>
  <c r="BU160" i="6"/>
  <c r="AU160" i="6"/>
  <c r="AD160" i="6"/>
  <c r="CF159" i="6"/>
  <c r="CE159" i="6" s="1"/>
  <c r="CD159" i="6"/>
  <c r="CC159" i="6" s="1"/>
  <c r="CB159" i="6"/>
  <c r="BU159" i="6"/>
  <c r="AU159" i="6"/>
  <c r="AD159" i="6"/>
  <c r="CF158" i="6"/>
  <c r="CE158" i="6" s="1"/>
  <c r="CD158" i="6"/>
  <c r="CC158" i="6" s="1"/>
  <c r="CB158" i="6"/>
  <c r="BU158" i="6"/>
  <c r="AU158" i="6"/>
  <c r="AD158" i="6"/>
  <c r="CF157" i="6"/>
  <c r="CE157" i="6" s="1"/>
  <c r="CD157" i="6"/>
  <c r="CB157" i="6"/>
  <c r="BX157" i="6"/>
  <c r="BU157" i="6"/>
  <c r="AU157" i="6"/>
  <c r="AD157" i="6"/>
  <c r="CF156" i="6"/>
  <c r="CE156" i="6" s="1"/>
  <c r="CD156" i="6"/>
  <c r="CC156" i="6" s="1"/>
  <c r="CB156" i="6"/>
  <c r="BU156" i="6"/>
  <c r="AU156" i="6"/>
  <c r="AD156" i="6"/>
  <c r="CF155" i="6"/>
  <c r="CE155" i="6" s="1"/>
  <c r="CD155" i="6"/>
  <c r="CB155" i="6"/>
  <c r="AU155" i="6"/>
  <c r="AD155" i="6"/>
  <c r="CF154" i="6"/>
  <c r="CE154" i="6" s="1"/>
  <c r="CD154" i="6"/>
  <c r="CC154" i="6" s="1"/>
  <c r="CB154" i="6"/>
  <c r="BU154" i="6"/>
  <c r="AU154" i="6"/>
  <c r="AD154" i="6"/>
  <c r="CF153" i="6"/>
  <c r="CE153" i="6" s="1"/>
  <c r="CD153" i="6"/>
  <c r="CB153" i="6"/>
  <c r="AU153" i="6"/>
  <c r="AD153" i="6"/>
  <c r="CF152" i="6"/>
  <c r="CE152" i="6" s="1"/>
  <c r="CD152" i="6"/>
  <c r="CC152" i="6" s="1"/>
  <c r="CB152" i="6"/>
  <c r="BU152" i="6"/>
  <c r="AU152" i="6"/>
  <c r="AD152" i="6"/>
  <c r="CD151" i="6"/>
  <c r="CC151" i="6" s="1"/>
  <c r="BE151" i="6"/>
  <c r="BD151" i="6"/>
  <c r="BC151" i="6"/>
  <c r="BB151" i="6"/>
  <c r="BA151" i="6"/>
  <c r="AZ151" i="6"/>
  <c r="AY151" i="6"/>
  <c r="AX151" i="6"/>
  <c r="AW151" i="6"/>
  <c r="AU151" i="6" s="1"/>
  <c r="AT151" i="6"/>
  <c r="AS151" i="6"/>
  <c r="AR151" i="6"/>
  <c r="AP151" i="6"/>
  <c r="AD151" i="6"/>
  <c r="U151" i="6"/>
  <c r="M151" i="6"/>
  <c r="K151" i="6"/>
  <c r="CB151" i="6" s="1"/>
  <c r="J151" i="6"/>
  <c r="CD150" i="6"/>
  <c r="CA150" i="6"/>
  <c r="BT150" i="6"/>
  <c r="BF150" i="6"/>
  <c r="BE150" i="6"/>
  <c r="BD150" i="6"/>
  <c r="BC150" i="6"/>
  <c r="BB150" i="6"/>
  <c r="BA150" i="6"/>
  <c r="AZ150" i="6"/>
  <c r="AY150" i="6"/>
  <c r="AX150" i="6"/>
  <c r="AW150" i="6"/>
  <c r="AT150" i="6"/>
  <c r="AS150" i="6"/>
  <c r="AR150" i="6"/>
  <c r="AP150" i="6"/>
  <c r="AO150" i="6"/>
  <c r="AM150" i="6"/>
  <c r="AL150" i="6"/>
  <c r="AK150" i="6"/>
  <c r="AD150" i="6"/>
  <c r="T150" i="6"/>
  <c r="M150" i="6"/>
  <c r="K150" i="6"/>
  <c r="J150" i="6"/>
  <c r="CF187" i="6"/>
  <c r="CE187" i="6" s="1"/>
  <c r="CD187" i="6"/>
  <c r="CB187" i="6"/>
  <c r="BU187" i="6"/>
  <c r="AU187" i="6"/>
  <c r="AD187" i="6"/>
  <c r="CD186" i="6"/>
  <c r="BT186" i="6"/>
  <c r="BE186" i="6"/>
  <c r="BD186" i="6"/>
  <c r="BC186" i="6"/>
  <c r="BB186" i="6"/>
  <c r="BA186" i="6"/>
  <c r="AZ186" i="6"/>
  <c r="AY186" i="6"/>
  <c r="AX186" i="6"/>
  <c r="AW186" i="6"/>
  <c r="CF186" i="6" s="1"/>
  <c r="CE186" i="6" s="1"/>
  <c r="AT186" i="6"/>
  <c r="AS186" i="6"/>
  <c r="AR186" i="6"/>
  <c r="AP186" i="6"/>
  <c r="AD186" i="6"/>
  <c r="U186" i="6"/>
  <c r="M186" i="6"/>
  <c r="K186" i="6"/>
  <c r="CB186" i="6" s="1"/>
  <c r="J186" i="6"/>
  <c r="CF185" i="6"/>
  <c r="CE185" i="6" s="1"/>
  <c r="CD185" i="6"/>
  <c r="CB185" i="6"/>
  <c r="BU185" i="6"/>
  <c r="BE185" i="6"/>
  <c r="BD185" i="6"/>
  <c r="AU185" i="6"/>
  <c r="AD185" i="6"/>
  <c r="CD184" i="6"/>
  <c r="CC184" i="6" s="1"/>
  <c r="CA184" i="6"/>
  <c r="BW184" i="6"/>
  <c r="BT184" i="6"/>
  <c r="BF184" i="6"/>
  <c r="BE184" i="6"/>
  <c r="BD184" i="6"/>
  <c r="BC184" i="6"/>
  <c r="BB184" i="6"/>
  <c r="BA184" i="6"/>
  <c r="AZ184" i="6"/>
  <c r="AY184" i="6"/>
  <c r="AX184" i="6"/>
  <c r="AW184" i="6"/>
  <c r="CF184" i="6" s="1"/>
  <c r="CE184" i="6" s="1"/>
  <c r="AT184" i="6"/>
  <c r="AS184" i="6"/>
  <c r="AR184" i="6"/>
  <c r="AP184" i="6"/>
  <c r="AO184" i="6"/>
  <c r="AM184" i="6"/>
  <c r="AL184" i="6"/>
  <c r="AK184" i="6"/>
  <c r="AD184" i="6"/>
  <c r="U184" i="6"/>
  <c r="M184" i="6"/>
  <c r="K184" i="6"/>
  <c r="J184" i="6"/>
  <c r="CF149" i="6"/>
  <c r="CE149" i="6" s="1"/>
  <c r="CD149" i="6"/>
  <c r="CC149" i="6" s="1"/>
  <c r="CA149" i="6"/>
  <c r="BT149" i="6"/>
  <c r="BE149" i="6"/>
  <c r="BD149" i="6"/>
  <c r="BC149" i="6"/>
  <c r="BB149" i="6"/>
  <c r="BA149" i="6"/>
  <c r="BU149" i="6" s="1"/>
  <c r="AZ149" i="6"/>
  <c r="AY149" i="6"/>
  <c r="AX149" i="6"/>
  <c r="AU149" i="6"/>
  <c r="AT149" i="6"/>
  <c r="AS149" i="6"/>
  <c r="AR149" i="6"/>
  <c r="AP149" i="6"/>
  <c r="AO149" i="6"/>
  <c r="AM149" i="6"/>
  <c r="AL149" i="6"/>
  <c r="AK149" i="6"/>
  <c r="AD149" i="6"/>
  <c r="M149" i="6"/>
  <c r="K149" i="6"/>
  <c r="J149" i="6"/>
  <c r="CD148" i="6"/>
  <c r="CC148" i="6" s="1"/>
  <c r="CB148" i="6"/>
  <c r="BX148" i="6"/>
  <c r="BU148" i="6"/>
  <c r="BG148" i="6"/>
  <c r="BE148" i="6"/>
  <c r="BD148" i="6"/>
  <c r="AW148" i="6"/>
  <c r="AU148" i="6" s="1"/>
  <c r="AD148" i="6"/>
  <c r="CF147" i="6"/>
  <c r="CE147" i="6" s="1"/>
  <c r="CD147" i="6"/>
  <c r="CC147" i="6" s="1"/>
  <c r="CB147" i="6"/>
  <c r="BX147" i="6"/>
  <c r="BU147" i="6"/>
  <c r="AU147" i="6"/>
  <c r="AD147" i="6"/>
  <c r="CF138" i="6"/>
  <c r="CE138" i="6" s="1"/>
  <c r="CD138" i="6"/>
  <c r="CC138" i="6" s="1"/>
  <c r="CB138" i="6"/>
  <c r="BU138" i="6"/>
  <c r="AU138" i="6"/>
  <c r="AD138" i="6"/>
  <c r="CF146" i="6"/>
  <c r="CE146" i="6" s="1"/>
  <c r="CD146" i="6"/>
  <c r="CC146" i="6" s="1"/>
  <c r="CB146" i="6"/>
  <c r="AU146" i="6"/>
  <c r="AD146" i="6"/>
  <c r="CF145" i="6"/>
  <c r="CE145" i="6" s="1"/>
  <c r="BI145" i="6"/>
  <c r="BH145" i="6"/>
  <c r="BG145" i="6"/>
  <c r="BD145" i="6"/>
  <c r="BC145" i="6"/>
  <c r="BB145" i="6"/>
  <c r="BA145" i="6"/>
  <c r="AZ145" i="6"/>
  <c r="AY145" i="6"/>
  <c r="AX145" i="6"/>
  <c r="AV145" i="6"/>
  <c r="CD145" i="6" s="1"/>
  <c r="CC145" i="6" s="1"/>
  <c r="AT145" i="6"/>
  <c r="AS145" i="6"/>
  <c r="AR145" i="6"/>
  <c r="AP145" i="6"/>
  <c r="AO145" i="6"/>
  <c r="AM145" i="6"/>
  <c r="AL145" i="6"/>
  <c r="AK145" i="6"/>
  <c r="AD145" i="6"/>
  <c r="M145" i="6"/>
  <c r="K145" i="6"/>
  <c r="CB145" i="6" s="1"/>
  <c r="J145" i="6"/>
  <c r="CF144" i="6"/>
  <c r="CE144" i="6" s="1"/>
  <c r="CD144" i="6"/>
  <c r="CB144" i="6"/>
  <c r="BX144" i="6"/>
  <c r="BU144" i="6"/>
  <c r="AU144" i="6"/>
  <c r="AD144" i="6"/>
  <c r="CF143" i="6"/>
  <c r="CE143" i="6" s="1"/>
  <c r="BX143" i="6"/>
  <c r="BT143" i="6"/>
  <c r="BF143" i="6"/>
  <c r="BA143" i="6"/>
  <c r="AZ143" i="6"/>
  <c r="AY143" i="6"/>
  <c r="AV143" i="6"/>
  <c r="AT143" i="6"/>
  <c r="AS143" i="6"/>
  <c r="AR143" i="6"/>
  <c r="AO143" i="6"/>
  <c r="AM143" i="6"/>
  <c r="AL143" i="6"/>
  <c r="AK143" i="6"/>
  <c r="AD143" i="6"/>
  <c r="U143" i="6"/>
  <c r="K143" i="6"/>
  <c r="J143" i="6"/>
  <c r="CF142" i="6"/>
  <c r="CE142" i="6" s="1"/>
  <c r="CD142" i="6"/>
  <c r="CB142" i="6"/>
  <c r="AU142" i="6"/>
  <c r="AD142" i="6"/>
  <c r="CF141" i="6"/>
  <c r="CE141" i="6" s="1"/>
  <c r="CD141" i="6"/>
  <c r="CC141" i="6" s="1"/>
  <c r="CB141" i="6"/>
  <c r="AU141" i="6"/>
  <c r="AD141" i="6"/>
  <c r="CF140" i="6"/>
  <c r="CE140" i="6" s="1"/>
  <c r="CD140" i="6"/>
  <c r="CC140" i="6" s="1"/>
  <c r="CB140" i="6"/>
  <c r="AU140" i="6"/>
  <c r="AD140" i="6"/>
  <c r="CF139" i="6"/>
  <c r="CE139" i="6" s="1"/>
  <c r="CD139" i="6"/>
  <c r="CC139" i="6" s="1"/>
  <c r="CB139" i="6"/>
  <c r="BX139" i="6"/>
  <c r="BU139" i="6"/>
  <c r="AU139" i="6"/>
  <c r="AD139" i="6"/>
  <c r="U139" i="6"/>
  <c r="T139" i="6"/>
  <c r="T259" i="4" s="1"/>
  <c r="CF137" i="6"/>
  <c r="CE137" i="6" s="1"/>
  <c r="CD137" i="6"/>
  <c r="CC137" i="6" s="1"/>
  <c r="CB137" i="6"/>
  <c r="BX137" i="6"/>
  <c r="BU137" i="6"/>
  <c r="AU137" i="6"/>
  <c r="AD137" i="6"/>
  <c r="CF136" i="6"/>
  <c r="CE136" i="6" s="1"/>
  <c r="CD136" i="6"/>
  <c r="CB136" i="6"/>
  <c r="BX136" i="6"/>
  <c r="BU136" i="6"/>
  <c r="AU136" i="6"/>
  <c r="AD136" i="6"/>
  <c r="CF133" i="6"/>
  <c r="CE133" i="6" s="1"/>
  <c r="CD133" i="6"/>
  <c r="CB133" i="6"/>
  <c r="BU133" i="6"/>
  <c r="AU133" i="6"/>
  <c r="AD133" i="6"/>
  <c r="CF132" i="6"/>
  <c r="CE132" i="6" s="1"/>
  <c r="CD132" i="6"/>
  <c r="CB132" i="6"/>
  <c r="AU132" i="6"/>
  <c r="AD132" i="6"/>
  <c r="CF131" i="6"/>
  <c r="CE131" i="6" s="1"/>
  <c r="CD131" i="6"/>
  <c r="CC131" i="6" s="1"/>
  <c r="CB131" i="6"/>
  <c r="BU131" i="6"/>
  <c r="AU131" i="6"/>
  <c r="AD131" i="6"/>
  <c r="CF130" i="6"/>
  <c r="CE130" i="6" s="1"/>
  <c r="CD130" i="6"/>
  <c r="CB130" i="6"/>
  <c r="BX130" i="6"/>
  <c r="BU130" i="6"/>
  <c r="AU130" i="6"/>
  <c r="AD130" i="6"/>
  <c r="CF129" i="6"/>
  <c r="CE129" i="6" s="1"/>
  <c r="CD129" i="6"/>
  <c r="CC129" i="6" s="1"/>
  <c r="CB129" i="6"/>
  <c r="BX129" i="6"/>
  <c r="BU129" i="6"/>
  <c r="AU129" i="6"/>
  <c r="AD129" i="6"/>
  <c r="CF128" i="6"/>
  <c r="CE128" i="6" s="1"/>
  <c r="CD128" i="6"/>
  <c r="CC128" i="6" s="1"/>
  <c r="CB128" i="6"/>
  <c r="BU128" i="6"/>
  <c r="AU128" i="6"/>
  <c r="AD128" i="6"/>
  <c r="CF127" i="6"/>
  <c r="CE127" i="6" s="1"/>
  <c r="CD127" i="6"/>
  <c r="CB127" i="6"/>
  <c r="BU127" i="6"/>
  <c r="AU127" i="6"/>
  <c r="AD127" i="6"/>
  <c r="CF126" i="6"/>
  <c r="CE126" i="6" s="1"/>
  <c r="CD126" i="6"/>
  <c r="CB126" i="6"/>
  <c r="BX126" i="6"/>
  <c r="BU126" i="6"/>
  <c r="AU126" i="6"/>
  <c r="AD126" i="6"/>
  <c r="CF135" i="6"/>
  <c r="CE135" i="6" s="1"/>
  <c r="CD135" i="6"/>
  <c r="CC135" i="6" s="1"/>
  <c r="CB135" i="6"/>
  <c r="BU135" i="6"/>
  <c r="AU135" i="6"/>
  <c r="AD135" i="6"/>
  <c r="CF134" i="6"/>
  <c r="CE134" i="6" s="1"/>
  <c r="CD134" i="6"/>
  <c r="CC134" i="6" s="1"/>
  <c r="CB134" i="6"/>
  <c r="BX134" i="6"/>
  <c r="BU134" i="6"/>
  <c r="AU134" i="6"/>
  <c r="AD134" i="6"/>
  <c r="CF115" i="6"/>
  <c r="CE115" i="6" s="1"/>
  <c r="CD115" i="6"/>
  <c r="CC115" i="6" s="1"/>
  <c r="CB115" i="6"/>
  <c r="BX115" i="6"/>
  <c r="BU115" i="6"/>
  <c r="AU115" i="6"/>
  <c r="AD115" i="6"/>
  <c r="CF113" i="6"/>
  <c r="CE113" i="6" s="1"/>
  <c r="CD113" i="6"/>
  <c r="CB113" i="6"/>
  <c r="BU113" i="6"/>
  <c r="AU113" i="6"/>
  <c r="AD113" i="6"/>
  <c r="CF111" i="6"/>
  <c r="CE111" i="6" s="1"/>
  <c r="CD111" i="6"/>
  <c r="CB111" i="6"/>
  <c r="BX111" i="6"/>
  <c r="AU111" i="6"/>
  <c r="AD111" i="6"/>
  <c r="CF110" i="6"/>
  <c r="CE110" i="6" s="1"/>
  <c r="CD110" i="6"/>
  <c r="CC110" i="6" s="1"/>
  <c r="CB110" i="6"/>
  <c r="BX110" i="6"/>
  <c r="BU110" i="6"/>
  <c r="AU110" i="6"/>
  <c r="AD110" i="6"/>
  <c r="CF124" i="6"/>
  <c r="CE124" i="6" s="1"/>
  <c r="CD124" i="6"/>
  <c r="CC124" i="6" s="1"/>
  <c r="CB124" i="6"/>
  <c r="BX124" i="6"/>
  <c r="BU124" i="6"/>
  <c r="AU124" i="6"/>
  <c r="AD124" i="6"/>
  <c r="CF121" i="6"/>
  <c r="CE121" i="6" s="1"/>
  <c r="CD121" i="6"/>
  <c r="CC121" i="6" s="1"/>
  <c r="CB121" i="6"/>
  <c r="BX121" i="6"/>
  <c r="BU121" i="6"/>
  <c r="AU121" i="6"/>
  <c r="AD121" i="6"/>
  <c r="CF95" i="6"/>
  <c r="CE95" i="6" s="1"/>
  <c r="CD95" i="6"/>
  <c r="CC95" i="6" s="1"/>
  <c r="CB95" i="6"/>
  <c r="BX95" i="6"/>
  <c r="BU95" i="6"/>
  <c r="AU95" i="6"/>
  <c r="AD95" i="6"/>
  <c r="CF94" i="6"/>
  <c r="CE94" i="6" s="1"/>
  <c r="CD94" i="6"/>
  <c r="CC94" i="6" s="1"/>
  <c r="CB94" i="6"/>
  <c r="BX94" i="6"/>
  <c r="BU94" i="6"/>
  <c r="AU94" i="6"/>
  <c r="AD94" i="6"/>
  <c r="U94" i="6"/>
  <c r="T94" i="6"/>
  <c r="CF90" i="6"/>
  <c r="CE90" i="6" s="1"/>
  <c r="CD90" i="6"/>
  <c r="CC90" i="6" s="1"/>
  <c r="CB90" i="6"/>
  <c r="BX90" i="6"/>
  <c r="BU90" i="6"/>
  <c r="AU90" i="6"/>
  <c r="AD90" i="6"/>
  <c r="CF89" i="6"/>
  <c r="CE89" i="6" s="1"/>
  <c r="CD89" i="6"/>
  <c r="CC89" i="6" s="1"/>
  <c r="CB89" i="6"/>
  <c r="BX89" i="6"/>
  <c r="BU89" i="6"/>
  <c r="BE89" i="6"/>
  <c r="BD89" i="6"/>
  <c r="AU89" i="6"/>
  <c r="AD89" i="6"/>
  <c r="T89" i="6"/>
  <c r="CF88" i="6"/>
  <c r="CE88" i="6" s="1"/>
  <c r="CD88" i="6"/>
  <c r="CC88" i="6" s="1"/>
  <c r="CB88" i="6"/>
  <c r="BX88" i="6"/>
  <c r="BU88" i="6"/>
  <c r="AU88" i="6"/>
  <c r="AD88" i="6"/>
  <c r="CF87" i="6"/>
  <c r="CE87" i="6" s="1"/>
  <c r="CD87" i="6"/>
  <c r="CC87" i="6" s="1"/>
  <c r="CB87" i="6"/>
  <c r="BX87" i="6"/>
  <c r="BU87" i="6"/>
  <c r="AU87" i="6"/>
  <c r="AD87" i="6"/>
  <c r="CF86" i="6"/>
  <c r="CE86" i="6" s="1"/>
  <c r="CD86" i="6"/>
  <c r="CB86" i="6"/>
  <c r="BX86" i="6"/>
  <c r="BU86" i="6"/>
  <c r="AU86" i="6"/>
  <c r="AD86" i="6"/>
  <c r="CD85" i="6"/>
  <c r="CC85" i="6" s="1"/>
  <c r="CB85" i="6"/>
  <c r="BX85" i="6"/>
  <c r="BU85" i="6"/>
  <c r="BG85" i="6"/>
  <c r="BE85" i="6"/>
  <c r="BD85" i="6"/>
  <c r="AW85" i="6"/>
  <c r="AD85" i="6"/>
  <c r="CF84" i="6"/>
  <c r="CE84" i="6" s="1"/>
  <c r="CD84" i="6"/>
  <c r="CB84" i="6"/>
  <c r="BX84" i="6"/>
  <c r="BU84" i="6"/>
  <c r="AU84" i="6"/>
  <c r="AD84" i="6"/>
  <c r="CF83" i="6"/>
  <c r="CE83" i="6" s="1"/>
  <c r="CD83" i="6"/>
  <c r="CB83" i="6"/>
  <c r="BX83" i="6"/>
  <c r="BU83" i="6"/>
  <c r="BH83" i="6"/>
  <c r="BG83" i="6"/>
  <c r="AU83" i="6"/>
  <c r="AD83" i="6"/>
  <c r="T83" i="6"/>
  <c r="T256" i="6" s="1"/>
  <c r="CF59" i="6"/>
  <c r="CE59" i="6" s="1"/>
  <c r="CD59" i="6"/>
  <c r="CC59" i="6" s="1"/>
  <c r="CB59" i="6"/>
  <c r="BU59" i="6"/>
  <c r="AU59" i="6"/>
  <c r="AD59" i="6"/>
  <c r="CF58" i="6"/>
  <c r="CE58" i="6" s="1"/>
  <c r="CD58" i="6"/>
  <c r="CC58" i="6" s="1"/>
  <c r="CB58" i="6"/>
  <c r="BX58" i="6"/>
  <c r="BU58" i="6"/>
  <c r="AU58" i="6"/>
  <c r="AD58" i="6"/>
  <c r="CF57" i="6"/>
  <c r="CE57" i="6" s="1"/>
  <c r="CD57" i="6"/>
  <c r="CC57" i="6" s="1"/>
  <c r="CB57" i="6"/>
  <c r="BU57" i="6"/>
  <c r="AU57" i="6"/>
  <c r="AD57" i="6"/>
  <c r="CF56" i="6"/>
  <c r="CE56" i="6" s="1"/>
  <c r="CD56" i="6"/>
  <c r="CC56" i="6" s="1"/>
  <c r="CB56" i="6"/>
  <c r="BX56" i="6"/>
  <c r="BU56" i="6"/>
  <c r="AU56" i="6"/>
  <c r="AD56" i="6"/>
  <c r="CF55" i="6"/>
  <c r="CE55" i="6" s="1"/>
  <c r="CD55" i="6"/>
  <c r="CB55" i="6"/>
  <c r="BX55" i="6"/>
  <c r="BU55" i="6"/>
  <c r="AU55" i="6"/>
  <c r="AD55" i="6"/>
  <c r="CF54" i="6"/>
  <c r="CD54" i="6"/>
  <c r="CB54" i="6"/>
  <c r="BU54" i="6"/>
  <c r="AU54" i="6"/>
  <c r="AD54" i="6"/>
  <c r="CF53" i="6"/>
  <c r="CE53" i="6" s="1"/>
  <c r="CD53" i="6"/>
  <c r="CC53" i="6" s="1"/>
  <c r="CB53" i="6"/>
  <c r="BU53" i="6"/>
  <c r="AU53" i="6"/>
  <c r="AD53" i="6"/>
  <c r="CF49" i="6"/>
  <c r="CD49" i="6"/>
  <c r="CB49" i="6"/>
  <c r="BU49" i="6"/>
  <c r="AU49" i="6"/>
  <c r="AD49" i="6"/>
  <c r="CF48" i="6"/>
  <c r="CE48" i="6" s="1"/>
  <c r="CD48" i="6"/>
  <c r="CC48" i="6" s="1"/>
  <c r="CB48" i="6"/>
  <c r="BU48" i="6"/>
  <c r="AU48" i="6"/>
  <c r="AD48" i="6"/>
  <c r="CF47" i="6"/>
  <c r="CE47" i="6" s="1"/>
  <c r="CD47" i="6"/>
  <c r="CB47" i="6"/>
  <c r="BX47" i="6"/>
  <c r="BU47" i="6"/>
  <c r="AU47" i="6"/>
  <c r="AD47" i="6"/>
  <c r="CF46" i="6"/>
  <c r="CE46" i="6" s="1"/>
  <c r="CD46" i="6"/>
  <c r="CB46" i="6"/>
  <c r="BU46" i="6"/>
  <c r="AU46" i="6"/>
  <c r="AD46" i="6"/>
  <c r="CF45" i="6"/>
  <c r="CE45" i="6" s="1"/>
  <c r="CD45" i="6"/>
  <c r="CC45" i="6" s="1"/>
  <c r="CB45" i="6"/>
  <c r="AU45" i="6"/>
  <c r="AD45" i="6"/>
  <c r="CF44" i="6"/>
  <c r="CE44" i="6" s="1"/>
  <c r="CD44" i="6"/>
  <c r="CB44" i="6"/>
  <c r="BX44" i="6"/>
  <c r="BU44" i="6"/>
  <c r="AU44" i="6"/>
  <c r="AD44" i="6"/>
  <c r="CF43" i="6"/>
  <c r="CE43" i="6" s="1"/>
  <c r="CD43" i="6"/>
  <c r="CC43" i="6" s="1"/>
  <c r="CB43" i="6"/>
  <c r="BX43" i="6"/>
  <c r="BU43" i="6"/>
  <c r="AU43" i="6"/>
  <c r="AD43" i="6"/>
  <c r="CF42" i="6"/>
  <c r="CE42" i="6" s="1"/>
  <c r="CD42" i="6"/>
  <c r="CC42" i="6" s="1"/>
  <c r="CB42" i="6"/>
  <c r="BU42" i="6"/>
  <c r="AU42" i="6"/>
  <c r="AD42" i="6"/>
  <c r="CF41" i="6"/>
  <c r="CE41" i="6" s="1"/>
  <c r="CD41" i="6"/>
  <c r="CC41" i="6" s="1"/>
  <c r="CB41" i="6"/>
  <c r="BX41" i="6"/>
  <c r="BU41" i="6"/>
  <c r="AU41" i="6"/>
  <c r="AD41" i="6"/>
  <c r="CF40" i="6"/>
  <c r="CE40" i="6" s="1"/>
  <c r="CG40" i="6" s="1"/>
  <c r="CD40" i="6"/>
  <c r="CB40" i="6"/>
  <c r="AU40" i="6"/>
  <c r="AD40" i="6"/>
  <c r="CF38" i="6"/>
  <c r="CE38" i="6" s="1"/>
  <c r="CD38" i="6"/>
  <c r="CC38" i="6" s="1"/>
  <c r="CB38" i="6"/>
  <c r="BU38" i="6"/>
  <c r="AU38" i="6"/>
  <c r="AD38" i="6"/>
  <c r="CF37" i="6"/>
  <c r="CE37" i="6" s="1"/>
  <c r="CD37" i="6"/>
  <c r="CA37" i="6"/>
  <c r="BX37" i="6"/>
  <c r="BU37" i="6"/>
  <c r="AU37" i="6"/>
  <c r="AD37" i="6"/>
  <c r="CF36" i="6"/>
  <c r="CE36" i="6" s="1"/>
  <c r="CD36" i="6"/>
  <c r="CC36" i="6" s="1"/>
  <c r="CB36" i="6"/>
  <c r="AU36" i="6"/>
  <c r="AD36" i="6"/>
  <c r="T36" i="6"/>
  <c r="T254" i="6" s="1"/>
  <c r="CF35" i="6"/>
  <c r="CD35" i="6"/>
  <c r="CB35" i="6"/>
  <c r="BX35" i="6"/>
  <c r="BU35" i="6"/>
  <c r="AU35" i="6"/>
  <c r="AD35" i="6"/>
  <c r="CF34" i="6"/>
  <c r="CE34" i="6" s="1"/>
  <c r="CD34" i="6"/>
  <c r="CC34" i="6" s="1"/>
  <c r="CB34" i="6"/>
  <c r="BX34" i="6"/>
  <c r="AU34" i="6"/>
  <c r="AD34" i="6"/>
  <c r="CF33" i="6"/>
  <c r="CE33" i="6" s="1"/>
  <c r="CD33" i="6"/>
  <c r="CA33" i="6"/>
  <c r="BX33" i="6"/>
  <c r="BU33" i="6"/>
  <c r="AU33" i="6"/>
  <c r="AD33" i="6"/>
  <c r="CF51" i="6"/>
  <c r="CE51" i="6" s="1"/>
  <c r="CD51" i="6"/>
  <c r="CC51" i="6" s="1"/>
  <c r="CB51" i="6"/>
  <c r="BX51" i="6"/>
  <c r="BU51" i="6"/>
  <c r="AU51" i="6"/>
  <c r="AD51" i="6"/>
  <c r="CF39" i="6"/>
  <c r="CE39" i="6" s="1"/>
  <c r="CD39" i="6"/>
  <c r="CC39" i="6" s="1"/>
  <c r="CB39" i="6"/>
  <c r="BX39" i="6"/>
  <c r="BU39" i="6"/>
  <c r="AU39" i="6"/>
  <c r="AD39" i="6"/>
  <c r="CF32" i="6"/>
  <c r="CE32" i="6" s="1"/>
  <c r="CD32" i="6"/>
  <c r="CB32" i="6"/>
  <c r="BX32" i="6"/>
  <c r="BU32" i="6"/>
  <c r="AU32" i="6"/>
  <c r="AD32" i="6"/>
  <c r="CF31" i="6"/>
  <c r="CE31" i="6" s="1"/>
  <c r="CD31" i="6"/>
  <c r="CC31" i="6" s="1"/>
  <c r="CB31" i="6"/>
  <c r="AU31" i="6"/>
  <c r="AD31" i="6"/>
  <c r="CF30" i="6"/>
  <c r="CE30" i="6" s="1"/>
  <c r="CD30" i="6"/>
  <c r="CC30" i="6" s="1"/>
  <c r="CB30" i="6"/>
  <c r="AU30" i="6"/>
  <c r="AD30" i="6"/>
  <c r="CF29" i="6"/>
  <c r="CE29" i="6" s="1"/>
  <c r="CD29" i="6"/>
  <c r="CB29" i="6"/>
  <c r="AU29" i="6"/>
  <c r="AD29" i="6"/>
  <c r="CF28" i="6"/>
  <c r="CE28" i="6" s="1"/>
  <c r="CD28" i="6"/>
  <c r="CC28" i="6" s="1"/>
  <c r="CB28" i="6"/>
  <c r="AU28" i="6"/>
  <c r="AD28" i="6"/>
  <c r="CF27" i="6"/>
  <c r="CE27" i="6" s="1"/>
  <c r="CD27" i="6"/>
  <c r="CB27" i="6"/>
  <c r="AU27" i="6"/>
  <c r="AD27" i="6"/>
  <c r="CF24" i="6"/>
  <c r="CE24" i="6" s="1"/>
  <c r="CD24" i="6"/>
  <c r="CC24" i="6" s="1"/>
  <c r="CB24" i="6"/>
  <c r="BX24" i="6"/>
  <c r="BU24" i="6"/>
  <c r="AU24" i="6"/>
  <c r="AD24" i="6"/>
  <c r="CF23" i="6"/>
  <c r="CE23" i="6" s="1"/>
  <c r="CD23" i="6"/>
  <c r="CC23" i="6" s="1"/>
  <c r="CB23" i="6"/>
  <c r="BU23" i="6"/>
  <c r="AU23" i="6"/>
  <c r="AD23" i="6"/>
  <c r="CF22" i="6"/>
  <c r="CE22" i="6" s="1"/>
  <c r="CD22" i="6"/>
  <c r="CC22" i="6" s="1"/>
  <c r="CB22" i="6"/>
  <c r="BX22" i="6"/>
  <c r="BU22" i="6"/>
  <c r="AU22" i="6"/>
  <c r="AD22" i="6"/>
  <c r="U22" i="6"/>
  <c r="T22" i="6"/>
  <c r="CF21" i="6"/>
  <c r="CE21" i="6" s="1"/>
  <c r="CD21" i="6"/>
  <c r="CC21" i="6" s="1"/>
  <c r="CB21" i="6"/>
  <c r="BU21" i="6"/>
  <c r="AU21" i="6"/>
  <c r="AD21" i="6"/>
  <c r="CF20" i="6"/>
  <c r="CE20" i="6" s="1"/>
  <c r="CD20" i="6"/>
  <c r="CC20" i="6" s="1"/>
  <c r="CB20" i="6"/>
  <c r="BX20" i="6"/>
  <c r="BU20" i="6"/>
  <c r="AU20" i="6"/>
  <c r="AD20" i="6"/>
  <c r="CF18" i="6"/>
  <c r="CE18" i="6" s="1"/>
  <c r="CD18" i="6"/>
  <c r="CC18" i="6" s="1"/>
  <c r="CB18" i="6"/>
  <c r="BX18" i="6"/>
  <c r="BU18" i="6"/>
  <c r="AU18" i="6"/>
  <c r="AD18" i="6"/>
  <c r="CF17" i="6"/>
  <c r="CE17" i="6" s="1"/>
  <c r="CD17" i="6"/>
  <c r="CC17" i="6" s="1"/>
  <c r="CB17" i="6"/>
  <c r="BX17" i="6"/>
  <c r="BU17" i="6"/>
  <c r="AU17" i="6"/>
  <c r="AD17" i="6"/>
  <c r="CF16" i="6"/>
  <c r="CE16" i="6" s="1"/>
  <c r="CD16" i="6"/>
  <c r="CC16" i="6" s="1"/>
  <c r="CB16" i="6"/>
  <c r="BX16" i="6"/>
  <c r="BU16" i="6"/>
  <c r="AU16" i="6"/>
  <c r="AD16" i="6"/>
  <c r="CF15" i="6"/>
  <c r="CE15" i="6" s="1"/>
  <c r="CD15" i="6"/>
  <c r="CC15" i="6" s="1"/>
  <c r="CB15" i="6"/>
  <c r="BX15" i="6"/>
  <c r="BU15" i="6"/>
  <c r="AU15" i="6"/>
  <c r="AD15" i="6"/>
  <c r="CF14" i="6"/>
  <c r="CE14" i="6" s="1"/>
  <c r="CD14" i="6"/>
  <c r="CC14" i="6" s="1"/>
  <c r="CB14" i="6"/>
  <c r="BX14" i="6"/>
  <c r="BU14" i="6"/>
  <c r="AU14" i="6"/>
  <c r="AD14" i="6"/>
  <c r="CF26" i="6"/>
  <c r="CE26" i="6" s="1"/>
  <c r="CD26" i="6"/>
  <c r="CC26" i="6" s="1"/>
  <c r="CB26" i="6"/>
  <c r="AU26" i="6"/>
  <c r="AD26" i="6"/>
  <c r="CF25" i="6"/>
  <c r="CE25" i="6" s="1"/>
  <c r="CD25" i="6"/>
  <c r="CC25" i="6" s="1"/>
  <c r="CB25" i="6"/>
  <c r="AU25" i="6"/>
  <c r="AD25" i="6"/>
  <c r="CF19" i="6"/>
  <c r="CD19" i="6"/>
  <c r="CB19" i="6"/>
  <c r="BX19" i="6"/>
  <c r="BU19" i="6"/>
  <c r="AU19" i="6"/>
  <c r="T19" i="6"/>
  <c r="CF13" i="6"/>
  <c r="CD13" i="6"/>
  <c r="CB13" i="6"/>
  <c r="BX13" i="6"/>
  <c r="BU13" i="6"/>
  <c r="BT13" i="6"/>
  <c r="BH13" i="6"/>
  <c r="BG13" i="6"/>
  <c r="BD13" i="6"/>
  <c r="AY13" i="6"/>
  <c r="AU13" i="6"/>
  <c r="AS13" i="6"/>
  <c r="L13" i="6"/>
  <c r="CF12" i="6"/>
  <c r="CE12" i="6" s="1"/>
  <c r="CD12" i="6"/>
  <c r="CC12" i="6" s="1"/>
  <c r="CB12" i="6"/>
  <c r="BU12" i="6"/>
  <c r="AU12" i="6"/>
  <c r="AD12" i="6"/>
  <c r="CF11" i="6"/>
  <c r="CE11" i="6" s="1"/>
  <c r="CD11" i="6"/>
  <c r="CB11" i="6"/>
  <c r="BU11" i="6"/>
  <c r="AU11" i="6"/>
  <c r="AD11" i="6"/>
  <c r="CF10" i="6"/>
  <c r="CD10" i="6"/>
  <c r="CB10" i="6"/>
  <c r="BU10" i="6"/>
  <c r="AU10" i="6"/>
  <c r="AD10" i="6"/>
  <c r="CF9" i="6"/>
  <c r="CE9" i="6" s="1"/>
  <c r="CD9" i="6"/>
  <c r="CC9" i="6" s="1"/>
  <c r="CB9" i="6"/>
  <c r="AU9" i="6"/>
  <c r="AD9" i="6"/>
  <c r="CF8" i="6"/>
  <c r="CD8" i="6"/>
  <c r="CB8" i="6"/>
  <c r="AU8" i="6"/>
  <c r="AD8" i="6"/>
  <c r="AD254" i="6" s="1"/>
  <c r="CF7" i="6"/>
  <c r="CD7" i="6"/>
  <c r="CB7" i="6"/>
  <c r="BU7" i="6"/>
  <c r="AU7" i="6"/>
  <c r="AD7" i="6"/>
  <c r="AD256" i="6" l="1"/>
  <c r="CE7" i="6"/>
  <c r="CC8" i="6"/>
  <c r="CE10" i="6"/>
  <c r="CC54" i="6"/>
  <c r="CE19" i="6"/>
  <c r="CG19" i="6" s="1"/>
  <c r="CE8" i="6"/>
  <c r="CC10" i="6"/>
  <c r="CG10" i="6" s="1"/>
  <c r="CC19" i="6"/>
  <c r="CE54" i="6"/>
  <c r="AC9" i="6"/>
  <c r="AI9" i="6" s="1"/>
  <c r="CN9" i="6" s="1"/>
  <c r="AC12" i="6"/>
  <c r="AI12" i="6" s="1"/>
  <c r="CM12" i="6" s="1"/>
  <c r="AC10" i="6"/>
  <c r="AI10" i="6" s="1"/>
  <c r="AC22" i="6"/>
  <c r="AI22" i="6" s="1"/>
  <c r="CM22" i="6" s="1"/>
  <c r="AC23" i="6"/>
  <c r="AI23" i="6" s="1"/>
  <c r="CO23" i="6" s="1"/>
  <c r="AC40" i="6"/>
  <c r="AI40" i="6" s="1"/>
  <c r="CN40" i="6" s="1"/>
  <c r="AC41" i="6"/>
  <c r="AC47" i="6"/>
  <c r="AI47" i="6" s="1"/>
  <c r="CM47" i="6" s="1"/>
  <c r="AC53" i="6"/>
  <c r="AI53" i="6" s="1"/>
  <c r="CN53" i="6" s="1"/>
  <c r="AC56" i="6"/>
  <c r="AI56" i="6" s="1"/>
  <c r="CM56" i="6" s="1"/>
  <c r="AC90" i="6"/>
  <c r="AI90" i="6" s="1"/>
  <c r="CN90" i="6" s="1"/>
  <c r="AI95" i="6"/>
  <c r="CO95" i="6" s="1"/>
  <c r="AC110" i="6"/>
  <c r="AI110" i="6" s="1"/>
  <c r="CO110" i="6" s="1"/>
  <c r="AC115" i="6"/>
  <c r="AI115" i="6" s="1"/>
  <c r="CO115" i="6" s="1"/>
  <c r="AC135" i="6"/>
  <c r="AI135" i="6" s="1"/>
  <c r="CM135" i="6" s="1"/>
  <c r="AC128" i="6"/>
  <c r="AI128" i="6" s="1"/>
  <c r="CM128" i="6" s="1"/>
  <c r="AC142" i="6"/>
  <c r="AI142" i="6" s="1"/>
  <c r="AC144" i="6"/>
  <c r="AC147" i="6"/>
  <c r="AI147" i="6" s="1"/>
  <c r="CN147" i="6" s="1"/>
  <c r="AC187" i="6"/>
  <c r="AI187" i="6" s="1"/>
  <c r="CN187" i="6" s="1"/>
  <c r="AC151" i="6"/>
  <c r="AI151" i="6" s="1"/>
  <c r="CM151" i="6" s="1"/>
  <c r="AC152" i="6"/>
  <c r="AI152" i="6" s="1"/>
  <c r="CO152" i="6" s="1"/>
  <c r="AC161" i="6"/>
  <c r="AI161" i="6" s="1"/>
  <c r="CM161" i="6" s="1"/>
  <c r="AC163" i="6"/>
  <c r="AI163" i="6" s="1"/>
  <c r="CM163" i="6" s="1"/>
  <c r="AC7" i="6"/>
  <c r="AI7" i="6" s="1"/>
  <c r="CN7" i="6" s="1"/>
  <c r="AC11" i="6"/>
  <c r="AI11" i="6" s="1"/>
  <c r="CM11" i="6" s="1"/>
  <c r="AC25" i="6"/>
  <c r="AI25" i="6" s="1"/>
  <c r="CM25" i="6" s="1"/>
  <c r="AC26" i="6"/>
  <c r="AI26" i="6" s="1"/>
  <c r="CN26" i="6" s="1"/>
  <c r="AC14" i="6"/>
  <c r="AI14" i="6" s="1"/>
  <c r="CO14" i="6" s="1"/>
  <c r="AC16" i="6"/>
  <c r="AI16" i="6" s="1"/>
  <c r="CM16" i="6" s="1"/>
  <c r="AC18" i="6"/>
  <c r="AC20" i="6"/>
  <c r="AI20" i="6" s="1"/>
  <c r="CN20" i="6" s="1"/>
  <c r="AC21" i="6"/>
  <c r="AI21" i="6" s="1"/>
  <c r="CN21" i="6" s="1"/>
  <c r="AC24" i="6"/>
  <c r="AC39" i="6"/>
  <c r="AI39" i="6" s="1"/>
  <c r="CM39" i="6" s="1"/>
  <c r="AC37" i="6"/>
  <c r="AI37" i="6" s="1"/>
  <c r="CM37" i="6" s="1"/>
  <c r="AC44" i="6"/>
  <c r="AI44" i="6" s="1"/>
  <c r="CN44" i="6" s="1"/>
  <c r="AC54" i="6"/>
  <c r="AC59" i="6"/>
  <c r="AI59" i="6" s="1"/>
  <c r="CN59" i="6" s="1"/>
  <c r="AC87" i="6"/>
  <c r="AI87" i="6" s="1"/>
  <c r="CO87" i="6" s="1"/>
  <c r="AC129" i="6"/>
  <c r="AC131" i="6"/>
  <c r="AI131" i="6" s="1"/>
  <c r="CM131" i="6" s="1"/>
  <c r="AC137" i="6"/>
  <c r="AC139" i="6"/>
  <c r="AI139" i="6" s="1"/>
  <c r="CO139" i="6" s="1"/>
  <c r="AC145" i="6"/>
  <c r="AC149" i="6"/>
  <c r="AI149" i="6" s="1"/>
  <c r="CM149" i="6" s="1"/>
  <c r="AC184" i="6"/>
  <c r="AI184" i="6" s="1"/>
  <c r="CN184" i="6" s="1"/>
  <c r="AC150" i="6"/>
  <c r="AI150" i="6" s="1"/>
  <c r="CN150" i="6" s="1"/>
  <c r="AC153" i="6"/>
  <c r="AI153" i="6" s="1"/>
  <c r="CN153" i="6" s="1"/>
  <c r="AC154" i="6"/>
  <c r="AI154" i="6" s="1"/>
  <c r="CO154" i="6" s="1"/>
  <c r="AC158" i="6"/>
  <c r="AI158" i="6" s="1"/>
  <c r="CO158" i="6" s="1"/>
  <c r="AC165" i="6"/>
  <c r="AI165" i="6" s="1"/>
  <c r="CN165" i="6" s="1"/>
  <c r="AC167" i="6"/>
  <c r="AI167" i="6" s="1"/>
  <c r="CN167" i="6" s="1"/>
  <c r="AC42" i="6"/>
  <c r="AI42" i="6" s="1"/>
  <c r="CO42" i="6" s="1"/>
  <c r="AC48" i="6"/>
  <c r="AI48" i="6" s="1"/>
  <c r="CN48" i="6" s="1"/>
  <c r="AC55" i="6"/>
  <c r="AI55" i="6" s="1"/>
  <c r="CN55" i="6" s="1"/>
  <c r="AC57" i="6"/>
  <c r="AI57" i="6" s="1"/>
  <c r="CM57" i="6" s="1"/>
  <c r="AC89" i="6"/>
  <c r="AI89" i="6" s="1"/>
  <c r="AC121" i="6"/>
  <c r="AI121" i="6" s="1"/>
  <c r="CM121" i="6" s="1"/>
  <c r="AC124" i="6"/>
  <c r="AI124" i="6" s="1"/>
  <c r="CN124" i="6" s="1"/>
  <c r="AC111" i="6"/>
  <c r="CO111" i="6" s="1"/>
  <c r="AC134" i="6"/>
  <c r="AI134" i="6" s="1"/>
  <c r="CN134" i="6" s="1"/>
  <c r="AC132" i="6"/>
  <c r="AI132" i="6" s="1"/>
  <c r="CO132" i="6" s="1"/>
  <c r="AC133" i="6"/>
  <c r="AI133" i="6" s="1"/>
  <c r="CN133" i="6" s="1"/>
  <c r="AC140" i="6"/>
  <c r="AI140" i="6" s="1"/>
  <c r="CO140" i="6" s="1"/>
  <c r="AC148" i="6"/>
  <c r="AI148" i="6" s="1"/>
  <c r="CM148" i="6" s="1"/>
  <c r="AC185" i="6"/>
  <c r="AI185" i="6" s="1"/>
  <c r="CN185" i="6" s="1"/>
  <c r="AC155" i="6"/>
  <c r="AI155" i="6" s="1"/>
  <c r="CN155" i="6" s="1"/>
  <c r="AC156" i="6"/>
  <c r="AI156" i="6" s="1"/>
  <c r="CO156" i="6" s="1"/>
  <c r="AC159" i="6"/>
  <c r="AI159" i="6" s="1"/>
  <c r="CO159" i="6" s="1"/>
  <c r="AC162" i="6"/>
  <c r="AI162" i="6" s="1"/>
  <c r="CO162" i="6" s="1"/>
  <c r="AC15" i="6"/>
  <c r="AI15" i="6" s="1"/>
  <c r="CN15" i="6" s="1"/>
  <c r="AC17" i="6"/>
  <c r="AI17" i="6" s="1"/>
  <c r="CN17" i="6" s="1"/>
  <c r="AC27" i="6"/>
  <c r="AI27" i="6" s="1"/>
  <c r="CM27" i="6" s="1"/>
  <c r="AC28" i="6"/>
  <c r="AI28" i="6" s="1"/>
  <c r="CO28" i="6" s="1"/>
  <c r="AC29" i="6"/>
  <c r="AI29" i="6" s="1"/>
  <c r="CO29" i="6" s="1"/>
  <c r="AC30" i="6"/>
  <c r="AI30" i="6" s="1"/>
  <c r="CN30" i="6" s="1"/>
  <c r="AC31" i="6"/>
  <c r="AI31" i="6" s="1"/>
  <c r="CO31" i="6" s="1"/>
  <c r="AC32" i="6"/>
  <c r="AI32" i="6" s="1"/>
  <c r="CO32" i="6" s="1"/>
  <c r="AC51" i="6"/>
  <c r="AI51" i="6" s="1"/>
  <c r="CO51" i="6" s="1"/>
  <c r="AC34" i="6"/>
  <c r="AI34" i="6" s="1"/>
  <c r="CM34" i="6" s="1"/>
  <c r="AC36" i="6"/>
  <c r="AI36" i="6" s="1"/>
  <c r="CN36" i="6" s="1"/>
  <c r="AC38" i="6"/>
  <c r="AI38" i="6" s="1"/>
  <c r="CO38" i="6" s="1"/>
  <c r="AC43" i="6"/>
  <c r="AI43" i="6" s="1"/>
  <c r="CN43" i="6" s="1"/>
  <c r="AC45" i="6"/>
  <c r="AI45" i="6" s="1"/>
  <c r="CM45" i="6" s="1"/>
  <c r="AC46" i="6"/>
  <c r="AI46" i="6" s="1"/>
  <c r="CO46" i="6" s="1"/>
  <c r="AC58" i="6"/>
  <c r="AI58" i="6" s="1"/>
  <c r="CO58" i="6" s="1"/>
  <c r="AC83" i="6"/>
  <c r="AI83" i="6" s="1"/>
  <c r="AC86" i="6"/>
  <c r="AI86" i="6" s="1"/>
  <c r="CM86" i="6" s="1"/>
  <c r="AC88" i="6"/>
  <c r="AI88" i="6" s="1"/>
  <c r="CN88" i="6" s="1"/>
  <c r="AC113" i="6"/>
  <c r="AI113" i="6" s="1"/>
  <c r="CN113" i="6" s="1"/>
  <c r="AC127" i="6"/>
  <c r="AI127" i="6" s="1"/>
  <c r="CO127" i="6" s="1"/>
  <c r="AC130" i="6"/>
  <c r="AI130" i="6" s="1"/>
  <c r="CO130" i="6" s="1"/>
  <c r="AC136" i="6"/>
  <c r="AI136" i="6" s="1"/>
  <c r="CM136" i="6" s="1"/>
  <c r="AC143" i="6"/>
  <c r="AI143" i="6" s="1"/>
  <c r="CO143" i="6" s="1"/>
  <c r="AC146" i="6"/>
  <c r="AI146" i="6" s="1"/>
  <c r="CO146" i="6" s="1"/>
  <c r="AC138" i="6"/>
  <c r="AI138" i="6" s="1"/>
  <c r="CO138" i="6" s="1"/>
  <c r="AC186" i="6"/>
  <c r="AI186" i="6" s="1"/>
  <c r="CO186" i="6" s="1"/>
  <c r="AC157" i="6"/>
  <c r="AI157" i="6" s="1"/>
  <c r="CN157" i="6" s="1"/>
  <c r="AC160" i="6"/>
  <c r="AI160" i="6" s="1"/>
  <c r="CM160" i="6" s="1"/>
  <c r="AC164" i="6"/>
  <c r="AI164" i="6" s="1"/>
  <c r="CN164" i="6" s="1"/>
  <c r="AC168" i="6"/>
  <c r="AI168" i="6" s="1"/>
  <c r="CO168" i="6" s="1"/>
  <c r="BU259" i="4"/>
  <c r="CC49" i="6"/>
  <c r="AC49" i="6"/>
  <c r="AI49" i="6" s="1"/>
  <c r="CN49" i="6" s="1"/>
  <c r="CE49" i="6"/>
  <c r="U83" i="6"/>
  <c r="U89" i="6"/>
  <c r="AU143" i="6"/>
  <c r="U185" i="6"/>
  <c r="U150" i="6"/>
  <c r="U163" i="6"/>
  <c r="T9" i="6"/>
  <c r="U13" i="6"/>
  <c r="U20" i="6"/>
  <c r="U36" i="6"/>
  <c r="U18" i="6"/>
  <c r="U149" i="6"/>
  <c r="U9" i="6"/>
  <c r="T13" i="6"/>
  <c r="U19" i="6"/>
  <c r="U121" i="6"/>
  <c r="U145" i="6"/>
  <c r="CE35" i="6"/>
  <c r="AC35" i="6"/>
  <c r="CC35" i="6"/>
  <c r="AC85" i="6"/>
  <c r="AI85" i="6" s="1"/>
  <c r="CO85" i="6" s="1"/>
  <c r="AC84" i="6"/>
  <c r="AI84" i="6" s="1"/>
  <c r="CN84" i="6" s="1"/>
  <c r="AU145" i="6"/>
  <c r="AU186" i="6"/>
  <c r="AC141" i="6"/>
  <c r="AI141" i="6" s="1"/>
  <c r="CN141" i="6" s="1"/>
  <c r="AU184" i="6"/>
  <c r="AK248" i="6"/>
  <c r="AU85" i="6"/>
  <c r="BU143" i="6"/>
  <c r="AM248" i="6"/>
  <c r="CB33" i="6"/>
  <c r="CB37" i="6"/>
  <c r="CB143" i="6"/>
  <c r="CD143" i="6"/>
  <c r="CC143" i="6" s="1"/>
  <c r="CG143" i="6" s="1"/>
  <c r="CB149" i="6"/>
  <c r="AD13" i="6"/>
  <c r="AE248" i="6"/>
  <c r="AD19" i="6"/>
  <c r="CI248" i="6"/>
  <c r="CF85" i="6"/>
  <c r="CE85" i="6" s="1"/>
  <c r="CG85" i="6" s="1"/>
  <c r="AC126" i="6"/>
  <c r="AI126" i="6" s="1"/>
  <c r="CO126" i="6" s="1"/>
  <c r="CG87" i="6"/>
  <c r="CG14" i="6"/>
  <c r="CH127" i="6"/>
  <c r="CH86" i="6"/>
  <c r="CG154" i="6"/>
  <c r="CE13" i="6"/>
  <c r="CG21" i="6"/>
  <c r="CH37" i="6"/>
  <c r="CG115" i="6"/>
  <c r="CH27" i="6"/>
  <c r="CH38" i="6"/>
  <c r="CH44" i="6"/>
  <c r="CH160" i="6"/>
  <c r="CH168" i="6"/>
  <c r="CG30" i="6"/>
  <c r="CG161" i="6"/>
  <c r="CG26" i="6"/>
  <c r="CG20" i="6"/>
  <c r="CG58" i="6"/>
  <c r="CH139" i="6"/>
  <c r="CH157" i="6"/>
  <c r="CG57" i="6"/>
  <c r="CG94" i="6"/>
  <c r="CH113" i="6"/>
  <c r="CC168" i="6"/>
  <c r="CG168" i="6" s="1"/>
  <c r="CC13" i="6"/>
  <c r="CH16" i="6"/>
  <c r="CG24" i="6"/>
  <c r="CH35" i="6"/>
  <c r="CC37" i="6"/>
  <c r="CG37" i="6" s="1"/>
  <c r="CC44" i="6"/>
  <c r="CG44" i="6" s="1"/>
  <c r="CH84" i="6"/>
  <c r="CC86" i="6"/>
  <c r="CG86" i="6" s="1"/>
  <c r="CH87" i="6"/>
  <c r="CH124" i="6"/>
  <c r="CH145" i="6"/>
  <c r="CG145" i="6"/>
  <c r="CH21" i="6"/>
  <c r="CH24" i="6"/>
  <c r="CH42" i="6"/>
  <c r="CH49" i="6"/>
  <c r="CH59" i="6"/>
  <c r="CH140" i="6"/>
  <c r="CG146" i="6"/>
  <c r="CG159" i="6"/>
  <c r="CH165" i="6"/>
  <c r="CG25" i="6"/>
  <c r="CG15" i="6"/>
  <c r="CG16" i="6"/>
  <c r="CG18" i="6"/>
  <c r="CG141" i="6"/>
  <c r="CG138" i="6"/>
  <c r="CG42" i="6"/>
  <c r="CG90" i="6"/>
  <c r="CG124" i="6"/>
  <c r="CH32" i="6"/>
  <c r="CH40" i="6"/>
  <c r="CH95" i="6"/>
  <c r="CG121" i="6"/>
  <c r="CC113" i="6"/>
  <c r="CG113" i="6" s="1"/>
  <c r="CC127" i="6"/>
  <c r="CG127" i="6" s="1"/>
  <c r="CG152" i="6"/>
  <c r="CC157" i="6"/>
  <c r="CG157" i="6" s="1"/>
  <c r="CC160" i="6"/>
  <c r="CG160" i="6" s="1"/>
  <c r="CH161" i="6"/>
  <c r="CH7" i="6"/>
  <c r="CC7" i="6"/>
  <c r="CG12" i="6"/>
  <c r="CH29" i="6"/>
  <c r="CC29" i="6"/>
  <c r="CG29" i="6" s="1"/>
  <c r="CG51" i="6"/>
  <c r="CH47" i="6"/>
  <c r="CC47" i="6"/>
  <c r="CG47" i="6" s="1"/>
  <c r="CH83" i="6"/>
  <c r="CC83" i="6"/>
  <c r="CG83" i="6" s="1"/>
  <c r="CG88" i="6"/>
  <c r="CH184" i="6"/>
  <c r="CG31" i="6"/>
  <c r="CG39" i="6"/>
  <c r="CH33" i="6"/>
  <c r="CC33" i="6"/>
  <c r="CG33" i="6" s="1"/>
  <c r="CH43" i="6"/>
  <c r="CG56" i="6"/>
  <c r="CG59" i="6"/>
  <c r="CC55" i="6"/>
  <c r="CG55" i="6" s="1"/>
  <c r="CH55" i="6"/>
  <c r="CH126" i="6"/>
  <c r="CC126" i="6"/>
  <c r="CG126" i="6" s="1"/>
  <c r="CH144" i="6"/>
  <c r="CC144" i="6"/>
  <c r="CG144" i="6" s="1"/>
  <c r="CH167" i="6"/>
  <c r="CC167" i="6"/>
  <c r="CG167" i="6" s="1"/>
  <c r="CG95" i="6"/>
  <c r="CG110" i="6"/>
  <c r="CH115" i="6"/>
  <c r="CG147" i="6"/>
  <c r="CH153" i="6"/>
  <c r="CC153" i="6"/>
  <c r="CG153" i="6" s="1"/>
  <c r="CG156" i="6"/>
  <c r="CH163" i="6"/>
  <c r="CE163" i="6"/>
  <c r="CG163" i="6" s="1"/>
  <c r="AC8" i="6"/>
  <c r="CG9" i="6"/>
  <c r="CH10" i="6"/>
  <c r="CH11" i="6"/>
  <c r="CC11" i="6"/>
  <c r="CG11" i="6" s="1"/>
  <c r="CH14" i="6"/>
  <c r="CG23" i="6"/>
  <c r="CC27" i="6"/>
  <c r="CG27" i="6" s="1"/>
  <c r="CH39" i="6"/>
  <c r="CG34" i="6"/>
  <c r="CH46" i="6"/>
  <c r="CG48" i="6"/>
  <c r="CG53" i="6"/>
  <c r="CH111" i="6"/>
  <c r="CC111" i="6"/>
  <c r="CG111" i="6" s="1"/>
  <c r="CH135" i="6"/>
  <c r="CG128" i="6"/>
  <c r="CG129" i="6"/>
  <c r="CH131" i="6"/>
  <c r="CC136" i="6"/>
  <c r="CG136" i="6" s="1"/>
  <c r="CH136" i="6"/>
  <c r="CH152" i="6"/>
  <c r="CH156" i="6"/>
  <c r="CG164" i="6"/>
  <c r="CH9" i="6"/>
  <c r="CH12" i="6"/>
  <c r="CH13" i="6"/>
  <c r="CH25" i="6"/>
  <c r="CH26" i="6"/>
  <c r="CH15" i="6"/>
  <c r="CH18" i="6"/>
  <c r="CH28" i="6"/>
  <c r="CH51" i="6"/>
  <c r="AC33" i="6"/>
  <c r="AI33" i="6" s="1"/>
  <c r="CO33" i="6" s="1"/>
  <c r="CG36" i="6"/>
  <c r="CG38" i="6"/>
  <c r="CH45" i="6"/>
  <c r="CH53" i="6"/>
  <c r="CH57" i="6"/>
  <c r="CH58" i="6"/>
  <c r="CH90" i="6"/>
  <c r="CG134" i="6"/>
  <c r="CG137" i="6"/>
  <c r="CG139" i="6"/>
  <c r="CH147" i="6"/>
  <c r="CH154" i="6"/>
  <c r="CH164" i="6"/>
  <c r="CG149" i="6"/>
  <c r="CG17" i="6"/>
  <c r="CG41" i="6"/>
  <c r="CG89" i="6"/>
  <c r="CH8" i="6"/>
  <c r="CH34" i="6"/>
  <c r="CH36" i="6"/>
  <c r="CH54" i="6"/>
  <c r="CH121" i="6"/>
  <c r="CH128" i="6"/>
  <c r="CH129" i="6"/>
  <c r="CC133" i="6"/>
  <c r="CG133" i="6" s="1"/>
  <c r="CH133" i="6"/>
  <c r="CC142" i="6"/>
  <c r="CG142" i="6" s="1"/>
  <c r="CH142" i="6"/>
  <c r="CH186" i="6"/>
  <c r="CC186" i="6"/>
  <c r="CG186" i="6" s="1"/>
  <c r="CC150" i="6"/>
  <c r="CH19" i="6"/>
  <c r="CH22" i="6"/>
  <c r="CH130" i="6"/>
  <c r="CC130" i="6"/>
  <c r="CG130" i="6" s="1"/>
  <c r="CH132" i="6"/>
  <c r="CC132" i="6"/>
  <c r="CG132" i="6" s="1"/>
  <c r="CC185" i="6"/>
  <c r="CG185" i="6" s="1"/>
  <c r="CH185" i="6"/>
  <c r="CG158" i="6"/>
  <c r="CH162" i="6"/>
  <c r="CC162" i="6"/>
  <c r="CG162" i="6" s="1"/>
  <c r="CH17" i="6"/>
  <c r="CG22" i="6"/>
  <c r="CH23" i="6"/>
  <c r="CH30" i="6"/>
  <c r="CH41" i="6"/>
  <c r="CH88" i="6"/>
  <c r="CH89" i="6"/>
  <c r="CH94" i="6"/>
  <c r="CH134" i="6"/>
  <c r="CH137" i="6"/>
  <c r="CG184" i="6"/>
  <c r="CF150" i="6"/>
  <c r="CE150" i="6" s="1"/>
  <c r="AU150" i="6"/>
  <c r="CH158" i="6"/>
  <c r="CH20" i="6"/>
  <c r="CG28" i="6"/>
  <c r="CH31" i="6"/>
  <c r="CC32" i="6"/>
  <c r="CG32" i="6" s="1"/>
  <c r="CG43" i="6"/>
  <c r="CG45" i="6"/>
  <c r="CC46" i="6"/>
  <c r="CG46" i="6" s="1"/>
  <c r="CH48" i="6"/>
  <c r="CH56" i="6"/>
  <c r="CC84" i="6"/>
  <c r="CG84" i="6" s="1"/>
  <c r="AC94" i="6"/>
  <c r="AI94" i="6" s="1"/>
  <c r="CN94" i="6" s="1"/>
  <c r="CH110" i="6"/>
  <c r="CG135" i="6"/>
  <c r="CG131" i="6"/>
  <c r="CG140" i="6"/>
  <c r="CH141" i="6"/>
  <c r="CH146" i="6"/>
  <c r="CH138" i="6"/>
  <c r="CF148" i="6"/>
  <c r="CC187" i="6"/>
  <c r="CG187" i="6" s="1"/>
  <c r="CH187" i="6"/>
  <c r="CB150" i="6"/>
  <c r="CF151" i="6"/>
  <c r="CC155" i="6"/>
  <c r="CG155" i="6" s="1"/>
  <c r="CH155" i="6"/>
  <c r="CH159" i="6"/>
  <c r="CH149" i="6"/>
  <c r="CB184" i="6"/>
  <c r="CG165" i="6"/>
  <c r="U254" i="6" l="1"/>
  <c r="U256" i="6"/>
  <c r="AI144" i="6"/>
  <c r="CO144" i="6" s="1"/>
  <c r="AI137" i="6"/>
  <c r="CM137" i="6" s="1"/>
  <c r="AC256" i="6"/>
  <c r="AI24" i="6"/>
  <c r="CN24" i="6" s="1"/>
  <c r="AI8" i="6"/>
  <c r="AC254" i="6"/>
  <c r="CO83" i="6"/>
  <c r="CO89" i="6"/>
  <c r="BU250" i="6"/>
  <c r="CG54" i="6"/>
  <c r="AI54" i="6"/>
  <c r="CG7" i="6"/>
  <c r="CG8" i="6"/>
  <c r="AI41" i="6"/>
  <c r="CM41" i="6" s="1"/>
  <c r="AI129" i="6"/>
  <c r="CM129" i="6" s="1"/>
  <c r="AI145" i="6"/>
  <c r="CN145" i="6" s="1"/>
  <c r="CM142" i="6"/>
  <c r="AI18" i="6"/>
  <c r="CM18" i="6" s="1"/>
  <c r="CN10" i="6"/>
  <c r="CM144" i="6"/>
  <c r="CN57" i="6"/>
  <c r="CN111" i="6"/>
  <c r="CM115" i="6"/>
  <c r="CM156" i="6"/>
  <c r="CM126" i="6"/>
  <c r="CM21" i="6"/>
  <c r="CN140" i="6"/>
  <c r="CM44" i="6"/>
  <c r="CM164" i="6"/>
  <c r="CM130" i="6"/>
  <c r="CO161" i="6"/>
  <c r="CN160" i="6"/>
  <c r="CN127" i="6"/>
  <c r="CN14" i="6"/>
  <c r="CM159" i="6"/>
  <c r="CM134" i="6"/>
  <c r="CM42" i="6"/>
  <c r="CN135" i="6"/>
  <c r="CN138" i="6"/>
  <c r="CO86" i="6"/>
  <c r="CO149" i="6"/>
  <c r="CN146" i="6"/>
  <c r="CN129" i="6"/>
  <c r="CO56" i="6"/>
  <c r="CO148" i="6"/>
  <c r="CM89" i="6"/>
  <c r="CN131" i="6"/>
  <c r="CO24" i="6"/>
  <c r="CO53" i="6"/>
  <c r="CM58" i="6"/>
  <c r="CM38" i="6"/>
  <c r="CM32" i="6"/>
  <c r="CM28" i="6"/>
  <c r="CN139" i="6"/>
  <c r="CO7" i="6"/>
  <c r="CN142" i="6"/>
  <c r="CN23" i="6"/>
  <c r="CM155" i="6"/>
  <c r="CM133" i="6"/>
  <c r="CO124" i="6"/>
  <c r="CO55" i="6"/>
  <c r="CO165" i="6"/>
  <c r="CM150" i="6"/>
  <c r="CO151" i="6"/>
  <c r="CM85" i="6"/>
  <c r="CN58" i="6"/>
  <c r="CN38" i="6"/>
  <c r="CN32" i="6"/>
  <c r="CN28" i="6"/>
  <c r="CM139" i="6"/>
  <c r="CM20" i="6"/>
  <c r="CO26" i="6"/>
  <c r="CM7" i="6"/>
  <c r="CO141" i="6"/>
  <c r="CM165" i="6"/>
  <c r="CN151" i="6"/>
  <c r="CM53" i="6"/>
  <c r="CM157" i="6"/>
  <c r="CN143" i="6"/>
  <c r="CO113" i="6"/>
  <c r="CN85" i="6"/>
  <c r="CO45" i="6"/>
  <c r="CN34" i="6"/>
  <c r="CO30" i="6"/>
  <c r="CM17" i="6"/>
  <c r="CM154" i="6"/>
  <c r="CO20" i="6"/>
  <c r="CM26" i="6"/>
  <c r="CM141" i="6"/>
  <c r="CM9" i="6"/>
  <c r="CO150" i="6"/>
  <c r="CN149" i="6"/>
  <c r="CN87" i="6"/>
  <c r="CO37" i="6"/>
  <c r="CN161" i="6"/>
  <c r="CM147" i="6"/>
  <c r="CN110" i="6"/>
  <c r="CO157" i="6"/>
  <c r="CM143" i="6"/>
  <c r="CM113" i="6"/>
  <c r="CO43" i="6"/>
  <c r="CM51" i="6"/>
  <c r="CN29" i="6"/>
  <c r="CO15" i="6"/>
  <c r="CM33" i="6"/>
  <c r="CN16" i="6"/>
  <c r="CN11" i="6"/>
  <c r="CO142" i="6"/>
  <c r="CO90" i="6"/>
  <c r="CM23" i="6"/>
  <c r="CO155" i="6"/>
  <c r="CO133" i="6"/>
  <c r="CM124" i="6"/>
  <c r="CM55" i="6"/>
  <c r="CM167" i="6"/>
  <c r="CO131" i="6"/>
  <c r="CM87" i="6"/>
  <c r="CN37" i="6"/>
  <c r="CM152" i="6"/>
  <c r="CO135" i="6"/>
  <c r="CM110" i="6"/>
  <c r="CO136" i="6"/>
  <c r="CO88" i="6"/>
  <c r="CM49" i="6"/>
  <c r="CM36" i="6"/>
  <c r="CM31" i="6"/>
  <c r="CO27" i="6"/>
  <c r="CM158" i="6"/>
  <c r="CM59" i="6"/>
  <c r="CO25" i="6"/>
  <c r="CM187" i="6"/>
  <c r="CN128" i="6"/>
  <c r="CM95" i="6"/>
  <c r="CO94" i="6"/>
  <c r="CO47" i="6"/>
  <c r="CN22" i="6"/>
  <c r="CM162" i="6"/>
  <c r="CO185" i="6"/>
  <c r="CM132" i="6"/>
  <c r="CN121" i="6"/>
  <c r="CO48" i="6"/>
  <c r="CN12" i="6"/>
  <c r="CM8" i="6"/>
  <c r="CM184" i="6"/>
  <c r="CN39" i="6"/>
  <c r="CO164" i="6"/>
  <c r="CM186" i="6"/>
  <c r="CM138" i="6"/>
  <c r="CN136" i="6"/>
  <c r="CN130" i="6"/>
  <c r="CM88" i="6"/>
  <c r="CN86" i="6"/>
  <c r="CN83" i="6"/>
  <c r="CO49" i="6"/>
  <c r="CN45" i="6"/>
  <c r="CM43" i="6"/>
  <c r="CO34" i="6"/>
  <c r="CN51" i="6"/>
  <c r="CM30" i="6"/>
  <c r="CM29" i="6"/>
  <c r="CO17" i="6"/>
  <c r="CM15" i="6"/>
  <c r="CN154" i="6"/>
  <c r="CO84" i="6"/>
  <c r="CO59" i="6"/>
  <c r="CN33" i="6"/>
  <c r="CO16" i="6"/>
  <c r="CN25" i="6"/>
  <c r="CO11" i="6"/>
  <c r="CO163" i="6"/>
  <c r="CO187" i="6"/>
  <c r="CN144" i="6"/>
  <c r="CO128" i="6"/>
  <c r="CN95" i="6"/>
  <c r="CM90" i="6"/>
  <c r="CN56" i="6"/>
  <c r="CN47" i="6"/>
  <c r="CM40" i="6"/>
  <c r="CO10" i="6"/>
  <c r="CN162" i="6"/>
  <c r="CN159" i="6"/>
  <c r="CM185" i="6"/>
  <c r="CN148" i="6"/>
  <c r="CN132" i="6"/>
  <c r="CO134" i="6"/>
  <c r="CO121" i="6"/>
  <c r="CN89" i="6"/>
  <c r="CM48" i="6"/>
  <c r="CN42" i="6"/>
  <c r="CO9" i="6"/>
  <c r="CO8" i="6"/>
  <c r="CO167" i="6"/>
  <c r="CM153" i="6"/>
  <c r="CO184" i="6"/>
  <c r="CN126" i="6"/>
  <c r="CO44" i="6"/>
  <c r="CM24" i="6"/>
  <c r="CN152" i="6"/>
  <c r="CO147" i="6"/>
  <c r="CN115" i="6"/>
  <c r="CN186" i="6"/>
  <c r="CN46" i="6"/>
  <c r="CO160" i="6"/>
  <c r="CM146" i="6"/>
  <c r="CM127" i="6"/>
  <c r="CM83" i="6"/>
  <c r="CM46" i="6"/>
  <c r="CO36" i="6"/>
  <c r="CN31" i="6"/>
  <c r="CN27" i="6"/>
  <c r="CN158" i="6"/>
  <c r="CO129" i="6"/>
  <c r="CM84" i="6"/>
  <c r="CO21" i="6"/>
  <c r="CM14" i="6"/>
  <c r="CN163" i="6"/>
  <c r="CM94" i="6"/>
  <c r="CO40" i="6"/>
  <c r="CO22" i="6"/>
  <c r="CM10" i="6"/>
  <c r="CN156" i="6"/>
  <c r="CM140" i="6"/>
  <c r="CM111" i="6"/>
  <c r="CO57" i="6"/>
  <c r="CO12" i="6"/>
  <c r="CO153" i="6"/>
  <c r="CO39" i="6"/>
  <c r="AC19" i="6"/>
  <c r="AI19" i="6" s="1"/>
  <c r="CM19" i="6" s="1"/>
  <c r="CN168" i="6"/>
  <c r="CM168" i="6"/>
  <c r="CG49" i="6"/>
  <c r="CG35" i="6"/>
  <c r="AI35" i="6"/>
  <c r="AC13" i="6"/>
  <c r="CH143" i="6"/>
  <c r="CH85" i="6"/>
  <c r="CG13" i="6"/>
  <c r="CH150" i="6"/>
  <c r="CE148" i="6"/>
  <c r="CH148" i="6"/>
  <c r="CG150" i="6"/>
  <c r="CE151" i="6"/>
  <c r="CH151" i="6"/>
  <c r="CI256" i="4"/>
  <c r="CI251" i="4"/>
  <c r="CI252" i="4"/>
  <c r="CI255" i="4"/>
  <c r="CN137" i="6" l="1"/>
  <c r="CO137" i="6"/>
  <c r="CN8" i="6"/>
  <c r="AI256" i="6"/>
  <c r="CN18" i="6"/>
  <c r="CN41" i="6"/>
  <c r="CO41" i="6"/>
  <c r="CO54" i="6"/>
  <c r="CN54" i="6"/>
  <c r="CM54" i="6"/>
  <c r="CM145" i="6"/>
  <c r="CO145" i="6"/>
  <c r="CO18" i="6"/>
  <c r="CO19" i="6"/>
  <c r="CN19" i="6"/>
  <c r="CN35" i="6"/>
  <c r="CO35" i="6"/>
  <c r="CM35" i="6"/>
  <c r="CJ256" i="4"/>
  <c r="CK256" i="4"/>
  <c r="CG148" i="6"/>
  <c r="CG151" i="6"/>
  <c r="AI13" i="6"/>
  <c r="CO13" i="6" l="1"/>
  <c r="CN13" i="6"/>
  <c r="CM13" i="6"/>
  <c r="S259" i="4"/>
  <c r="R259" i="4" l="1"/>
  <c r="U117" i="6"/>
  <c r="U259" i="6" s="1"/>
  <c r="V259" i="4"/>
  <c r="U259" i="4" l="1"/>
  <c r="AH251" i="4"/>
  <c r="AH252" i="4"/>
  <c r="AH255" i="4"/>
  <c r="AH253" i="4"/>
  <c r="AH254" i="4"/>
  <c r="AH256" i="4"/>
  <c r="AH250" i="4" l="1"/>
  <c r="Z250" i="4"/>
  <c r="Z251" i="4"/>
  <c r="AA251" i="4"/>
  <c r="AB251" i="4"/>
  <c r="Z252" i="4"/>
  <c r="AA252" i="4"/>
  <c r="AB252" i="4"/>
  <c r="Z253" i="4"/>
  <c r="AA253" i="4"/>
  <c r="AB253" i="4"/>
  <c r="Z254" i="4"/>
  <c r="AA254" i="4"/>
  <c r="AB254" i="4"/>
  <c r="Z255" i="4"/>
  <c r="AA255" i="4"/>
  <c r="AB255" i="4"/>
  <c r="Z256" i="4"/>
  <c r="AA256" i="4"/>
  <c r="AB256" i="4"/>
  <c r="CK259" i="4" l="1"/>
  <c r="CJ259" i="4"/>
  <c r="CJ255" i="4"/>
  <c r="CK255" i="4"/>
  <c r="X254" i="7"/>
  <c r="X248" i="7"/>
  <c r="X253" i="7"/>
  <c r="Y254" i="7"/>
  <c r="Y248" i="7"/>
  <c r="W253" i="7"/>
  <c r="W248" i="7"/>
  <c r="W254" i="7"/>
  <c r="Y253" i="7"/>
  <c r="AA250" i="4"/>
  <c r="AB250" i="4"/>
  <c r="W250" i="7" l="1"/>
  <c r="Y250" i="7"/>
  <c r="X250" i="7"/>
  <c r="AG252" i="4"/>
  <c r="CW253" i="7"/>
  <c r="CW254" i="7"/>
  <c r="CW248" i="7"/>
  <c r="CV253" i="7"/>
  <c r="CV254" i="7"/>
  <c r="CV248" i="7"/>
  <c r="CI253" i="4"/>
  <c r="CI254" i="4"/>
  <c r="AD172" i="6"/>
  <c r="AD103" i="6"/>
  <c r="AD179" i="6"/>
  <c r="U92" i="6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7" i="7"/>
  <c r="AD60" i="6"/>
  <c r="AD61" i="6"/>
  <c r="AD62" i="6"/>
  <c r="AD63" i="6"/>
  <c r="AD64" i="6"/>
  <c r="AD253" i="6" s="1"/>
  <c r="AD65" i="6"/>
  <c r="AD66" i="6"/>
  <c r="AD67" i="6"/>
  <c r="AD68" i="6"/>
  <c r="AD69" i="6"/>
  <c r="AD252" i="6" s="1"/>
  <c r="AD70" i="6"/>
  <c r="AD71" i="6"/>
  <c r="AD80" i="6"/>
  <c r="AD81" i="6"/>
  <c r="AD82" i="6"/>
  <c r="AD72" i="6"/>
  <c r="AD73" i="6"/>
  <c r="AD74" i="6"/>
  <c r="AD75" i="6"/>
  <c r="AD76" i="6"/>
  <c r="AD77" i="6"/>
  <c r="AD78" i="6"/>
  <c r="AD79" i="6"/>
  <c r="AD91" i="6"/>
  <c r="AD92" i="6"/>
  <c r="AD93" i="6"/>
  <c r="AD96" i="6"/>
  <c r="AD98" i="6"/>
  <c r="AD99" i="6"/>
  <c r="AD100" i="6"/>
  <c r="AD101" i="6"/>
  <c r="AD102" i="6"/>
  <c r="AD104" i="6"/>
  <c r="AD105" i="6"/>
  <c r="AD106" i="6"/>
  <c r="AD107" i="6"/>
  <c r="AD108" i="6"/>
  <c r="AD109" i="6"/>
  <c r="AD120" i="6"/>
  <c r="AD122" i="6"/>
  <c r="AD123" i="6"/>
  <c r="AD125" i="6"/>
  <c r="AD112" i="6"/>
  <c r="AD114" i="6"/>
  <c r="AD116" i="6"/>
  <c r="AD117" i="6"/>
  <c r="AD118" i="6"/>
  <c r="AD166" i="6"/>
  <c r="AD169" i="6"/>
  <c r="AD170" i="6"/>
  <c r="AD171" i="6"/>
  <c r="AD174" i="6"/>
  <c r="AD175" i="6"/>
  <c r="AD176" i="6"/>
  <c r="AD177" i="6"/>
  <c r="AD178" i="6"/>
  <c r="AD180" i="6"/>
  <c r="AD181" i="6"/>
  <c r="AD182" i="6"/>
  <c r="AD183" i="6"/>
  <c r="AD173" i="6"/>
  <c r="AD97" i="6"/>
  <c r="CB104" i="6"/>
  <c r="CB105" i="6"/>
  <c r="CB106" i="6"/>
  <c r="CB107" i="6"/>
  <c r="CB108" i="6"/>
  <c r="CB109" i="6"/>
  <c r="CB122" i="6"/>
  <c r="CB123" i="6"/>
  <c r="CB125" i="6"/>
  <c r="CB112" i="6"/>
  <c r="CB114" i="6"/>
  <c r="CB116" i="6"/>
  <c r="CB117" i="6"/>
  <c r="CB259" i="4" s="1"/>
  <c r="CB118" i="6"/>
  <c r="CB119" i="6"/>
  <c r="CB166" i="6"/>
  <c r="CB169" i="6"/>
  <c r="CB67" i="6"/>
  <c r="CB68" i="6"/>
  <c r="CB69" i="6"/>
  <c r="CB70" i="6"/>
  <c r="CB71" i="6"/>
  <c r="CB81" i="6"/>
  <c r="CB82" i="6"/>
  <c r="CB72" i="6"/>
  <c r="CB73" i="6"/>
  <c r="CB74" i="6"/>
  <c r="CB75" i="6"/>
  <c r="CB76" i="6"/>
  <c r="CB77" i="6"/>
  <c r="CB78" i="6"/>
  <c r="CB79" i="6"/>
  <c r="CB92" i="6"/>
  <c r="CB97" i="6"/>
  <c r="CB98" i="6"/>
  <c r="CB99" i="6"/>
  <c r="CB100" i="6"/>
  <c r="CB101" i="6"/>
  <c r="CB102" i="6"/>
  <c r="CB66" i="6"/>
  <c r="CB65" i="6"/>
  <c r="CB64" i="6"/>
  <c r="CB63" i="6"/>
  <c r="CB61" i="6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7" i="7"/>
  <c r="CB171" i="6"/>
  <c r="CB172" i="6"/>
  <c r="CB173" i="6"/>
  <c r="CB174" i="6"/>
  <c r="CB175" i="6"/>
  <c r="CB177" i="6"/>
  <c r="CB178" i="6"/>
  <c r="CB180" i="6"/>
  <c r="CB181" i="6"/>
  <c r="CB182" i="6"/>
  <c r="CB170" i="6"/>
  <c r="CA93" i="6"/>
  <c r="CB93" i="6" s="1"/>
  <c r="CA91" i="6"/>
  <c r="CA103" i="6"/>
  <c r="CA179" i="6"/>
  <c r="CA176" i="6"/>
  <c r="CA120" i="6"/>
  <c r="CB120" i="6" s="1"/>
  <c r="CA256" i="4"/>
  <c r="CA252" i="4"/>
  <c r="CA255" i="4"/>
  <c r="BE103" i="6"/>
  <c r="BD103" i="6"/>
  <c r="U103" i="6"/>
  <c r="T103" i="6"/>
  <c r="BE97" i="6"/>
  <c r="BD97" i="6"/>
  <c r="U97" i="6"/>
  <c r="T97" i="6"/>
  <c r="BE173" i="6"/>
  <c r="BD173" i="6"/>
  <c r="BE169" i="6"/>
  <c r="BD169" i="6"/>
  <c r="U169" i="6"/>
  <c r="T169" i="6"/>
  <c r="CP8" i="7"/>
  <c r="CR8" i="7"/>
  <c r="CP9" i="7"/>
  <c r="CO9" i="7" s="1"/>
  <c r="CR9" i="7"/>
  <c r="CQ9" i="7" s="1"/>
  <c r="CP10" i="7"/>
  <c r="CR10" i="7"/>
  <c r="CQ10" i="7" s="1"/>
  <c r="CP11" i="7"/>
  <c r="CO11" i="7" s="1"/>
  <c r="CR11" i="7"/>
  <c r="CQ11" i="7" s="1"/>
  <c r="CP12" i="7"/>
  <c r="CR12" i="7"/>
  <c r="CQ12" i="7" s="1"/>
  <c r="CP13" i="7"/>
  <c r="CO13" i="7" s="1"/>
  <c r="CR13" i="7"/>
  <c r="CQ13" i="7" s="1"/>
  <c r="CP14" i="7"/>
  <c r="CR14" i="7"/>
  <c r="CP15" i="7"/>
  <c r="CO15" i="7" s="1"/>
  <c r="CR15" i="7"/>
  <c r="CQ15" i="7" s="1"/>
  <c r="CP16" i="7"/>
  <c r="CO16" i="7" s="1"/>
  <c r="CR16" i="7"/>
  <c r="CP17" i="7"/>
  <c r="CO17" i="7" s="1"/>
  <c r="CR17" i="7"/>
  <c r="CQ17" i="7" s="1"/>
  <c r="CP18" i="7"/>
  <c r="CO18" i="7" s="1"/>
  <c r="CR18" i="7"/>
  <c r="CQ18" i="7" s="1"/>
  <c r="CP19" i="7"/>
  <c r="CO19" i="7" s="1"/>
  <c r="CR19" i="7"/>
  <c r="CQ19" i="7" s="1"/>
  <c r="CP20" i="7"/>
  <c r="CO20" i="7" s="1"/>
  <c r="CR20" i="7"/>
  <c r="CQ20" i="7" s="1"/>
  <c r="CP21" i="7"/>
  <c r="CO21" i="7" s="1"/>
  <c r="CR21" i="7"/>
  <c r="CQ21" i="7" s="1"/>
  <c r="CP22" i="7"/>
  <c r="CO22" i="7" s="1"/>
  <c r="CR22" i="7"/>
  <c r="CQ22" i="7" s="1"/>
  <c r="CP23" i="7"/>
  <c r="CO23" i="7" s="1"/>
  <c r="CR23" i="7"/>
  <c r="CQ23" i="7" s="1"/>
  <c r="CP24" i="7"/>
  <c r="CO24" i="7" s="1"/>
  <c r="CR24" i="7"/>
  <c r="CQ24" i="7" s="1"/>
  <c r="CP25" i="7"/>
  <c r="CO25" i="7" s="1"/>
  <c r="CR25" i="7"/>
  <c r="CQ25" i="7" s="1"/>
  <c r="CP26" i="7"/>
  <c r="CO26" i="7" s="1"/>
  <c r="CR26" i="7"/>
  <c r="CQ26" i="7" s="1"/>
  <c r="CP27" i="7"/>
  <c r="CO27" i="7" s="1"/>
  <c r="CR27" i="7"/>
  <c r="CQ27" i="7" s="1"/>
  <c r="CP28" i="7"/>
  <c r="CO28" i="7" s="1"/>
  <c r="CR28" i="7"/>
  <c r="CQ28" i="7" s="1"/>
  <c r="CP29" i="7"/>
  <c r="CO29" i="7" s="1"/>
  <c r="CR29" i="7"/>
  <c r="CQ29" i="7" s="1"/>
  <c r="CP30" i="7"/>
  <c r="CO30" i="7" s="1"/>
  <c r="CR30" i="7"/>
  <c r="CQ30" i="7" s="1"/>
  <c r="CP31" i="7"/>
  <c r="CO31" i="7" s="1"/>
  <c r="CR31" i="7"/>
  <c r="CQ31" i="7" s="1"/>
  <c r="CP32" i="7"/>
  <c r="CO32" i="7" s="1"/>
  <c r="CR32" i="7"/>
  <c r="CQ32" i="7" s="1"/>
  <c r="CP33" i="7"/>
  <c r="CO33" i="7" s="1"/>
  <c r="CR33" i="7"/>
  <c r="CQ33" i="7" s="1"/>
  <c r="CP34" i="7"/>
  <c r="CO34" i="7" s="1"/>
  <c r="CS34" i="7" s="1"/>
  <c r="CR34" i="7"/>
  <c r="CP35" i="7"/>
  <c r="CO35" i="7" s="1"/>
  <c r="CS35" i="7" s="1"/>
  <c r="CR35" i="7"/>
  <c r="CD61" i="6"/>
  <c r="CF61" i="6"/>
  <c r="CD63" i="6"/>
  <c r="CF63" i="6"/>
  <c r="CD64" i="6"/>
  <c r="CF64" i="6"/>
  <c r="CD65" i="6"/>
  <c r="CC65" i="6" s="1"/>
  <c r="CG65" i="6" s="1"/>
  <c r="CF65" i="6"/>
  <c r="CD66" i="6"/>
  <c r="CF66" i="6"/>
  <c r="CD67" i="6"/>
  <c r="CC67" i="6" s="1"/>
  <c r="CG67" i="6" s="1"/>
  <c r="CF67" i="6"/>
  <c r="CD68" i="6"/>
  <c r="CF68" i="6"/>
  <c r="CD69" i="6"/>
  <c r="CC69" i="6" s="1"/>
  <c r="CG69" i="6" s="1"/>
  <c r="CF69" i="6"/>
  <c r="CD70" i="6"/>
  <c r="CC70" i="6" s="1"/>
  <c r="CF70" i="6"/>
  <c r="CD71" i="6"/>
  <c r="CC71" i="6" s="1"/>
  <c r="CG71" i="6" s="1"/>
  <c r="CF71" i="6"/>
  <c r="CD80" i="6"/>
  <c r="CD81" i="6"/>
  <c r="CF81" i="6"/>
  <c r="CD82" i="6"/>
  <c r="CF82" i="6"/>
  <c r="CE82" i="6" s="1"/>
  <c r="CD72" i="6"/>
  <c r="CF72" i="6"/>
  <c r="CE72" i="6" s="1"/>
  <c r="CD73" i="6"/>
  <c r="CC73" i="6" s="1"/>
  <c r="CG73" i="6" s="1"/>
  <c r="CF73" i="6"/>
  <c r="CD74" i="6"/>
  <c r="CC74" i="6" s="1"/>
  <c r="CF74" i="6"/>
  <c r="CD75" i="6"/>
  <c r="CC75" i="6" s="1"/>
  <c r="CF75" i="6"/>
  <c r="CD76" i="6"/>
  <c r="CF76" i="6"/>
  <c r="CE76" i="6" s="1"/>
  <c r="CD77" i="6"/>
  <c r="CF77" i="6"/>
  <c r="CE77" i="6" s="1"/>
  <c r="CD78" i="6"/>
  <c r="CC78" i="6" s="1"/>
  <c r="CF78" i="6"/>
  <c r="CD79" i="6"/>
  <c r="CF79" i="6"/>
  <c r="CD91" i="6"/>
  <c r="CC91" i="6" s="1"/>
  <c r="CD92" i="6"/>
  <c r="CC92" i="6" s="1"/>
  <c r="CD93" i="6"/>
  <c r="CC93" i="6" s="1"/>
  <c r="CD96" i="6"/>
  <c r="CC96" i="6" s="1"/>
  <c r="CD97" i="6"/>
  <c r="CC97" i="6" s="1"/>
  <c r="CF97" i="6"/>
  <c r="CD98" i="6"/>
  <c r="CF98" i="6"/>
  <c r="CD99" i="6"/>
  <c r="CC99" i="6" s="1"/>
  <c r="CF99" i="6"/>
  <c r="CE99" i="6" s="1"/>
  <c r="CD100" i="6"/>
  <c r="CF100" i="6"/>
  <c r="CE100" i="6" s="1"/>
  <c r="CD101" i="6"/>
  <c r="CC101" i="6" s="1"/>
  <c r="CF101" i="6"/>
  <c r="CD102" i="6"/>
  <c r="CC102" i="6" s="1"/>
  <c r="CF102" i="6"/>
  <c r="CE102" i="6" s="1"/>
  <c r="CD103" i="6"/>
  <c r="CC103" i="6" s="1"/>
  <c r="CD104" i="6"/>
  <c r="CF104" i="6"/>
  <c r="CE104" i="6" s="1"/>
  <c r="CD105" i="6"/>
  <c r="CF105" i="6"/>
  <c r="CD106" i="6"/>
  <c r="CF106" i="6"/>
  <c r="CE106" i="6" s="1"/>
  <c r="CD107" i="6"/>
  <c r="CF107" i="6"/>
  <c r="CE107" i="6" s="1"/>
  <c r="CD108" i="6"/>
  <c r="CF108" i="6"/>
  <c r="CE108" i="6" s="1"/>
  <c r="CD109" i="6"/>
  <c r="CC109" i="6" s="1"/>
  <c r="CF109" i="6"/>
  <c r="CE109" i="6" s="1"/>
  <c r="CD120" i="6"/>
  <c r="CC120" i="6" s="1"/>
  <c r="CD122" i="6"/>
  <c r="CC122" i="6" s="1"/>
  <c r="CF122" i="6"/>
  <c r="CD123" i="6"/>
  <c r="CC123" i="6" s="1"/>
  <c r="CF123" i="6"/>
  <c r="CD125" i="6"/>
  <c r="CF125" i="6"/>
  <c r="CE125" i="6" s="1"/>
  <c r="CD112" i="6"/>
  <c r="CF112" i="6"/>
  <c r="CE112" i="6" s="1"/>
  <c r="CD114" i="6"/>
  <c r="CC114" i="6" s="1"/>
  <c r="CG114" i="6" s="1"/>
  <c r="CF114" i="6"/>
  <c r="CD116" i="6"/>
  <c r="CF116" i="6"/>
  <c r="CE116" i="6" s="1"/>
  <c r="CD117" i="6"/>
  <c r="CF117" i="6"/>
  <c r="CF259" i="4" s="1"/>
  <c r="CD118" i="6"/>
  <c r="CC118" i="6" s="1"/>
  <c r="CG118" i="6" s="1"/>
  <c r="CF118" i="6"/>
  <c r="CD119" i="6"/>
  <c r="CF119" i="6"/>
  <c r="CD166" i="6"/>
  <c r="CC166" i="6" s="1"/>
  <c r="CF166" i="6"/>
  <c r="CE166" i="6" s="1"/>
  <c r="CD169" i="6"/>
  <c r="CC169" i="6" s="1"/>
  <c r="CF169" i="6"/>
  <c r="CE169" i="6" s="1"/>
  <c r="CD170" i="6"/>
  <c r="CC170" i="6" s="1"/>
  <c r="CF170" i="6"/>
  <c r="CD171" i="6"/>
  <c r="CC171" i="6" s="1"/>
  <c r="CF171" i="6"/>
  <c r="CD172" i="6"/>
  <c r="CC172" i="6" s="1"/>
  <c r="CF172" i="6"/>
  <c r="CD173" i="6"/>
  <c r="CC173" i="6" s="1"/>
  <c r="CG173" i="6" s="1"/>
  <c r="CF173" i="6"/>
  <c r="CD174" i="6"/>
  <c r="CC174" i="6" s="1"/>
  <c r="CG174" i="6" s="1"/>
  <c r="CF174" i="6"/>
  <c r="CD175" i="6"/>
  <c r="CF175" i="6"/>
  <c r="CD176" i="6"/>
  <c r="CC176" i="6" s="1"/>
  <c r="CD177" i="6"/>
  <c r="CC177" i="6" s="1"/>
  <c r="CG177" i="6" s="1"/>
  <c r="CF177" i="6"/>
  <c r="CD178" i="6"/>
  <c r="CF178" i="6"/>
  <c r="CD179" i="6"/>
  <c r="CD180" i="6"/>
  <c r="CF180" i="6"/>
  <c r="CD181" i="6"/>
  <c r="CF181" i="6"/>
  <c r="CE181" i="6" s="1"/>
  <c r="CD182" i="6"/>
  <c r="CF182" i="6"/>
  <c r="CE182" i="6" s="1"/>
  <c r="CD183" i="6"/>
  <c r="CC183" i="6" s="1"/>
  <c r="CR7" i="7"/>
  <c r="CP7" i="7"/>
  <c r="BY251" i="4"/>
  <c r="BZ251" i="4"/>
  <c r="BZ252" i="4"/>
  <c r="BY255" i="4"/>
  <c r="BZ255" i="4"/>
  <c r="BY256" i="4"/>
  <c r="BZ256" i="4"/>
  <c r="BW255" i="4"/>
  <c r="BV255" i="4"/>
  <c r="BU255" i="4"/>
  <c r="BT255" i="4"/>
  <c r="BS255" i="4"/>
  <c r="BR255" i="4"/>
  <c r="BQ255" i="4"/>
  <c r="BP255" i="4"/>
  <c r="BO255" i="4"/>
  <c r="BN255" i="4"/>
  <c r="BM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T255" i="4"/>
  <c r="AS255" i="4"/>
  <c r="AQ255" i="4"/>
  <c r="AP255" i="4"/>
  <c r="AO255" i="4"/>
  <c r="AM255" i="4"/>
  <c r="AL255" i="4"/>
  <c r="AK255" i="4"/>
  <c r="AJ255" i="4"/>
  <c r="AG255" i="4"/>
  <c r="AF255" i="4"/>
  <c r="AE255" i="4"/>
  <c r="V255" i="4"/>
  <c r="U255" i="4"/>
  <c r="T255" i="4"/>
  <c r="S255" i="4"/>
  <c r="R255" i="4"/>
  <c r="Q255" i="4"/>
  <c r="P255" i="4"/>
  <c r="O255" i="4"/>
  <c r="M255" i="4"/>
  <c r="L255" i="4"/>
  <c r="K255" i="4"/>
  <c r="J255" i="4"/>
  <c r="BT254" i="4"/>
  <c r="BJ253" i="4"/>
  <c r="BW252" i="4"/>
  <c r="BV252" i="4"/>
  <c r="BU252" i="4"/>
  <c r="BT252" i="4"/>
  <c r="BS252" i="4"/>
  <c r="BR252" i="4"/>
  <c r="BQ252" i="4"/>
  <c r="BP252" i="4"/>
  <c r="BO252" i="4"/>
  <c r="BN252" i="4"/>
  <c r="BM252" i="4"/>
  <c r="BI252" i="4"/>
  <c r="BH252" i="4"/>
  <c r="BG252" i="4"/>
  <c r="BF252" i="4"/>
  <c r="BC252" i="4"/>
  <c r="BB252" i="4"/>
  <c r="BA252" i="4"/>
  <c r="AZ252" i="4"/>
  <c r="AX252" i="4"/>
  <c r="AW252" i="4"/>
  <c r="AV252" i="4"/>
  <c r="AT252" i="4"/>
  <c r="AS252" i="4"/>
  <c r="AQ252" i="4"/>
  <c r="AP252" i="4"/>
  <c r="AO252" i="4"/>
  <c r="AN252" i="4"/>
  <c r="AL252" i="4"/>
  <c r="AK252" i="4"/>
  <c r="AJ252" i="4"/>
  <c r="AE252" i="4"/>
  <c r="Q252" i="4"/>
  <c r="P252" i="4"/>
  <c r="M252" i="4"/>
  <c r="L252" i="4"/>
  <c r="K252" i="4"/>
  <c r="J252" i="4"/>
  <c r="BI251" i="4"/>
  <c r="AV251" i="4"/>
  <c r="AM251" i="4"/>
  <c r="AK251" i="4"/>
  <c r="AJ251" i="4"/>
  <c r="Q251" i="4"/>
  <c r="M251" i="4"/>
  <c r="BT103" i="6"/>
  <c r="BH103" i="6"/>
  <c r="BG103" i="6"/>
  <c r="BF103" i="6"/>
  <c r="BC103" i="6"/>
  <c r="BB103" i="6"/>
  <c r="BA103" i="6"/>
  <c r="AZ103" i="6"/>
  <c r="AY103" i="6"/>
  <c r="AT103" i="6"/>
  <c r="AS103" i="6"/>
  <c r="AR103" i="6"/>
  <c r="AP103" i="6"/>
  <c r="BX103" i="6" s="1"/>
  <c r="AO103" i="6"/>
  <c r="AL103" i="6"/>
  <c r="L103" i="6"/>
  <c r="K103" i="6"/>
  <c r="J103" i="6"/>
  <c r="BT120" i="6"/>
  <c r="BH120" i="6"/>
  <c r="BG120" i="6"/>
  <c r="BF120" i="6"/>
  <c r="BE120" i="6"/>
  <c r="BD120" i="6"/>
  <c r="BC120" i="6"/>
  <c r="BB120" i="6"/>
  <c r="BA120" i="6"/>
  <c r="AZ120" i="6"/>
  <c r="AY120" i="6"/>
  <c r="AW103" i="6"/>
  <c r="AW120" i="6"/>
  <c r="CF120" i="6" s="1"/>
  <c r="AT120" i="6"/>
  <c r="AS120" i="6"/>
  <c r="AR120" i="6"/>
  <c r="AP120" i="6"/>
  <c r="BX120" i="6" s="1"/>
  <c r="AO120" i="6"/>
  <c r="AL120" i="6"/>
  <c r="U120" i="6"/>
  <c r="T120" i="6"/>
  <c r="L120" i="6"/>
  <c r="J120" i="6"/>
  <c r="BV176" i="6"/>
  <c r="BU176" i="6"/>
  <c r="BT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T176" i="6"/>
  <c r="AS176" i="6"/>
  <c r="AR176" i="6"/>
  <c r="AP176" i="6"/>
  <c r="BX176" i="6" s="1"/>
  <c r="AO176" i="6"/>
  <c r="AL176" i="6"/>
  <c r="U176" i="6"/>
  <c r="T176" i="6"/>
  <c r="L176" i="6"/>
  <c r="K176" i="6"/>
  <c r="J176" i="6"/>
  <c r="BV179" i="6"/>
  <c r="BU179" i="6"/>
  <c r="BT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U179" i="6" s="1"/>
  <c r="AT179" i="6"/>
  <c r="AS179" i="6"/>
  <c r="AR179" i="6"/>
  <c r="AP179" i="6"/>
  <c r="BX179" i="6" s="1"/>
  <c r="AO179" i="6"/>
  <c r="AL179" i="6"/>
  <c r="T179" i="6"/>
  <c r="L179" i="6"/>
  <c r="K179" i="6"/>
  <c r="J179" i="6"/>
  <c r="BT96" i="6"/>
  <c r="BH96" i="6"/>
  <c r="BG96" i="6"/>
  <c r="BF96" i="6"/>
  <c r="BA96" i="6"/>
  <c r="AZ96" i="6"/>
  <c r="AY96" i="6"/>
  <c r="AW96" i="6"/>
  <c r="CF96" i="6" s="1"/>
  <c r="CE96" i="6" s="1"/>
  <c r="AT96" i="6"/>
  <c r="AS96" i="6"/>
  <c r="AR96" i="6"/>
  <c r="AP96" i="6"/>
  <c r="BX96" i="6" s="1"/>
  <c r="AO96" i="6"/>
  <c r="AL96" i="6"/>
  <c r="U96" i="6"/>
  <c r="T96" i="6"/>
  <c r="L96" i="6"/>
  <c r="K96" i="6"/>
  <c r="CB96" i="6" s="1"/>
  <c r="BW93" i="6"/>
  <c r="BU93" i="6"/>
  <c r="BT93" i="6"/>
  <c r="BH93" i="6"/>
  <c r="BG93" i="6"/>
  <c r="BF93" i="6"/>
  <c r="BE93" i="6"/>
  <c r="BD93" i="6"/>
  <c r="BC93" i="6"/>
  <c r="BB93" i="6"/>
  <c r="BA93" i="6"/>
  <c r="AZ93" i="6"/>
  <c r="AY93" i="6"/>
  <c r="AW93" i="6"/>
  <c r="CF93" i="6" s="1"/>
  <c r="CE93" i="6" s="1"/>
  <c r="AT93" i="6"/>
  <c r="AS93" i="6"/>
  <c r="AR93" i="6"/>
  <c r="AP93" i="6"/>
  <c r="BX93" i="6" s="1"/>
  <c r="AO93" i="6"/>
  <c r="AL93" i="6"/>
  <c r="U93" i="6"/>
  <c r="T93" i="6"/>
  <c r="L93" i="6"/>
  <c r="BT91" i="6"/>
  <c r="BH91" i="6"/>
  <c r="BG91" i="6"/>
  <c r="BF91" i="6"/>
  <c r="BE91" i="6"/>
  <c r="BD91" i="6"/>
  <c r="BC91" i="6"/>
  <c r="BB91" i="6"/>
  <c r="BA91" i="6"/>
  <c r="AZ91" i="6"/>
  <c r="AY91" i="6"/>
  <c r="AW91" i="6"/>
  <c r="AU91" i="6" s="1"/>
  <c r="AT91" i="6"/>
  <c r="AS91" i="6"/>
  <c r="AR91" i="6"/>
  <c r="AP91" i="6"/>
  <c r="BX91" i="6" s="1"/>
  <c r="AO91" i="6"/>
  <c r="AL91" i="6"/>
  <c r="U91" i="6"/>
  <c r="T91" i="6"/>
  <c r="L91" i="6"/>
  <c r="BT80" i="6"/>
  <c r="BH80" i="6"/>
  <c r="BF80" i="6"/>
  <c r="BE80" i="6"/>
  <c r="BD80" i="6"/>
  <c r="BC80" i="6"/>
  <c r="BB80" i="6"/>
  <c r="BA80" i="6"/>
  <c r="AZ80" i="6"/>
  <c r="AY80" i="6"/>
  <c r="AW80" i="6"/>
  <c r="AT80" i="6"/>
  <c r="AS80" i="6"/>
  <c r="AR80" i="6"/>
  <c r="AP80" i="6"/>
  <c r="AO80" i="6"/>
  <c r="AL80" i="6"/>
  <c r="L80" i="6"/>
  <c r="K80" i="6"/>
  <c r="J80" i="6"/>
  <c r="BV60" i="6"/>
  <c r="BU60" i="6"/>
  <c r="BI60" i="6"/>
  <c r="BH60" i="6"/>
  <c r="BG60" i="6"/>
  <c r="BE60" i="6"/>
  <c r="BD60" i="6"/>
  <c r="BB60" i="6"/>
  <c r="BA60" i="6"/>
  <c r="AZ60" i="6"/>
  <c r="AY60" i="6"/>
  <c r="AX60" i="6"/>
  <c r="AW60" i="6"/>
  <c r="AV60" i="6"/>
  <c r="AT60" i="6"/>
  <c r="AS60" i="6"/>
  <c r="AR60" i="6"/>
  <c r="AP60" i="6"/>
  <c r="M60" i="6"/>
  <c r="K60" i="6"/>
  <c r="BV62" i="6"/>
  <c r="BU62" i="6"/>
  <c r="BI62" i="6"/>
  <c r="BH62" i="6"/>
  <c r="BG62" i="6"/>
  <c r="BE62" i="6"/>
  <c r="BD62" i="6"/>
  <c r="BC62" i="6"/>
  <c r="BB62" i="6"/>
  <c r="BA62" i="6"/>
  <c r="AZ62" i="6"/>
  <c r="AY62" i="6"/>
  <c r="AX62" i="6"/>
  <c r="AW62" i="6"/>
  <c r="CF62" i="6" s="1"/>
  <c r="AV62" i="6"/>
  <c r="AT62" i="6"/>
  <c r="AS62" i="6"/>
  <c r="AR62" i="6"/>
  <c r="AP62" i="6"/>
  <c r="U62" i="6"/>
  <c r="T62" i="6"/>
  <c r="M62" i="6"/>
  <c r="K62" i="6"/>
  <c r="BP256" i="4"/>
  <c r="BQ256" i="4"/>
  <c r="BR256" i="4"/>
  <c r="BS256" i="4"/>
  <c r="BT256" i="4"/>
  <c r="BU256" i="4"/>
  <c r="BV256" i="4"/>
  <c r="BW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T256" i="4"/>
  <c r="AS256" i="4"/>
  <c r="AR256" i="4"/>
  <c r="AQ256" i="4"/>
  <c r="AP256" i="4"/>
  <c r="AO256" i="4"/>
  <c r="AN256" i="4"/>
  <c r="AM256" i="4"/>
  <c r="AL256" i="4"/>
  <c r="AK256" i="4"/>
  <c r="AJ256" i="4"/>
  <c r="AG256" i="4"/>
  <c r="AF256" i="4"/>
  <c r="AE256" i="4"/>
  <c r="Y256" i="4"/>
  <c r="X256" i="4"/>
  <c r="W256" i="4"/>
  <c r="V256" i="4"/>
  <c r="S256" i="4"/>
  <c r="R256" i="4"/>
  <c r="Q256" i="4"/>
  <c r="P256" i="4"/>
  <c r="O256" i="4"/>
  <c r="N256" i="4"/>
  <c r="M256" i="4"/>
  <c r="L256" i="4"/>
  <c r="K256" i="4"/>
  <c r="J256" i="4"/>
  <c r="BI255" i="4"/>
  <c r="AN255" i="4"/>
  <c r="N255" i="4"/>
  <c r="AY252" i="4"/>
  <c r="AM252" i="4"/>
  <c r="G255" i="4"/>
  <c r="G252" i="4"/>
  <c r="G251" i="4"/>
  <c r="X255" i="4"/>
  <c r="Y255" i="4"/>
  <c r="AX254" i="4"/>
  <c r="AM253" i="4"/>
  <c r="AM254" i="4"/>
  <c r="BB254" i="4"/>
  <c r="BF254" i="4"/>
  <c r="T99" i="6"/>
  <c r="U99" i="6"/>
  <c r="AL108" i="6"/>
  <c r="U108" i="6"/>
  <c r="T108" i="6"/>
  <c r="BL259" i="4"/>
  <c r="J92" i="6"/>
  <c r="BJ259" i="4"/>
  <c r="BH92" i="6"/>
  <c r="BG92" i="6"/>
  <c r="BF92" i="6"/>
  <c r="BE92" i="6"/>
  <c r="BD92" i="6"/>
  <c r="BC92" i="6"/>
  <c r="BB92" i="6"/>
  <c r="BA92" i="6"/>
  <c r="AZ92" i="6"/>
  <c r="AW92" i="6"/>
  <c r="AT92" i="6"/>
  <c r="AS92" i="6"/>
  <c r="AR92" i="6"/>
  <c r="AP92" i="6"/>
  <c r="BX92" i="6" s="1"/>
  <c r="L92" i="6"/>
  <c r="AU122" i="6"/>
  <c r="AU123" i="6"/>
  <c r="AU125" i="6"/>
  <c r="AU112" i="6"/>
  <c r="AU116" i="6"/>
  <c r="AU97" i="6"/>
  <c r="AU99" i="6"/>
  <c r="AU100" i="6"/>
  <c r="AU101" i="6"/>
  <c r="AU102" i="6"/>
  <c r="AU104" i="6"/>
  <c r="AU105" i="6"/>
  <c r="AU106" i="6"/>
  <c r="AU107" i="6"/>
  <c r="AU108" i="6"/>
  <c r="AU109" i="6"/>
  <c r="AU82" i="6"/>
  <c r="AU72" i="6"/>
  <c r="AU74" i="6"/>
  <c r="AU75" i="6"/>
  <c r="AU76" i="6"/>
  <c r="AU77" i="6"/>
  <c r="AU78" i="6"/>
  <c r="AU79" i="6"/>
  <c r="AU166" i="6"/>
  <c r="AU169" i="6"/>
  <c r="AU170" i="6"/>
  <c r="AU172" i="6"/>
  <c r="AU181" i="6"/>
  <c r="AU182" i="6"/>
  <c r="AU117" i="6"/>
  <c r="AU259" i="4" s="1"/>
  <c r="AU118" i="6"/>
  <c r="AU171" i="6"/>
  <c r="AU173" i="6"/>
  <c r="AU177" i="6"/>
  <c r="AU178" i="6"/>
  <c r="AU63" i="6"/>
  <c r="AU65" i="6"/>
  <c r="AU66" i="6"/>
  <c r="AU69" i="6"/>
  <c r="AU81" i="6"/>
  <c r="AU73" i="6"/>
  <c r="AU174" i="6"/>
  <c r="AU180" i="6"/>
  <c r="AU64" i="6"/>
  <c r="AU67" i="6"/>
  <c r="AU68" i="6"/>
  <c r="AU71" i="6"/>
  <c r="AU114" i="6"/>
  <c r="AU119" i="6"/>
  <c r="AU98" i="6"/>
  <c r="AU175" i="6"/>
  <c r="AU61" i="6"/>
  <c r="AU70" i="6"/>
  <c r="BK259" i="4"/>
  <c r="AR122" i="6"/>
  <c r="AR123" i="6"/>
  <c r="AR125" i="6"/>
  <c r="AR112" i="6"/>
  <c r="AR114" i="6"/>
  <c r="AR116" i="6"/>
  <c r="AR117" i="6"/>
  <c r="AR259" i="4" s="1"/>
  <c r="BX117" i="6"/>
  <c r="BX259" i="4" s="1"/>
  <c r="AR118" i="6"/>
  <c r="BX118" i="6"/>
  <c r="AR119" i="6"/>
  <c r="AR97" i="6"/>
  <c r="BX97" i="6"/>
  <c r="AR98" i="6"/>
  <c r="AR99" i="6"/>
  <c r="AR100" i="6"/>
  <c r="AR101" i="6"/>
  <c r="AR102" i="6"/>
  <c r="AR104" i="6"/>
  <c r="AR105" i="6"/>
  <c r="AR106" i="6"/>
  <c r="AR107" i="6"/>
  <c r="L108" i="6"/>
  <c r="AP108" i="6"/>
  <c r="BX108" i="6" s="1"/>
  <c r="AR108" i="6"/>
  <c r="AR109" i="6"/>
  <c r="BX109" i="6"/>
  <c r="AR81" i="6"/>
  <c r="AR82" i="6"/>
  <c r="AR72" i="6"/>
  <c r="AR73" i="6"/>
  <c r="AR74" i="6"/>
  <c r="AR75" i="6"/>
  <c r="BX75" i="6"/>
  <c r="AR76" i="6"/>
  <c r="AR77" i="6"/>
  <c r="BX77" i="6"/>
  <c r="AR78" i="6"/>
  <c r="BX78" i="6"/>
  <c r="AR79" i="6"/>
  <c r="BX79" i="6"/>
  <c r="AR166" i="6"/>
  <c r="AR169" i="6"/>
  <c r="AR170" i="6"/>
  <c r="AR171" i="6"/>
  <c r="BX171" i="6"/>
  <c r="AR172" i="6"/>
  <c r="AR173" i="6"/>
  <c r="BX173" i="6"/>
  <c r="AR174" i="6"/>
  <c r="AR175" i="6"/>
  <c r="AR177" i="6"/>
  <c r="BX177" i="6"/>
  <c r="AR178" i="6"/>
  <c r="BX178" i="6"/>
  <c r="AR180" i="6"/>
  <c r="AR181" i="6"/>
  <c r="AR182" i="6"/>
  <c r="AR61" i="6"/>
  <c r="AR63" i="6"/>
  <c r="BX63" i="6"/>
  <c r="AR64" i="6"/>
  <c r="AR65" i="6"/>
  <c r="BX65" i="6"/>
  <c r="AR66" i="6"/>
  <c r="BX66" i="6"/>
  <c r="AR67" i="6"/>
  <c r="AR68" i="6"/>
  <c r="AR69" i="6"/>
  <c r="BX69" i="6"/>
  <c r="AR70" i="6"/>
  <c r="AR71" i="6"/>
  <c r="AU7" i="7"/>
  <c r="AU12" i="7"/>
  <c r="AU13" i="7"/>
  <c r="AU15" i="7"/>
  <c r="AU17" i="7"/>
  <c r="AU18" i="7"/>
  <c r="AU19" i="7"/>
  <c r="AU20" i="7"/>
  <c r="AU21" i="7"/>
  <c r="AU22" i="7"/>
  <c r="AU27" i="7"/>
  <c r="AU28" i="7"/>
  <c r="AU31" i="7"/>
  <c r="AU32" i="7"/>
  <c r="AU33" i="7"/>
  <c r="AU34" i="7"/>
  <c r="AU8" i="7"/>
  <c r="AU9" i="7"/>
  <c r="AU10" i="7"/>
  <c r="AU11" i="7"/>
  <c r="AU14" i="7"/>
  <c r="AU16" i="7"/>
  <c r="AU23" i="7"/>
  <c r="AU24" i="7"/>
  <c r="AU25" i="7"/>
  <c r="AU26" i="7"/>
  <c r="AU29" i="7"/>
  <c r="AU30" i="7"/>
  <c r="AU35" i="7"/>
  <c r="AR7" i="7"/>
  <c r="AR12" i="7"/>
  <c r="AR13" i="7"/>
  <c r="AR15" i="7"/>
  <c r="AR17" i="7"/>
  <c r="AR18" i="7"/>
  <c r="AR19" i="7"/>
  <c r="AR20" i="7"/>
  <c r="AR21" i="7"/>
  <c r="AR22" i="7"/>
  <c r="AR27" i="7"/>
  <c r="AR28" i="7"/>
  <c r="AR31" i="7"/>
  <c r="AR32" i="7"/>
  <c r="AR33" i="7"/>
  <c r="AR34" i="7"/>
  <c r="AR8" i="7"/>
  <c r="AR9" i="7"/>
  <c r="AR10" i="7"/>
  <c r="AR11" i="7"/>
  <c r="AR14" i="7"/>
  <c r="AR16" i="7"/>
  <c r="AR23" i="7"/>
  <c r="AR24" i="7"/>
  <c r="AR25" i="7"/>
  <c r="AR26" i="7"/>
  <c r="AR29" i="7"/>
  <c r="AR30" i="7"/>
  <c r="AR35" i="7"/>
  <c r="AD251" i="6" l="1"/>
  <c r="CC79" i="6"/>
  <c r="CD256" i="4"/>
  <c r="CC105" i="6"/>
  <c r="CD255" i="4"/>
  <c r="CC64" i="6"/>
  <c r="AD256" i="4"/>
  <c r="BX254" i="4"/>
  <c r="BX253" i="4"/>
  <c r="CE105" i="6"/>
  <c r="CF255" i="4"/>
  <c r="CB255" i="4"/>
  <c r="AC34" i="7"/>
  <c r="AI34" i="7" s="1"/>
  <c r="CY34" i="7" s="1"/>
  <c r="AC30" i="7"/>
  <c r="AI30" i="7" s="1"/>
  <c r="CZ30" i="7" s="1"/>
  <c r="AC26" i="7"/>
  <c r="AI26" i="7" s="1"/>
  <c r="DA26" i="7" s="1"/>
  <c r="AC22" i="7"/>
  <c r="AI22" i="7" s="1"/>
  <c r="DA22" i="7" s="1"/>
  <c r="AC18" i="7"/>
  <c r="AI18" i="7" s="1"/>
  <c r="CY18" i="7" s="1"/>
  <c r="AC14" i="7"/>
  <c r="AI14" i="7" s="1"/>
  <c r="CZ14" i="7" s="1"/>
  <c r="AC10" i="7"/>
  <c r="AI10" i="7" s="1"/>
  <c r="DA10" i="7" s="1"/>
  <c r="AC33" i="7"/>
  <c r="AI33" i="7" s="1"/>
  <c r="CY33" i="7" s="1"/>
  <c r="AC29" i="7"/>
  <c r="AI29" i="7" s="1"/>
  <c r="CZ29" i="7" s="1"/>
  <c r="AC25" i="7"/>
  <c r="AI25" i="7" s="1"/>
  <c r="DA25" i="7" s="1"/>
  <c r="AC21" i="7"/>
  <c r="AI21" i="7" s="1"/>
  <c r="CY21" i="7" s="1"/>
  <c r="AC17" i="7"/>
  <c r="AI17" i="7" s="1"/>
  <c r="DA17" i="7" s="1"/>
  <c r="AC13" i="7"/>
  <c r="AI13" i="7" s="1"/>
  <c r="CZ13" i="7" s="1"/>
  <c r="AC9" i="7"/>
  <c r="AI9" i="7" s="1"/>
  <c r="DA9" i="7" s="1"/>
  <c r="AC32" i="7"/>
  <c r="AI32" i="7" s="1"/>
  <c r="CY32" i="7" s="1"/>
  <c r="AC28" i="7"/>
  <c r="AI28" i="7" s="1"/>
  <c r="CY28" i="7" s="1"/>
  <c r="AC24" i="7"/>
  <c r="AI24" i="7" s="1"/>
  <c r="CZ24" i="7" s="1"/>
  <c r="AC20" i="7"/>
  <c r="AI20" i="7" s="1"/>
  <c r="DA20" i="7" s="1"/>
  <c r="AC16" i="7"/>
  <c r="AI16" i="7" s="1"/>
  <c r="CY16" i="7" s="1"/>
  <c r="AC12" i="7"/>
  <c r="AI12" i="7" s="1"/>
  <c r="CY12" i="7" s="1"/>
  <c r="AC35" i="7"/>
  <c r="AI35" i="7" s="1"/>
  <c r="CY35" i="7" s="1"/>
  <c r="AC31" i="7"/>
  <c r="AI31" i="7" s="1"/>
  <c r="CZ31" i="7" s="1"/>
  <c r="AC27" i="7"/>
  <c r="AI27" i="7" s="1"/>
  <c r="CZ27" i="7" s="1"/>
  <c r="AC23" i="7"/>
  <c r="AI23" i="7" s="1"/>
  <c r="DA23" i="7" s="1"/>
  <c r="AC19" i="7"/>
  <c r="AI19" i="7" s="1"/>
  <c r="CY19" i="7" s="1"/>
  <c r="AC15" i="7"/>
  <c r="AI15" i="7" s="1"/>
  <c r="CZ15" i="7" s="1"/>
  <c r="AC11" i="7"/>
  <c r="AI11" i="7" s="1"/>
  <c r="CZ11" i="7" s="1"/>
  <c r="AC182" i="6"/>
  <c r="AI182" i="6" s="1"/>
  <c r="CN182" i="6" s="1"/>
  <c r="AC177" i="6"/>
  <c r="AI177" i="6" s="1"/>
  <c r="CM177" i="6" s="1"/>
  <c r="AC118" i="6"/>
  <c r="AI118" i="6" s="1"/>
  <c r="CO118" i="6" s="1"/>
  <c r="AC101" i="6"/>
  <c r="AI101" i="6" s="1"/>
  <c r="CM101" i="6" s="1"/>
  <c r="AC96" i="6"/>
  <c r="AI96" i="6" s="1"/>
  <c r="CM96" i="6" s="1"/>
  <c r="AC79" i="6"/>
  <c r="AC75" i="6"/>
  <c r="AI75" i="6" s="1"/>
  <c r="CN75" i="6" s="1"/>
  <c r="AC82" i="6"/>
  <c r="AI82" i="6" s="1"/>
  <c r="CN82" i="6" s="1"/>
  <c r="AC70" i="6"/>
  <c r="AI70" i="6" s="1"/>
  <c r="CM70" i="6" s="1"/>
  <c r="AC66" i="6"/>
  <c r="AI66" i="6" s="1"/>
  <c r="CM66" i="6" s="1"/>
  <c r="AC62" i="6"/>
  <c r="AI62" i="6" s="1"/>
  <c r="CN62" i="6" s="1"/>
  <c r="AC97" i="6"/>
  <c r="AI97" i="6" s="1"/>
  <c r="CO97" i="6" s="1"/>
  <c r="AC181" i="6"/>
  <c r="AI181" i="6" s="1"/>
  <c r="CN181" i="6" s="1"/>
  <c r="AC176" i="6"/>
  <c r="AI176" i="6" s="1"/>
  <c r="CN176" i="6" s="1"/>
  <c r="AC170" i="6"/>
  <c r="AI170" i="6" s="1"/>
  <c r="CO170" i="6" s="1"/>
  <c r="AC125" i="6"/>
  <c r="AI125" i="6" s="1"/>
  <c r="AC109" i="6"/>
  <c r="AI109" i="6" s="1"/>
  <c r="CM109" i="6" s="1"/>
  <c r="AC105" i="6"/>
  <c r="AC100" i="6"/>
  <c r="AI100" i="6" s="1"/>
  <c r="CM100" i="6" s="1"/>
  <c r="AC93" i="6"/>
  <c r="AC78" i="6"/>
  <c r="AI78" i="6" s="1"/>
  <c r="CM78" i="6" s="1"/>
  <c r="AC74" i="6"/>
  <c r="AI74" i="6" s="1"/>
  <c r="CO74" i="6" s="1"/>
  <c r="AC81" i="6"/>
  <c r="AI81" i="6" s="1"/>
  <c r="CM81" i="6" s="1"/>
  <c r="AC69" i="6"/>
  <c r="AC252" i="6" s="1"/>
  <c r="AC65" i="6"/>
  <c r="AI65" i="6" s="1"/>
  <c r="AC179" i="6"/>
  <c r="AI179" i="6" s="1"/>
  <c r="CO179" i="6" s="1"/>
  <c r="AC173" i="6"/>
  <c r="AI173" i="6" s="1"/>
  <c r="CN173" i="6" s="1"/>
  <c r="AC180" i="6"/>
  <c r="AI180" i="6" s="1"/>
  <c r="CN180" i="6" s="1"/>
  <c r="AC175" i="6"/>
  <c r="AI175" i="6" s="1"/>
  <c r="CM175" i="6" s="1"/>
  <c r="AC169" i="6"/>
  <c r="AI169" i="6" s="1"/>
  <c r="CN169" i="6" s="1"/>
  <c r="AC116" i="6"/>
  <c r="AI116" i="6" s="1"/>
  <c r="AC123" i="6"/>
  <c r="AI123" i="6" s="1"/>
  <c r="CN123" i="6" s="1"/>
  <c r="AC108" i="6"/>
  <c r="AI108" i="6" s="1"/>
  <c r="CO108" i="6" s="1"/>
  <c r="AC104" i="6"/>
  <c r="AI104" i="6" s="1"/>
  <c r="CN104" i="6" s="1"/>
  <c r="AC99" i="6"/>
  <c r="AI99" i="6" s="1"/>
  <c r="CM99" i="6" s="1"/>
  <c r="AC77" i="6"/>
  <c r="AI77" i="6" s="1"/>
  <c r="CM77" i="6" s="1"/>
  <c r="AC73" i="6"/>
  <c r="AI73" i="6" s="1"/>
  <c r="AC68" i="6"/>
  <c r="AI68" i="6" s="1"/>
  <c r="CM68" i="6" s="1"/>
  <c r="AC64" i="6"/>
  <c r="AC253" i="6" s="1"/>
  <c r="AC183" i="6"/>
  <c r="AI183" i="6" s="1"/>
  <c r="CN183" i="6" s="1"/>
  <c r="AC174" i="6"/>
  <c r="AI174" i="6" s="1"/>
  <c r="CN174" i="6" s="1"/>
  <c r="AC166" i="6"/>
  <c r="AI166" i="6" s="1"/>
  <c r="CO166" i="6" s="1"/>
  <c r="AC114" i="6"/>
  <c r="AI114" i="6" s="1"/>
  <c r="CN114" i="6" s="1"/>
  <c r="AC122" i="6"/>
  <c r="AI122" i="6" s="1"/>
  <c r="CM122" i="6" s="1"/>
  <c r="AC107" i="6"/>
  <c r="AI107" i="6" s="1"/>
  <c r="CN107" i="6" s="1"/>
  <c r="AC91" i="6"/>
  <c r="AI91" i="6" s="1"/>
  <c r="CO91" i="6" s="1"/>
  <c r="BD253" i="4"/>
  <c r="AR252" i="4"/>
  <c r="BG253" i="4"/>
  <c r="AP253" i="4"/>
  <c r="AY251" i="4"/>
  <c r="CW250" i="7"/>
  <c r="AW253" i="4"/>
  <c r="BA253" i="4"/>
  <c r="S253" i="4"/>
  <c r="AS253" i="4"/>
  <c r="AX253" i="4"/>
  <c r="BB253" i="4"/>
  <c r="BH253" i="4"/>
  <c r="T60" i="6"/>
  <c r="T253" i="6" s="1"/>
  <c r="N253" i="4"/>
  <c r="O253" i="4"/>
  <c r="AQ253" i="4"/>
  <c r="AZ253" i="4"/>
  <c r="BE253" i="4"/>
  <c r="G250" i="7"/>
  <c r="CV250" i="7"/>
  <c r="BJ252" i="4"/>
  <c r="BX252" i="4"/>
  <c r="AC117" i="6"/>
  <c r="AD259" i="4"/>
  <c r="CC117" i="6"/>
  <c r="CC259" i="4" s="1"/>
  <c r="CD259" i="4"/>
  <c r="AR253" i="7"/>
  <c r="AR254" i="7"/>
  <c r="AR248" i="7"/>
  <c r="U173" i="6"/>
  <c r="R252" i="4"/>
  <c r="U60" i="6"/>
  <c r="U253" i="6" s="1"/>
  <c r="T80" i="6"/>
  <c r="T251" i="6" s="1"/>
  <c r="S252" i="4"/>
  <c r="U179" i="6"/>
  <c r="U251" i="6" s="1"/>
  <c r="T173" i="6"/>
  <c r="T252" i="6" s="1"/>
  <c r="N252" i="4"/>
  <c r="U80" i="6"/>
  <c r="CT34" i="7"/>
  <c r="CC80" i="6"/>
  <c r="AC61" i="6"/>
  <c r="AC80" i="6"/>
  <c r="AC60" i="6"/>
  <c r="BC248" i="6"/>
  <c r="CB60" i="6"/>
  <c r="K248" i="6"/>
  <c r="CF60" i="6"/>
  <c r="AW248" i="6"/>
  <c r="BA248" i="6"/>
  <c r="BG248" i="6"/>
  <c r="BV248" i="6"/>
  <c r="AL248" i="6"/>
  <c r="BS248" i="6"/>
  <c r="BD252" i="4"/>
  <c r="AG248" i="6"/>
  <c r="CA248" i="6"/>
  <c r="AU96" i="6"/>
  <c r="AR255" i="4"/>
  <c r="M248" i="6"/>
  <c r="AS248" i="6"/>
  <c r="AX248" i="6"/>
  <c r="BB248" i="6"/>
  <c r="BH248" i="6"/>
  <c r="J248" i="6"/>
  <c r="AO248" i="6"/>
  <c r="BT248" i="6"/>
  <c r="O252" i="4"/>
  <c r="BE252" i="4"/>
  <c r="O248" i="6"/>
  <c r="BD248" i="6"/>
  <c r="AP248" i="6"/>
  <c r="AT248" i="6"/>
  <c r="AY248" i="6"/>
  <c r="BI248" i="6"/>
  <c r="P248" i="6"/>
  <c r="BE248" i="6"/>
  <c r="AF248" i="6"/>
  <c r="AR248" i="6"/>
  <c r="AQ248" i="6"/>
  <c r="CD60" i="6"/>
  <c r="AV248" i="6"/>
  <c r="AZ248" i="6"/>
  <c r="BU248" i="6"/>
  <c r="L248" i="6"/>
  <c r="BF248" i="6"/>
  <c r="BW248" i="6"/>
  <c r="S248" i="6"/>
  <c r="AD119" i="6"/>
  <c r="AF254" i="4"/>
  <c r="AC172" i="6"/>
  <c r="AI172" i="6" s="1"/>
  <c r="CO172" i="6" s="1"/>
  <c r="CK254" i="4"/>
  <c r="BL255" i="4"/>
  <c r="BX255" i="4"/>
  <c r="BK255" i="4"/>
  <c r="CJ254" i="4"/>
  <c r="CQ8" i="7"/>
  <c r="CR253" i="7"/>
  <c r="AC7" i="7"/>
  <c r="AD254" i="7"/>
  <c r="AD248" i="7"/>
  <c r="AC8" i="7"/>
  <c r="AD253" i="7"/>
  <c r="BO248" i="7"/>
  <c r="BN248" i="7"/>
  <c r="CP253" i="7"/>
  <c r="BM248" i="7"/>
  <c r="CO7" i="7"/>
  <c r="CP254" i="7"/>
  <c r="CP248" i="7"/>
  <c r="CN254" i="7"/>
  <c r="CN248" i="7"/>
  <c r="CN253" i="7"/>
  <c r="AU253" i="7"/>
  <c r="AU248" i="7"/>
  <c r="AU254" i="7"/>
  <c r="CR254" i="7"/>
  <c r="CR248" i="7"/>
  <c r="BJ255" i="4"/>
  <c r="AU255" i="4"/>
  <c r="CE63" i="6"/>
  <c r="CC63" i="6"/>
  <c r="CG93" i="6"/>
  <c r="CG105" i="6"/>
  <c r="AL254" i="4"/>
  <c r="AQ254" i="4"/>
  <c r="AW254" i="4"/>
  <c r="BA254" i="4"/>
  <c r="BE254" i="4"/>
  <c r="BI254" i="4"/>
  <c r="J253" i="4"/>
  <c r="BW253" i="4"/>
  <c r="AN254" i="4"/>
  <c r="AS254" i="4"/>
  <c r="BJ254" i="4"/>
  <c r="CS9" i="7"/>
  <c r="CH70" i="6"/>
  <c r="AU120" i="6"/>
  <c r="CB179" i="6"/>
  <c r="CA254" i="4"/>
  <c r="CH166" i="6"/>
  <c r="AO253" i="4"/>
  <c r="R254" i="4"/>
  <c r="CT19" i="7"/>
  <c r="CT32" i="7"/>
  <c r="AF253" i="4"/>
  <c r="L254" i="4"/>
  <c r="P254" i="4"/>
  <c r="CT35" i="7"/>
  <c r="L253" i="4"/>
  <c r="M254" i="4"/>
  <c r="Q254" i="4"/>
  <c r="CS11" i="7"/>
  <c r="CG109" i="6"/>
  <c r="CC81" i="6"/>
  <c r="CG81" i="6" s="1"/>
  <c r="CH81" i="6"/>
  <c r="CH98" i="6"/>
  <c r="BK253" i="4"/>
  <c r="J254" i="4"/>
  <c r="AG254" i="4"/>
  <c r="BU254" i="4"/>
  <c r="CH105" i="6"/>
  <c r="CG102" i="6"/>
  <c r="BQ254" i="4"/>
  <c r="BP253" i="4"/>
  <c r="AM250" i="4"/>
  <c r="CH174" i="6"/>
  <c r="CH109" i="6"/>
  <c r="CT26" i="7"/>
  <c r="CT20" i="7"/>
  <c r="CT18" i="7"/>
  <c r="CT28" i="7"/>
  <c r="CT33" i="7"/>
  <c r="CT22" i="7"/>
  <c r="CT24" i="7"/>
  <c r="BF253" i="4"/>
  <c r="BT253" i="4"/>
  <c r="AE254" i="4"/>
  <c r="AP254" i="4"/>
  <c r="AV254" i="4"/>
  <c r="AZ254" i="4"/>
  <c r="BD254" i="4"/>
  <c r="BH254" i="4"/>
  <c r="BL254" i="4"/>
  <c r="BS254" i="4"/>
  <c r="BW254" i="4"/>
  <c r="CS13" i="7"/>
  <c r="G254" i="4"/>
  <c r="CT23" i="7"/>
  <c r="CT21" i="7"/>
  <c r="CT11" i="7"/>
  <c r="CT27" i="7"/>
  <c r="CT9" i="7"/>
  <c r="CT25" i="7"/>
  <c r="CT7" i="7"/>
  <c r="P253" i="4"/>
  <c r="CT15" i="7"/>
  <c r="CT31" i="7"/>
  <c r="CT13" i="7"/>
  <c r="CT29" i="7"/>
  <c r="CQ7" i="7"/>
  <c r="CT30" i="7"/>
  <c r="BS253" i="4"/>
  <c r="N254" i="4"/>
  <c r="V254" i="4"/>
  <c r="AJ254" i="4"/>
  <c r="BV254" i="4"/>
  <c r="CS32" i="7"/>
  <c r="CS30" i="7"/>
  <c r="CS28" i="7"/>
  <c r="CS26" i="7"/>
  <c r="CS24" i="7"/>
  <c r="CS22" i="7"/>
  <c r="CS20" i="7"/>
  <c r="CS18" i="7"/>
  <c r="CT17" i="7"/>
  <c r="AK253" i="4"/>
  <c r="CC179" i="6"/>
  <c r="CC116" i="6"/>
  <c r="CG116" i="6" s="1"/>
  <c r="CH116" i="6"/>
  <c r="CC112" i="6"/>
  <c r="CG112" i="6" s="1"/>
  <c r="CH112" i="6"/>
  <c r="AU93" i="6"/>
  <c r="CH99" i="6"/>
  <c r="CE122" i="6"/>
  <c r="CG122" i="6" s="1"/>
  <c r="CH122" i="6"/>
  <c r="CE74" i="6"/>
  <c r="CG74" i="6" s="1"/>
  <c r="CH74" i="6"/>
  <c r="CC61" i="6"/>
  <c r="CH61" i="6"/>
  <c r="AC103" i="6"/>
  <c r="AI103" i="6" s="1"/>
  <c r="CN103" i="6" s="1"/>
  <c r="CF176" i="6"/>
  <c r="CH176" i="6" s="1"/>
  <c r="AU176" i="6"/>
  <c r="AU92" i="6"/>
  <c r="CF92" i="6"/>
  <c r="CE92" i="6" s="1"/>
  <c r="CG92" i="6" s="1"/>
  <c r="CH177" i="6"/>
  <c r="CG169" i="6"/>
  <c r="CH77" i="6"/>
  <c r="CC77" i="6"/>
  <c r="CG77" i="6" s="1"/>
  <c r="AU60" i="6"/>
  <c r="CF103" i="6"/>
  <c r="CE103" i="6" s="1"/>
  <c r="CG103" i="6" s="1"/>
  <c r="AU103" i="6"/>
  <c r="CH73" i="6"/>
  <c r="CF179" i="6"/>
  <c r="CE179" i="6" s="1"/>
  <c r="CH169" i="6"/>
  <c r="AN250" i="4"/>
  <c r="CG166" i="6"/>
  <c r="CH100" i="6"/>
  <c r="CC100" i="6"/>
  <c r="CG100" i="6" s="1"/>
  <c r="CC98" i="6"/>
  <c r="CG98" i="6" s="1"/>
  <c r="CG96" i="6"/>
  <c r="CE79" i="6"/>
  <c r="CH79" i="6"/>
  <c r="CC72" i="6"/>
  <c r="CG72" i="6" s="1"/>
  <c r="CH72" i="6"/>
  <c r="AO254" i="4"/>
  <c r="AT254" i="4"/>
  <c r="AY254" i="4"/>
  <c r="BC254" i="4"/>
  <c r="BG254" i="4"/>
  <c r="BK254" i="4"/>
  <c r="CB176" i="6"/>
  <c r="CH180" i="6"/>
  <c r="CH171" i="6"/>
  <c r="CH118" i="6"/>
  <c r="CH67" i="6"/>
  <c r="CH65" i="6"/>
  <c r="BR254" i="4"/>
  <c r="CH178" i="6"/>
  <c r="CH119" i="6"/>
  <c r="CH63" i="6"/>
  <c r="CH120" i="6"/>
  <c r="CE120" i="6"/>
  <c r="CG120" i="6" s="1"/>
  <c r="CE101" i="6"/>
  <c r="CG101" i="6" s="1"/>
  <c r="CH101" i="6"/>
  <c r="CE78" i="6"/>
  <c r="CG78" i="6" s="1"/>
  <c r="CH78" i="6"/>
  <c r="CF80" i="6"/>
  <c r="CF256" i="4" s="1"/>
  <c r="AU80" i="6"/>
  <c r="AU256" i="4" s="1"/>
  <c r="CC106" i="6"/>
  <c r="CG106" i="6" s="1"/>
  <c r="CH106" i="6"/>
  <c r="AN251" i="4"/>
  <c r="BQ253" i="4"/>
  <c r="CH117" i="6"/>
  <c r="CH259" i="4" s="1"/>
  <c r="CE117" i="6"/>
  <c r="CE259" i="4" s="1"/>
  <c r="CE64" i="6"/>
  <c r="CH64" i="6"/>
  <c r="CE75" i="6"/>
  <c r="CG75" i="6" s="1"/>
  <c r="CH75" i="6"/>
  <c r="CH102" i="6"/>
  <c r="CH69" i="6"/>
  <c r="CC180" i="6"/>
  <c r="CG180" i="6" s="1"/>
  <c r="CE170" i="6"/>
  <c r="CG170" i="6" s="1"/>
  <c r="CH170" i="6"/>
  <c r="CC76" i="6"/>
  <c r="CG76" i="6" s="1"/>
  <c r="CH76" i="6"/>
  <c r="AC102" i="6"/>
  <c r="AI102" i="6" s="1"/>
  <c r="CN102" i="6" s="1"/>
  <c r="AC98" i="6"/>
  <c r="AI98" i="6" s="1"/>
  <c r="CN98" i="6" s="1"/>
  <c r="AC76" i="6"/>
  <c r="AI76" i="6" s="1"/>
  <c r="CM76" i="6" s="1"/>
  <c r="AC72" i="6"/>
  <c r="AI72" i="6" s="1"/>
  <c r="CN72" i="6" s="1"/>
  <c r="AC71" i="6"/>
  <c r="AI71" i="6" s="1"/>
  <c r="AC67" i="6"/>
  <c r="AC63" i="6"/>
  <c r="CC107" i="6"/>
  <c r="CG107" i="6" s="1"/>
  <c r="CH107" i="6"/>
  <c r="CE97" i="6"/>
  <c r="CG97" i="6" s="1"/>
  <c r="CH97" i="6"/>
  <c r="CA253" i="4"/>
  <c r="K254" i="4"/>
  <c r="O254" i="4"/>
  <c r="S254" i="4"/>
  <c r="AK254" i="4"/>
  <c r="BP254" i="4"/>
  <c r="CB103" i="6"/>
  <c r="CH71" i="6"/>
  <c r="BY254" i="4"/>
  <c r="BY253" i="4"/>
  <c r="CC125" i="6"/>
  <c r="CG125" i="6" s="1"/>
  <c r="CH125" i="6"/>
  <c r="CC68" i="6"/>
  <c r="CG68" i="6" s="1"/>
  <c r="CH68" i="6"/>
  <c r="CC66" i="6"/>
  <c r="CG66" i="6" s="1"/>
  <c r="CH66" i="6"/>
  <c r="CB183" i="6"/>
  <c r="AC178" i="6"/>
  <c r="AI178" i="6" s="1"/>
  <c r="CN178" i="6" s="1"/>
  <c r="AC112" i="6"/>
  <c r="AI112" i="6" s="1"/>
  <c r="CM112" i="6" s="1"/>
  <c r="AC120" i="6"/>
  <c r="AI120" i="6" s="1"/>
  <c r="CO120" i="6" s="1"/>
  <c r="AC106" i="6"/>
  <c r="AI106" i="6" s="1"/>
  <c r="CN106" i="6" s="1"/>
  <c r="AD255" i="4"/>
  <c r="AC92" i="6"/>
  <c r="AI92" i="6" s="1"/>
  <c r="CN92" i="6" s="1"/>
  <c r="CH93" i="6"/>
  <c r="CG99" i="6"/>
  <c r="AC171" i="6"/>
  <c r="AI171" i="6" s="1"/>
  <c r="CM171" i="6" s="1"/>
  <c r="Q253" i="4"/>
  <c r="AE253" i="4"/>
  <c r="AL253" i="4"/>
  <c r="BL253" i="4"/>
  <c r="W255" i="4"/>
  <c r="CF91" i="6"/>
  <c r="AU62" i="6"/>
  <c r="CD62" i="6"/>
  <c r="CB62" i="6"/>
  <c r="CB80" i="6"/>
  <c r="CB256" i="4" s="1"/>
  <c r="BX80" i="6"/>
  <c r="BX256" i="4" s="1"/>
  <c r="AU183" i="6"/>
  <c r="CF183" i="6"/>
  <c r="AE251" i="4"/>
  <c r="X254" i="4"/>
  <c r="W254" i="4"/>
  <c r="Y254" i="4"/>
  <c r="CH96" i="6"/>
  <c r="CC181" i="6"/>
  <c r="CG181" i="6" s="1"/>
  <c r="CH181" i="6"/>
  <c r="CE172" i="6"/>
  <c r="CG172" i="6" s="1"/>
  <c r="CH172" i="6"/>
  <c r="CE123" i="6"/>
  <c r="CG123" i="6" s="1"/>
  <c r="CH123" i="6"/>
  <c r="CC108" i="6"/>
  <c r="CG108" i="6" s="1"/>
  <c r="CH108" i="6"/>
  <c r="CC104" i="6"/>
  <c r="CG104" i="6" s="1"/>
  <c r="CH104" i="6"/>
  <c r="CC82" i="6"/>
  <c r="CG82" i="6" s="1"/>
  <c r="CH82" i="6"/>
  <c r="CG70" i="6"/>
  <c r="CO14" i="7"/>
  <c r="CS14" i="7" s="1"/>
  <c r="CT14" i="7"/>
  <c r="CO12" i="7"/>
  <c r="CS12" i="7" s="1"/>
  <c r="CT12" i="7"/>
  <c r="CO10" i="7"/>
  <c r="CS10" i="7" s="1"/>
  <c r="CT10" i="7"/>
  <c r="CO8" i="7"/>
  <c r="CT8" i="7"/>
  <c r="AN253" i="4"/>
  <c r="AJ253" i="4"/>
  <c r="AG253" i="4"/>
  <c r="BY252" i="4"/>
  <c r="CH182" i="6"/>
  <c r="CC182" i="6"/>
  <c r="CG182" i="6" s="1"/>
  <c r="CH175" i="6"/>
  <c r="CC175" i="6"/>
  <c r="CG175" i="6" s="1"/>
  <c r="CH173" i="6"/>
  <c r="CC119" i="6"/>
  <c r="CG119" i="6" s="1"/>
  <c r="CH114" i="6"/>
  <c r="G253" i="4"/>
  <c r="CC178" i="6"/>
  <c r="CG178" i="6" s="1"/>
  <c r="CG171" i="6"/>
  <c r="BZ254" i="4"/>
  <c r="CB91" i="6"/>
  <c r="CS33" i="7"/>
  <c r="CS31" i="7"/>
  <c r="CS29" i="7"/>
  <c r="CS27" i="7"/>
  <c r="CS25" i="7"/>
  <c r="CS23" i="7"/>
  <c r="CS21" i="7"/>
  <c r="CS19" i="7"/>
  <c r="CS17" i="7"/>
  <c r="BZ253" i="4"/>
  <c r="CT16" i="7"/>
  <c r="CS15" i="7"/>
  <c r="BR253" i="4"/>
  <c r="CQ16" i="7"/>
  <c r="Q250" i="4"/>
  <c r="U254" i="4" l="1"/>
  <c r="U252" i="6"/>
  <c r="AC251" i="6"/>
  <c r="CN71" i="6"/>
  <c r="AI252" i="6"/>
  <c r="AD250" i="6"/>
  <c r="CB250" i="6"/>
  <c r="BX250" i="6"/>
  <c r="CE252" i="4"/>
  <c r="CC256" i="4"/>
  <c r="CG79" i="6"/>
  <c r="AU252" i="4"/>
  <c r="CD252" i="4"/>
  <c r="U256" i="4"/>
  <c r="AD252" i="4"/>
  <c r="AI105" i="6"/>
  <c r="CN105" i="6" s="1"/>
  <c r="AI79" i="6"/>
  <c r="AC256" i="4"/>
  <c r="CF253" i="4"/>
  <c r="CH255" i="4"/>
  <c r="CF252" i="4"/>
  <c r="AI64" i="6"/>
  <c r="CB252" i="4"/>
  <c r="T256" i="4"/>
  <c r="T254" i="4"/>
  <c r="AI69" i="6"/>
  <c r="CN69" i="6" s="1"/>
  <c r="AC252" i="4"/>
  <c r="AI67" i="6"/>
  <c r="CO67" i="6" s="1"/>
  <c r="CM73" i="6"/>
  <c r="CN65" i="6"/>
  <c r="AI93" i="6"/>
  <c r="CO125" i="6"/>
  <c r="CY17" i="7"/>
  <c r="CY23" i="7"/>
  <c r="CZ17" i="7"/>
  <c r="CY24" i="7"/>
  <c r="CZ22" i="7"/>
  <c r="DA28" i="7"/>
  <c r="CY22" i="7"/>
  <c r="CY31" i="7"/>
  <c r="DA19" i="7"/>
  <c r="DA35" i="7"/>
  <c r="CZ9" i="7"/>
  <c r="DA33" i="7"/>
  <c r="CZ19" i="7"/>
  <c r="CZ12" i="7"/>
  <c r="CY13" i="7"/>
  <c r="CZ33" i="7"/>
  <c r="CZ25" i="7"/>
  <c r="CZ35" i="7"/>
  <c r="CY29" i="7"/>
  <c r="CY14" i="7"/>
  <c r="CY30" i="7"/>
  <c r="CY15" i="7"/>
  <c r="CZ23" i="7"/>
  <c r="DA12" i="7"/>
  <c r="CZ28" i="7"/>
  <c r="DA34" i="7"/>
  <c r="CZ20" i="7"/>
  <c r="DA18" i="7"/>
  <c r="CO103" i="6"/>
  <c r="CN74" i="6"/>
  <c r="CM102" i="6"/>
  <c r="CO106" i="6"/>
  <c r="CM170" i="6"/>
  <c r="CO66" i="6"/>
  <c r="CN177" i="6"/>
  <c r="CO104" i="6"/>
  <c r="CM179" i="6"/>
  <c r="CO176" i="6"/>
  <c r="CN66" i="6"/>
  <c r="CN172" i="6"/>
  <c r="CM104" i="6"/>
  <c r="CN179" i="6"/>
  <c r="CN91" i="6"/>
  <c r="CO79" i="6"/>
  <c r="CN166" i="6"/>
  <c r="CO169" i="6"/>
  <c r="CO100" i="6"/>
  <c r="CN81" i="6"/>
  <c r="CM176" i="6"/>
  <c r="CO102" i="6"/>
  <c r="CM75" i="6"/>
  <c r="CO177" i="6"/>
  <c r="CM71" i="6"/>
  <c r="CM103" i="6"/>
  <c r="CM74" i="6"/>
  <c r="CM114" i="6"/>
  <c r="CN68" i="6"/>
  <c r="CM169" i="6"/>
  <c r="DA16" i="7"/>
  <c r="DA32" i="7"/>
  <c r="DA21" i="7"/>
  <c r="CZ10" i="7"/>
  <c r="CZ26" i="7"/>
  <c r="CY11" i="7"/>
  <c r="DA15" i="7"/>
  <c r="CY27" i="7"/>
  <c r="DA31" i="7"/>
  <c r="CZ16" i="7"/>
  <c r="CY20" i="7"/>
  <c r="CZ32" i="7"/>
  <c r="CZ21" i="7"/>
  <c r="CY10" i="7"/>
  <c r="CY26" i="7"/>
  <c r="DA11" i="7"/>
  <c r="DA27" i="7"/>
  <c r="DA24" i="7"/>
  <c r="CY9" i="7"/>
  <c r="DA13" i="7"/>
  <c r="CY25" i="7"/>
  <c r="DA29" i="7"/>
  <c r="DA14" i="7"/>
  <c r="CZ18" i="7"/>
  <c r="DA30" i="7"/>
  <c r="CZ34" i="7"/>
  <c r="CN96" i="6"/>
  <c r="CM107" i="6"/>
  <c r="CM72" i="6"/>
  <c r="CO73" i="6"/>
  <c r="CM174" i="6"/>
  <c r="CM106" i="6"/>
  <c r="CO71" i="6"/>
  <c r="CN73" i="6"/>
  <c r="CO175" i="6"/>
  <c r="CM65" i="6"/>
  <c r="CO78" i="6"/>
  <c r="CO109" i="6"/>
  <c r="CO181" i="6"/>
  <c r="CM91" i="6"/>
  <c r="CO62" i="6"/>
  <c r="CN70" i="6"/>
  <c r="CM120" i="6"/>
  <c r="CM182" i="6"/>
  <c r="CO107" i="6"/>
  <c r="CM166" i="6"/>
  <c r="CO68" i="6"/>
  <c r="CO99" i="6"/>
  <c r="CN108" i="6"/>
  <c r="CN175" i="6"/>
  <c r="CM125" i="6"/>
  <c r="CM97" i="6"/>
  <c r="CO122" i="6"/>
  <c r="CN112" i="6"/>
  <c r="CO76" i="6"/>
  <c r="CN77" i="6"/>
  <c r="CO81" i="6"/>
  <c r="CN100" i="6"/>
  <c r="CN125" i="6"/>
  <c r="CN170" i="6"/>
  <c r="CN97" i="6"/>
  <c r="CN122" i="6"/>
  <c r="CM183" i="6"/>
  <c r="CM62" i="6"/>
  <c r="CM82" i="6"/>
  <c r="CO75" i="6"/>
  <c r="CO101" i="6"/>
  <c r="CN120" i="6"/>
  <c r="CM118" i="6"/>
  <c r="CO171" i="6"/>
  <c r="CO98" i="6"/>
  <c r="CO114" i="6"/>
  <c r="CM178" i="6"/>
  <c r="CO92" i="6"/>
  <c r="CN99" i="6"/>
  <c r="CO123" i="6"/>
  <c r="CO173" i="6"/>
  <c r="CO65" i="6"/>
  <c r="CN78" i="6"/>
  <c r="CN109" i="6"/>
  <c r="CM181" i="6"/>
  <c r="CO72" i="6"/>
  <c r="CO174" i="6"/>
  <c r="CO183" i="6"/>
  <c r="CO70" i="6"/>
  <c r="CO82" i="6"/>
  <c r="CO96" i="6"/>
  <c r="CN101" i="6"/>
  <c r="CO112" i="6"/>
  <c r="CN118" i="6"/>
  <c r="CN171" i="6"/>
  <c r="CO182" i="6"/>
  <c r="CM172" i="6"/>
  <c r="CN76" i="6"/>
  <c r="CM98" i="6"/>
  <c r="CO178" i="6"/>
  <c r="CO77" i="6"/>
  <c r="CM92" i="6"/>
  <c r="CM108" i="6"/>
  <c r="CM123" i="6"/>
  <c r="CM180" i="6"/>
  <c r="CM173" i="6"/>
  <c r="CO180" i="6"/>
  <c r="CN116" i="6"/>
  <c r="CO116" i="6"/>
  <c r="CM116" i="6"/>
  <c r="CN250" i="7"/>
  <c r="CP250" i="7"/>
  <c r="AT250" i="4"/>
  <c r="AC119" i="6"/>
  <c r="AI119" i="6" s="1"/>
  <c r="CM119" i="6" s="1"/>
  <c r="BD250" i="4"/>
  <c r="BH250" i="4"/>
  <c r="K250" i="4"/>
  <c r="AT253" i="4"/>
  <c r="BG250" i="4"/>
  <c r="AY250" i="4"/>
  <c r="BV250" i="4"/>
  <c r="BA250" i="4"/>
  <c r="AP250" i="4"/>
  <c r="S250" i="4"/>
  <c r="AQ250" i="4"/>
  <c r="K253" i="4"/>
  <c r="BB250" i="4"/>
  <c r="R253" i="4"/>
  <c r="O250" i="4"/>
  <c r="AZ250" i="4"/>
  <c r="AW250" i="4"/>
  <c r="AS250" i="4"/>
  <c r="N250" i="4"/>
  <c r="AX250" i="4"/>
  <c r="BJ250" i="4"/>
  <c r="BE250" i="4"/>
  <c r="AU250" i="7"/>
  <c r="CR250" i="7"/>
  <c r="AR250" i="7"/>
  <c r="AD250" i="7"/>
  <c r="AI117" i="6"/>
  <c r="AC259" i="4"/>
  <c r="CB253" i="4"/>
  <c r="AI80" i="6"/>
  <c r="AF251" i="4"/>
  <c r="AF250" i="4"/>
  <c r="AX251" i="4"/>
  <c r="BH251" i="4"/>
  <c r="W250" i="4"/>
  <c r="BB251" i="4"/>
  <c r="O251" i="4"/>
  <c r="BU251" i="4"/>
  <c r="T253" i="4"/>
  <c r="T248" i="6"/>
  <c r="U253" i="4"/>
  <c r="U248" i="6"/>
  <c r="BC251" i="4"/>
  <c r="V253" i="4"/>
  <c r="V248" i="6"/>
  <c r="AF252" i="4"/>
  <c r="AR251" i="4"/>
  <c r="AS251" i="4"/>
  <c r="V251" i="4"/>
  <c r="CC60" i="6"/>
  <c r="CG61" i="6"/>
  <c r="AI61" i="6"/>
  <c r="AI254" i="6" s="1"/>
  <c r="BX248" i="6"/>
  <c r="AI60" i="6"/>
  <c r="AD253" i="4"/>
  <c r="BK252" i="4"/>
  <c r="BL252" i="4"/>
  <c r="BU250" i="4"/>
  <c r="AY253" i="4"/>
  <c r="P251" i="4"/>
  <c r="CH60" i="6"/>
  <c r="BW251" i="4"/>
  <c r="AD248" i="6"/>
  <c r="R250" i="4"/>
  <c r="BE251" i="4"/>
  <c r="BU253" i="4"/>
  <c r="BS251" i="4"/>
  <c r="BC253" i="4"/>
  <c r="AG251" i="4"/>
  <c r="BV251" i="4"/>
  <c r="W248" i="6"/>
  <c r="AU248" i="6"/>
  <c r="CB248" i="6"/>
  <c r="CD248" i="6"/>
  <c r="CF248" i="6"/>
  <c r="BM251" i="4"/>
  <c r="Y248" i="6"/>
  <c r="BP251" i="4"/>
  <c r="X248" i="6"/>
  <c r="CT254" i="7"/>
  <c r="CT248" i="7"/>
  <c r="CO254" i="7"/>
  <c r="CO248" i="7"/>
  <c r="AC254" i="7"/>
  <c r="AC248" i="7"/>
  <c r="CQ248" i="7"/>
  <c r="CQ254" i="7"/>
  <c r="AI8" i="7"/>
  <c r="AC253" i="7"/>
  <c r="CT253" i="7"/>
  <c r="AI7" i="7"/>
  <c r="CQ253" i="7"/>
  <c r="CQ250" i="7" s="1"/>
  <c r="CS8" i="7"/>
  <c r="CO253" i="7"/>
  <c r="CO250" i="7" s="1"/>
  <c r="BJ251" i="4"/>
  <c r="W252" i="4"/>
  <c r="CG63" i="6"/>
  <c r="CC255" i="4"/>
  <c r="CG64" i="6"/>
  <c r="CD251" i="4"/>
  <c r="AR254" i="4"/>
  <c r="AJ250" i="4"/>
  <c r="CF254" i="4"/>
  <c r="BI253" i="4"/>
  <c r="BV253" i="4"/>
  <c r="CH103" i="6"/>
  <c r="BC250" i="4"/>
  <c r="CE176" i="6"/>
  <c r="CG176" i="6" s="1"/>
  <c r="BA251" i="4"/>
  <c r="BM253" i="4"/>
  <c r="CD254" i="4"/>
  <c r="BM254" i="4"/>
  <c r="AG250" i="4"/>
  <c r="BS250" i="4"/>
  <c r="CH179" i="6"/>
  <c r="AO251" i="4"/>
  <c r="AR253" i="4"/>
  <c r="BW250" i="4"/>
  <c r="CH92" i="6"/>
  <c r="P250" i="4"/>
  <c r="L251" i="4"/>
  <c r="L250" i="4"/>
  <c r="CS7" i="7"/>
  <c r="CB254" i="4"/>
  <c r="BN254" i="4"/>
  <c r="AU254" i="4"/>
  <c r="AI63" i="6"/>
  <c r="AQ251" i="4"/>
  <c r="BO254" i="4"/>
  <c r="BY250" i="4"/>
  <c r="BG251" i="4"/>
  <c r="CG179" i="6"/>
  <c r="CG117" i="6"/>
  <c r="CG259" i="4" s="1"/>
  <c r="BI250" i="4"/>
  <c r="AO250" i="4"/>
  <c r="CE80" i="6"/>
  <c r="CE256" i="4" s="1"/>
  <c r="CH80" i="6"/>
  <c r="CH256" i="4" s="1"/>
  <c r="BZ250" i="4"/>
  <c r="BP250" i="4"/>
  <c r="N251" i="4"/>
  <c r="AC255" i="4"/>
  <c r="J250" i="4"/>
  <c r="J251" i="4"/>
  <c r="S251" i="4"/>
  <c r="AT251" i="4"/>
  <c r="CC62" i="6"/>
  <c r="CG62" i="6" s="1"/>
  <c r="CH62" i="6"/>
  <c r="AE250" i="4"/>
  <c r="BD251" i="4"/>
  <c r="CE91" i="6"/>
  <c r="CH91" i="6"/>
  <c r="CE255" i="4"/>
  <c r="BT250" i="4"/>
  <c r="BT251" i="4"/>
  <c r="AK250" i="4"/>
  <c r="AL251" i="4"/>
  <c r="AL250" i="4"/>
  <c r="R251" i="4"/>
  <c r="AV250" i="4"/>
  <c r="AV253" i="4"/>
  <c r="AW251" i="4"/>
  <c r="Y253" i="4"/>
  <c r="CE183" i="6"/>
  <c r="CG183" i="6" s="1"/>
  <c r="CH183" i="6"/>
  <c r="CA251" i="4"/>
  <c r="CA250" i="4"/>
  <c r="M250" i="4"/>
  <c r="M253" i="4"/>
  <c r="AZ251" i="4"/>
  <c r="AP251" i="4"/>
  <c r="K251" i="4"/>
  <c r="BF250" i="4"/>
  <c r="BF251" i="4"/>
  <c r="G250" i="4"/>
  <c r="CS16" i="7"/>
  <c r="CI250" i="4"/>
  <c r="W253" i="4"/>
  <c r="CN255" i="6" l="1"/>
  <c r="CN255" i="4" s="1"/>
  <c r="AI253" i="6"/>
  <c r="CN93" i="6"/>
  <c r="AI251" i="6"/>
  <c r="CN64" i="6"/>
  <c r="U250" i="6"/>
  <c r="U250" i="4" s="1"/>
  <c r="CO69" i="6"/>
  <c r="CF250" i="6"/>
  <c r="CF250" i="4" s="1"/>
  <c r="T250" i="6"/>
  <c r="T250" i="4" s="1"/>
  <c r="CO105" i="6"/>
  <c r="CG91" i="6"/>
  <c r="CM64" i="6"/>
  <c r="CH252" i="4"/>
  <c r="CC252" i="4"/>
  <c r="CO64" i="6"/>
  <c r="CM69" i="6"/>
  <c r="CN67" i="6"/>
  <c r="AC250" i="6"/>
  <c r="CE253" i="4"/>
  <c r="CM105" i="6"/>
  <c r="CM255" i="6" s="1"/>
  <c r="CM255" i="4" s="1"/>
  <c r="CH250" i="6"/>
  <c r="T251" i="4"/>
  <c r="CN79" i="6"/>
  <c r="AI256" i="4"/>
  <c r="CM79" i="6"/>
  <c r="CD250" i="6"/>
  <c r="CD250" i="4" s="1"/>
  <c r="AU250" i="6"/>
  <c r="AU250" i="4" s="1"/>
  <c r="CM67" i="6"/>
  <c r="CO93" i="6"/>
  <c r="CM93" i="6"/>
  <c r="CZ8" i="7"/>
  <c r="CZ253" i="7" s="1"/>
  <c r="DA8" i="7"/>
  <c r="CY8" i="7"/>
  <c r="CY253" i="7" s="1"/>
  <c r="CZ7" i="7"/>
  <c r="CY7" i="7"/>
  <c r="DA7" i="7"/>
  <c r="CO119" i="6"/>
  <c r="CN60" i="6"/>
  <c r="CO60" i="6"/>
  <c r="CM60" i="6"/>
  <c r="CN80" i="6"/>
  <c r="CM80" i="6"/>
  <c r="CO80" i="6"/>
  <c r="CN119" i="6"/>
  <c r="CM61" i="6"/>
  <c r="CO61" i="6"/>
  <c r="CN61" i="6"/>
  <c r="CO63" i="6"/>
  <c r="CM63" i="6"/>
  <c r="CN63" i="6"/>
  <c r="CM117" i="6"/>
  <c r="CM259" i="6" s="1"/>
  <c r="CN117" i="6"/>
  <c r="CN259" i="6" s="1"/>
  <c r="CO117" i="6"/>
  <c r="AI253" i="7"/>
  <c r="AI252" i="4"/>
  <c r="AI259" i="4"/>
  <c r="BN250" i="4"/>
  <c r="CB250" i="4"/>
  <c r="BO250" i="4"/>
  <c r="CT250" i="7"/>
  <c r="U252" i="4"/>
  <c r="V252" i="4"/>
  <c r="BO253" i="4"/>
  <c r="AC250" i="7"/>
  <c r="CH253" i="4"/>
  <c r="T252" i="4"/>
  <c r="CJ253" i="4"/>
  <c r="CG60" i="6"/>
  <c r="CG252" i="4" s="1"/>
  <c r="BN251" i="4"/>
  <c r="BQ250" i="4"/>
  <c r="U251" i="4"/>
  <c r="V250" i="4"/>
  <c r="BL250" i="4"/>
  <c r="BX250" i="4"/>
  <c r="AU251" i="4"/>
  <c r="X251" i="4"/>
  <c r="AR250" i="4"/>
  <c r="CC254" i="4"/>
  <c r="AD254" i="4"/>
  <c r="CD253" i="4"/>
  <c r="CG80" i="6"/>
  <c r="CG256" i="4" s="1"/>
  <c r="CK252" i="4"/>
  <c r="X253" i="4"/>
  <c r="AD250" i="4"/>
  <c r="BX251" i="4"/>
  <c r="Y251" i="4"/>
  <c r="BO251" i="4"/>
  <c r="W251" i="4"/>
  <c r="BN253" i="4"/>
  <c r="BQ251" i="4"/>
  <c r="AD251" i="4"/>
  <c r="CH248" i="6"/>
  <c r="AU253" i="4"/>
  <c r="X252" i="4"/>
  <c r="CJ248" i="6"/>
  <c r="CK248" i="6"/>
  <c r="CE248" i="6"/>
  <c r="AC248" i="6"/>
  <c r="AC253" i="4"/>
  <c r="AI248" i="7"/>
  <c r="AI254" i="7"/>
  <c r="CS253" i="7"/>
  <c r="CS254" i="7"/>
  <c r="CS248" i="7"/>
  <c r="CE254" i="4"/>
  <c r="CC248" i="6"/>
  <c r="CF251" i="4"/>
  <c r="BL251" i="4"/>
  <c r="Y252" i="4"/>
  <c r="AI255" i="4"/>
  <c r="CG255" i="4"/>
  <c r="CC251" i="4"/>
  <c r="CH254" i="4"/>
  <c r="Y250" i="4"/>
  <c r="BM250" i="4"/>
  <c r="BR250" i="4"/>
  <c r="BR251" i="4"/>
  <c r="CB251" i="4"/>
  <c r="BK250" i="4"/>
  <c r="BK251" i="4"/>
  <c r="CN254" i="6" l="1"/>
  <c r="CM252" i="6"/>
  <c r="CN251" i="6"/>
  <c r="CN251" i="4" s="1"/>
  <c r="CC250" i="6"/>
  <c r="CC250" i="4" s="1"/>
  <c r="CN253" i="6"/>
  <c r="CN253" i="4" s="1"/>
  <c r="CG250" i="6"/>
  <c r="CE250" i="6"/>
  <c r="CE250" i="4" s="1"/>
  <c r="CM254" i="6"/>
  <c r="AI250" i="6"/>
  <c r="CN252" i="6"/>
  <c r="CN252" i="4" s="1"/>
  <c r="CM256" i="6"/>
  <c r="CM256" i="4" s="1"/>
  <c r="CN256" i="6"/>
  <c r="CN256" i="4" s="1"/>
  <c r="CM253" i="6"/>
  <c r="CM253" i="4" s="1"/>
  <c r="CM252" i="4"/>
  <c r="CM251" i="6"/>
  <c r="CY254" i="7"/>
  <c r="CY248" i="7"/>
  <c r="CZ254" i="7"/>
  <c r="CZ250" i="7" s="1"/>
  <c r="CZ248" i="7"/>
  <c r="CM248" i="6"/>
  <c r="CN248" i="6"/>
  <c r="AI250" i="7"/>
  <c r="AC254" i="4"/>
  <c r="CG254" i="4"/>
  <c r="CS250" i="7"/>
  <c r="CH250" i="4"/>
  <c r="CJ250" i="4"/>
  <c r="CK250" i="4"/>
  <c r="AI254" i="4"/>
  <c r="CJ252" i="4"/>
  <c r="CG248" i="6"/>
  <c r="CK253" i="4"/>
  <c r="AC251" i="4"/>
  <c r="AI251" i="4"/>
  <c r="X250" i="4"/>
  <c r="CK251" i="4"/>
  <c r="CJ251" i="4"/>
  <c r="CG253" i="4"/>
  <c r="CE251" i="4"/>
  <c r="AI253" i="4"/>
  <c r="CC253" i="4"/>
  <c r="AC250" i="4"/>
  <c r="CG251" i="4"/>
  <c r="CH251" i="4"/>
  <c r="AI250" i="4" l="1"/>
  <c r="CM254" i="4"/>
  <c r="CN250" i="6"/>
  <c r="CN250" i="4" s="1"/>
  <c r="CM250" i="6"/>
  <c r="CM251" i="4"/>
  <c r="CN254" i="4"/>
  <c r="CY250" i="7"/>
  <c r="CN259" i="4"/>
  <c r="CM259" i="4"/>
  <c r="CG250" i="4"/>
  <c r="CM250" i="4" l="1"/>
</calcChain>
</file>

<file path=xl/comments1.xml><?xml version="1.0" encoding="utf-8"?>
<comments xmlns="http://schemas.openxmlformats.org/spreadsheetml/2006/main">
  <authors>
    <author>1</author>
  </authors>
  <commentList>
    <comment ref="C27" authorId="0">
      <text>
        <r>
          <rPr>
            <sz val="10"/>
            <color indexed="81"/>
            <rFont val="Tahoma"/>
            <family val="2"/>
            <charset val="204"/>
          </rPr>
          <t>1 подъезд, 1 лифт, 1 м/камера</t>
        </r>
        <r>
          <rPr>
            <sz val="14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<sst xmlns="http://schemas.openxmlformats.org/spreadsheetml/2006/main" count="2211" uniqueCount="371">
  <si>
    <t>Подраз-</t>
  </si>
  <si>
    <t xml:space="preserve">№ </t>
  </si>
  <si>
    <t>Всего</t>
  </si>
  <si>
    <t>Кровля</t>
  </si>
  <si>
    <t>Количество</t>
  </si>
  <si>
    <t>деление</t>
  </si>
  <si>
    <t>Адрес</t>
  </si>
  <si>
    <t>жилая</t>
  </si>
  <si>
    <t>подъездов</t>
  </si>
  <si>
    <t>лифтов</t>
  </si>
  <si>
    <t xml:space="preserve">        </t>
  </si>
  <si>
    <t>медные</t>
  </si>
  <si>
    <t>стальные</t>
  </si>
  <si>
    <t>1-447с</t>
  </si>
  <si>
    <t xml:space="preserve"> - Хрущевки</t>
  </si>
  <si>
    <t xml:space="preserve"> - К-69</t>
  </si>
  <si>
    <t xml:space="preserve"> - Серия -84</t>
  </si>
  <si>
    <t xml:space="preserve"> - Серия 111-112</t>
  </si>
  <si>
    <t xml:space="preserve"> - НК-12</t>
  </si>
  <si>
    <t>кир</t>
  </si>
  <si>
    <t>1-464м</t>
  </si>
  <si>
    <t>к-69</t>
  </si>
  <si>
    <t>пан</t>
  </si>
  <si>
    <t xml:space="preserve"> - Сталинка</t>
  </si>
  <si>
    <t>111-112</t>
  </si>
  <si>
    <t>84м</t>
  </si>
  <si>
    <t>Жилищный фонд всего, в т.ч.:</t>
  </si>
  <si>
    <t>ИТОГО:</t>
  </si>
  <si>
    <t>кирпичные дома</t>
  </si>
  <si>
    <t>панельные дома</t>
  </si>
  <si>
    <t>кол-во зданий</t>
  </si>
  <si>
    <t>Кол-во светильников дворового освещения, шт.</t>
  </si>
  <si>
    <r>
      <t>Площадь чердаков с верхней разводкой ТВС, м</t>
    </r>
    <r>
      <rPr>
        <vertAlign val="superscript"/>
        <sz val="10"/>
        <rFont val="Times New Roman"/>
        <family val="1"/>
      </rPr>
      <t>2</t>
    </r>
  </si>
  <si>
    <t>Длина трубопроводов ТВС в домах с верхней разводкой, м.п.</t>
  </si>
  <si>
    <t>Шпальные клети, ед.</t>
  </si>
  <si>
    <t>250Вт</t>
  </si>
  <si>
    <t>400Вт</t>
  </si>
  <si>
    <r>
      <t>площадь фасада кирпичные здания, м</t>
    </r>
    <r>
      <rPr>
        <vertAlign val="superscript"/>
        <sz val="10"/>
        <rFont val="Times New Roman"/>
        <family val="1"/>
      </rPr>
      <t>2</t>
    </r>
  </si>
  <si>
    <t>Год ввода</t>
  </si>
  <si>
    <t>кол-во этажей</t>
  </si>
  <si>
    <t>Материал стен</t>
  </si>
  <si>
    <t>Объем здания</t>
  </si>
  <si>
    <t>Площадь застройки, кв.м</t>
  </si>
  <si>
    <t>железная, кв.м</t>
  </si>
  <si>
    <t>мягкая, кв.м</t>
  </si>
  <si>
    <t>квартир, ед.</t>
  </si>
  <si>
    <t>комнат, ед.</t>
  </si>
  <si>
    <t>проживающих, чел.</t>
  </si>
  <si>
    <t>общая</t>
  </si>
  <si>
    <t>ВСЕГО</t>
  </si>
  <si>
    <t>площадь, кв.м</t>
  </si>
  <si>
    <r>
      <t>площадь придомовой территории, м</t>
    </r>
    <r>
      <rPr>
        <vertAlign val="superscript"/>
        <sz val="10"/>
        <rFont val="Times New Roman"/>
        <family val="1"/>
        <charset val="204"/>
      </rPr>
      <t>2</t>
    </r>
  </si>
  <si>
    <t>Шкафы, ед.</t>
  </si>
  <si>
    <t>Лифты, ед.</t>
  </si>
  <si>
    <t>Подъезды, ед.</t>
  </si>
  <si>
    <t>Мусорокамеры, ед.</t>
  </si>
  <si>
    <t>Мусоросборники, ед.</t>
  </si>
  <si>
    <t>теплоцентры, ед.</t>
  </si>
  <si>
    <r>
      <t>Фасад, м</t>
    </r>
    <r>
      <rPr>
        <vertAlign val="superscript"/>
        <sz val="10"/>
        <rFont val="Times New Roman"/>
        <family val="1"/>
      </rPr>
      <t>2</t>
    </r>
  </si>
  <si>
    <r>
      <t>Газоны, м</t>
    </r>
    <r>
      <rPr>
        <vertAlign val="superscript"/>
        <sz val="10"/>
        <rFont val="Times New Roman"/>
        <family val="1"/>
      </rPr>
      <t>2</t>
    </r>
  </si>
  <si>
    <t>Вводные сети, п.м.</t>
  </si>
  <si>
    <r>
      <t>Цокольная забирка, м</t>
    </r>
    <r>
      <rPr>
        <vertAlign val="superscript"/>
        <sz val="10"/>
        <rFont val="Times New Roman"/>
        <family val="1"/>
      </rPr>
      <t>2</t>
    </r>
  </si>
  <si>
    <t>ТВС в подъезде, п.м.</t>
  </si>
  <si>
    <t>Межпанельные стыки, п.м.</t>
  </si>
  <si>
    <t>Сваи, шт.</t>
  </si>
  <si>
    <r>
      <t>Площадь подполий, м</t>
    </r>
    <r>
      <rPr>
        <vertAlign val="superscript"/>
        <sz val="10"/>
        <rFont val="Times New Roman"/>
        <family val="1"/>
      </rPr>
      <t>2</t>
    </r>
  </si>
  <si>
    <r>
      <t>Площадь чердаков, м</t>
    </r>
    <r>
      <rPr>
        <vertAlign val="superscript"/>
        <sz val="10"/>
        <rFont val="Times New Roman"/>
        <family val="1"/>
      </rPr>
      <t>2</t>
    </r>
  </si>
  <si>
    <t>Окна в подъездах, шт.</t>
  </si>
  <si>
    <t>Двери в подъездах, шт.</t>
  </si>
  <si>
    <t>Окна в квартирах, шт.</t>
  </si>
  <si>
    <t>Двери в квартирах, шт.</t>
  </si>
  <si>
    <t>Электрощитовые, шт.</t>
  </si>
  <si>
    <t>Сеть электропитания, п.м.</t>
  </si>
  <si>
    <t>в т.ч.</t>
  </si>
  <si>
    <t>квартир</t>
  </si>
  <si>
    <t>ПЛОЩАДЬ ВСЕГО ПО ДОМУ (ЖИЛАЯ+НЕЖИЛАЯ), КВ.М</t>
  </si>
  <si>
    <r>
      <t>общая площадь, м</t>
    </r>
    <r>
      <rPr>
        <vertAlign val="superscript"/>
        <sz val="10"/>
        <rFont val="Times New Roman"/>
        <family val="1"/>
        <charset val="204"/>
      </rPr>
      <t>2</t>
    </r>
  </si>
  <si>
    <r>
      <t>жилая площадь, м</t>
    </r>
    <r>
      <rPr>
        <vertAlign val="superscript"/>
        <sz val="10"/>
        <rFont val="Times New Roman"/>
        <family val="1"/>
        <charset val="204"/>
      </rPr>
      <t>2</t>
    </r>
  </si>
  <si>
    <t>Ленинский 30</t>
  </si>
  <si>
    <t>Московская 5</t>
  </si>
  <si>
    <t>Московская 9</t>
  </si>
  <si>
    <t>Московская 15</t>
  </si>
  <si>
    <t>Московская 21</t>
  </si>
  <si>
    <t>Московская 23</t>
  </si>
  <si>
    <t>Московская 25</t>
  </si>
  <si>
    <t>Мира 4</t>
  </si>
  <si>
    <t>Мира 7</t>
  </si>
  <si>
    <t>Ленинградская 10</t>
  </si>
  <si>
    <t>Ленинградская 12</t>
  </si>
  <si>
    <t>Ленинградская 14</t>
  </si>
  <si>
    <t>Ленинградская 16</t>
  </si>
  <si>
    <t>Ленинградская 18</t>
  </si>
  <si>
    <t>Ленинградская 22</t>
  </si>
  <si>
    <t>Талнахская 38</t>
  </si>
  <si>
    <t>Талнахская 43</t>
  </si>
  <si>
    <t>Талнахская 44</t>
  </si>
  <si>
    <t>Талнахская 45</t>
  </si>
  <si>
    <t>Талнахская 46</t>
  </si>
  <si>
    <t>Талнахская 47</t>
  </si>
  <si>
    <t>Талнахская 48</t>
  </si>
  <si>
    <t>Талнахская 50</t>
  </si>
  <si>
    <t>Талнахская 52</t>
  </si>
  <si>
    <t>Талнахская 55</t>
  </si>
  <si>
    <t>Талнахская 57</t>
  </si>
  <si>
    <t>Талнахская 58</t>
  </si>
  <si>
    <t>Лауреатов 49</t>
  </si>
  <si>
    <t>Лауреатов 53</t>
  </si>
  <si>
    <t>Лауреатов 55</t>
  </si>
  <si>
    <t>Лауреатов 57</t>
  </si>
  <si>
    <t>Лауреатов 59</t>
  </si>
  <si>
    <t>Лауреатов 61</t>
  </si>
  <si>
    <t>Лауреатов 65</t>
  </si>
  <si>
    <t>Озерная 3</t>
  </si>
  <si>
    <t>Озерная 7</t>
  </si>
  <si>
    <t>Озерная 11</t>
  </si>
  <si>
    <t>Озерная 13</t>
  </si>
  <si>
    <t>Озерная 17</t>
  </si>
  <si>
    <t>Озерная 19</t>
  </si>
  <si>
    <t>Озерная 21</t>
  </si>
  <si>
    <t>Озерная 31</t>
  </si>
  <si>
    <t>Озерная 46</t>
  </si>
  <si>
    <t>Югославская 4</t>
  </si>
  <si>
    <t>Югославская 6</t>
  </si>
  <si>
    <t>Югославская 8</t>
  </si>
  <si>
    <t>Югославская 12</t>
  </si>
  <si>
    <t>Югославская 14</t>
  </si>
  <si>
    <t>Югославская 16</t>
  </si>
  <si>
    <t>Югославская 20</t>
  </si>
  <si>
    <t>Югославская 22</t>
  </si>
  <si>
    <t>Югославская 30</t>
  </si>
  <si>
    <t>Югославская 32</t>
  </si>
  <si>
    <t>Югославская 34</t>
  </si>
  <si>
    <t>Югославская 36</t>
  </si>
  <si>
    <t>Югославская 38</t>
  </si>
  <si>
    <t>Югославская 42</t>
  </si>
  <si>
    <t>Югославская 44</t>
  </si>
  <si>
    <t>Югославская 46</t>
  </si>
  <si>
    <t>Югославская 48</t>
  </si>
  <si>
    <t>Югославская 50</t>
  </si>
  <si>
    <t>Югославская 52</t>
  </si>
  <si>
    <t>Югославская 58</t>
  </si>
  <si>
    <t>Подразделение</t>
  </si>
  <si>
    <t xml:space="preserve">ОГК/7   </t>
  </si>
  <si>
    <t xml:space="preserve">ОГК/Оганер  </t>
  </si>
  <si>
    <t>ЖИЛЫЕ ПОМЕЩЕНИЯ</t>
  </si>
  <si>
    <t>ЧАСТНАЯ СОБСТВЕННОСТЬ</t>
  </si>
  <si>
    <t>МУНИЦИПАЛЬНАЯ СОБСТВЕННОСТЬ</t>
  </si>
  <si>
    <t>НЕЖИЛЫЕ ПОМЕЩЕНИЯ, КВ.М</t>
  </si>
  <si>
    <t>Внутриквартирные трубопроводы, п.м.</t>
  </si>
  <si>
    <t>нк-12</t>
  </si>
  <si>
    <t>84у</t>
  </si>
  <si>
    <t>84копэ-н</t>
  </si>
  <si>
    <t>смешанные дома</t>
  </si>
  <si>
    <t>Лауреатов 51</t>
  </si>
  <si>
    <t>Лауреатов 47</t>
  </si>
  <si>
    <t>Лауреатов 53А</t>
  </si>
  <si>
    <t>Лауреатов 57А</t>
  </si>
  <si>
    <t>Лауреатов 63А</t>
  </si>
  <si>
    <t>Ленинградская 4</t>
  </si>
  <si>
    <t>Ленинградская 6А</t>
  </si>
  <si>
    <t>Ленинградская 10А</t>
  </si>
  <si>
    <t>Ленинградская 12А</t>
  </si>
  <si>
    <t>Мира 4А</t>
  </si>
  <si>
    <t>Мира 4Б</t>
  </si>
  <si>
    <t>Талнахская 49</t>
  </si>
  <si>
    <t>Талнахская 53</t>
  </si>
  <si>
    <t>Талнахская 59</t>
  </si>
  <si>
    <t>Ленинградская 8</t>
  </si>
  <si>
    <r>
      <t>Ленинский 40</t>
    </r>
    <r>
      <rPr>
        <b/>
        <sz val="10"/>
        <rFont val="Times New Roman"/>
        <family val="1"/>
        <charset val="204"/>
      </rPr>
      <t/>
    </r>
  </si>
  <si>
    <t>Мира 1</t>
  </si>
  <si>
    <t>Мира 5</t>
  </si>
  <si>
    <t>Московская 3</t>
  </si>
  <si>
    <r>
      <t>Ленинский 28</t>
    </r>
    <r>
      <rPr>
        <b/>
        <sz val="10"/>
        <rFont val="Times New Roman"/>
        <family val="1"/>
        <charset val="204"/>
      </rPr>
      <t/>
    </r>
  </si>
  <si>
    <t>смеш</t>
  </si>
  <si>
    <t>Мира 4В</t>
  </si>
  <si>
    <t>Мира 4Г</t>
  </si>
  <si>
    <t>Мира 4Д</t>
  </si>
  <si>
    <t>Мира 6А</t>
  </si>
  <si>
    <t>Мира 6Б</t>
  </si>
  <si>
    <t>Мира 6В</t>
  </si>
  <si>
    <t>Мира 6Г</t>
  </si>
  <si>
    <t>Мира 8А</t>
  </si>
  <si>
    <t>Московская 7А</t>
  </si>
  <si>
    <t>Московская 19А</t>
  </si>
  <si>
    <t>Московская 29А</t>
  </si>
  <si>
    <t>Талнахская 43А</t>
  </si>
  <si>
    <r>
      <t xml:space="preserve">МКД с </t>
    </r>
    <r>
      <rPr>
        <u/>
        <sz val="10"/>
        <rFont val="Times New Roman"/>
        <family val="1"/>
        <charset val="204"/>
      </rPr>
      <t>МЕДНЫМИ</t>
    </r>
    <r>
      <rPr>
        <sz val="10"/>
        <rFont val="Times New Roman"/>
        <family val="1"/>
        <charset val="204"/>
      </rPr>
      <t xml:space="preserve"> внутриквартирными трубопроводами</t>
    </r>
  </si>
  <si>
    <r>
      <t xml:space="preserve">МКД со </t>
    </r>
    <r>
      <rPr>
        <u/>
        <sz val="10"/>
        <rFont val="Times New Roman"/>
        <family val="1"/>
        <charset val="204"/>
      </rPr>
      <t>СТАЛЬНЫМИ</t>
    </r>
    <r>
      <rPr>
        <sz val="10"/>
        <rFont val="Times New Roman"/>
        <family val="1"/>
        <charset val="204"/>
      </rPr>
      <t xml:space="preserve"> внутриквартирными трубопроводами</t>
    </r>
  </si>
  <si>
    <t>кол-во МКД, ед.</t>
  </si>
  <si>
    <t>длина трубопроводов, п.м</t>
  </si>
  <si>
    <r>
      <t>площадь земельного участка по кадастровому паспорту, м</t>
    </r>
    <r>
      <rPr>
        <vertAlign val="superscript"/>
        <sz val="11"/>
        <rFont val="Times New Roman"/>
        <family val="1"/>
        <charset val="204"/>
      </rPr>
      <t>2</t>
    </r>
  </si>
  <si>
    <t>в том числе</t>
  </si>
  <si>
    <t>кап.р., реконструкция</t>
  </si>
  <si>
    <t>под аренду</t>
  </si>
  <si>
    <t>ГОСУДАРСТВЕННАЯ СОБСТВЕННОСТЬ</t>
  </si>
  <si>
    <t>ВСЕГО (муниц.+ частная+гос.)</t>
  </si>
  <si>
    <t>к-69-5</t>
  </si>
  <si>
    <t>не выбр.</t>
  </si>
  <si>
    <t>50лет Октября 13</t>
  </si>
  <si>
    <t>50лет Октября 6А</t>
  </si>
  <si>
    <t>50лет Октября 8</t>
  </si>
  <si>
    <t>Анисимова 1</t>
  </si>
  <si>
    <t>Анисимова 3</t>
  </si>
  <si>
    <t>жкс</t>
  </si>
  <si>
    <t>Анисимова 5</t>
  </si>
  <si>
    <t>1-335а</t>
  </si>
  <si>
    <t>Б.Хмельницкого 1</t>
  </si>
  <si>
    <t>сталинка</t>
  </si>
  <si>
    <t>Б.Хмельницкого 2</t>
  </si>
  <si>
    <t>Б.Хмельницкого 5</t>
  </si>
  <si>
    <t>Б.Хмельницкого 6</t>
  </si>
  <si>
    <t>Б.Хмельницкого 10</t>
  </si>
  <si>
    <t>Б.Хмельницкого 11</t>
  </si>
  <si>
    <t>Б.Хмельницкого 15</t>
  </si>
  <si>
    <t>Б.Хмельницкого 17</t>
  </si>
  <si>
    <t>Б.Хмельницкого 19</t>
  </si>
  <si>
    <t>Б.Хмельницкого 21</t>
  </si>
  <si>
    <t>Б.Хмельницкого 23</t>
  </si>
  <si>
    <t>Б.Хмельницкого 25</t>
  </si>
  <si>
    <t>Б.Хмельницкого 27</t>
  </si>
  <si>
    <t>Б.Хмельницкого 29</t>
  </si>
  <si>
    <t>Ветеранов 13</t>
  </si>
  <si>
    <t>Ветеранов 15</t>
  </si>
  <si>
    <t>Ветеранов 21</t>
  </si>
  <si>
    <t>Ветеранов 23</t>
  </si>
  <si>
    <t>Ветеранов 28</t>
  </si>
  <si>
    <t>Кирова 1 / 50лет Октября 9</t>
  </si>
  <si>
    <t>Кирова 2</t>
  </si>
  <si>
    <t>Кирова 5</t>
  </si>
  <si>
    <t>Кирова 6</t>
  </si>
  <si>
    <t>Кирова 10</t>
  </si>
  <si>
    <t>Кирова 13</t>
  </si>
  <si>
    <t>Кирова 14</t>
  </si>
  <si>
    <t>Кирова 16</t>
  </si>
  <si>
    <t>Кирова 17</t>
  </si>
  <si>
    <t>Кирова 18</t>
  </si>
  <si>
    <t>Кирова 20</t>
  </si>
  <si>
    <t>Кирова 20А</t>
  </si>
  <si>
    <t>Кирова 22</t>
  </si>
  <si>
    <t>Кирова 24</t>
  </si>
  <si>
    <t>Кирова 25</t>
  </si>
  <si>
    <t>Кирова 26</t>
  </si>
  <si>
    <t>Кирова 28</t>
  </si>
  <si>
    <t>Кирова 29</t>
  </si>
  <si>
    <t>Кирова 32</t>
  </si>
  <si>
    <t>Кирова 38</t>
  </si>
  <si>
    <t>Лауреатов 25</t>
  </si>
  <si>
    <t>Лауреатов 33</t>
  </si>
  <si>
    <t>Лауреатов 35</t>
  </si>
  <si>
    <t>Лауреатов 37</t>
  </si>
  <si>
    <t>Лауреатов 39</t>
  </si>
  <si>
    <t>Лауреатов 41</t>
  </si>
  <si>
    <t>Лауреатов 43</t>
  </si>
  <si>
    <t>Ленинский 10</t>
  </si>
  <si>
    <t>Ленинский 12</t>
  </si>
  <si>
    <t>Ленинский 16</t>
  </si>
  <si>
    <t>Ленинский 18</t>
  </si>
  <si>
    <t>Ленинский 20</t>
  </si>
  <si>
    <t>Ленинский 22</t>
  </si>
  <si>
    <t>Ленинский 24</t>
  </si>
  <si>
    <t>Ленинский 26</t>
  </si>
  <si>
    <t>Ломоносова 3</t>
  </si>
  <si>
    <t>Ломоносова 5</t>
  </si>
  <si>
    <t>Московская 4</t>
  </si>
  <si>
    <t>Московская 8</t>
  </si>
  <si>
    <t>Московская 12</t>
  </si>
  <si>
    <t>Московская 14</t>
  </si>
  <si>
    <t>Московская 16</t>
  </si>
  <si>
    <t>Московская 20</t>
  </si>
  <si>
    <t>Павлова 3</t>
  </si>
  <si>
    <t>Павлова 5</t>
  </si>
  <si>
    <t>Павлова 12</t>
  </si>
  <si>
    <t>Павлова 15</t>
  </si>
  <si>
    <t>Павлова 18</t>
  </si>
  <si>
    <t>Павлова 19</t>
  </si>
  <si>
    <t>Павлова 20</t>
  </si>
  <si>
    <t>Павлова 20А</t>
  </si>
  <si>
    <t>Павлова 20Б</t>
  </si>
  <si>
    <t>Павлова 21</t>
  </si>
  <si>
    <t>Пушкина 12</t>
  </si>
  <si>
    <t>Севастопольская 1/Ленинский 6</t>
  </si>
  <si>
    <t>Севастопольская 2/Ленинский 4</t>
  </si>
  <si>
    <t>Севастопольская 4</t>
  </si>
  <si>
    <t>Севастопольская 5</t>
  </si>
  <si>
    <t>Севастопольская 6/4</t>
  </si>
  <si>
    <t>Севастопольская 7А</t>
  </si>
  <si>
    <t>Севастопольская 7Б</t>
  </si>
  <si>
    <t>Севастопольская 8</t>
  </si>
  <si>
    <t>Севастопольская 9</t>
  </si>
  <si>
    <t>Севастопольская 10А</t>
  </si>
  <si>
    <t>Советская 14</t>
  </si>
  <si>
    <t>Советская 16</t>
  </si>
  <si>
    <t>Талнахская 1</t>
  </si>
  <si>
    <t>Талнахская 6</t>
  </si>
  <si>
    <t>Талнахская 7</t>
  </si>
  <si>
    <t>Талнахская 8</t>
  </si>
  <si>
    <t>Талнахская 9</t>
  </si>
  <si>
    <t>Талнахская 10</t>
  </si>
  <si>
    <t>Талнахская 10А</t>
  </si>
  <si>
    <t>Талнахская 11</t>
  </si>
  <si>
    <t>Талнахская 13</t>
  </si>
  <si>
    <t>Талнахская 17</t>
  </si>
  <si>
    <t>Талнахская 18</t>
  </si>
  <si>
    <t>Талнахская 21</t>
  </si>
  <si>
    <t>Талнахская 22</t>
  </si>
  <si>
    <t>Талнахская 25</t>
  </si>
  <si>
    <t>Талнахская 26</t>
  </si>
  <si>
    <t>Талнахская 27</t>
  </si>
  <si>
    <t>Талнахская 28</t>
  </si>
  <si>
    <t>Талнахская 30</t>
  </si>
  <si>
    <t>Талнахская 33</t>
  </si>
  <si>
    <t>Талнахская 35</t>
  </si>
  <si>
    <t>Талнахская 36</t>
  </si>
  <si>
    <t>Талнахская 39</t>
  </si>
  <si>
    <t>Талнахская 41</t>
  </si>
  <si>
    <t xml:space="preserve"> - Сталинки</t>
  </si>
  <si>
    <t>лицевых счетов, ед.</t>
  </si>
  <si>
    <t>МКД, в которых общедомовые приборы учета приняты в коммерческий учет *</t>
  </si>
  <si>
    <t>Количество общедомовых приборов учета, установленных в МКД, ед. **</t>
  </si>
  <si>
    <t>АИТП (автоматизированный индивидуальный тепловой пункт), ед.</t>
  </si>
  <si>
    <t>Количество жилых помещений, ед.:</t>
  </si>
  <si>
    <t>Всего:</t>
  </si>
  <si>
    <t>из них:</t>
  </si>
  <si>
    <t>оборудованные индивидуальными приборами учета:</t>
  </si>
  <si>
    <t>техническая возможность установки</t>
  </si>
  <si>
    <t>электроэнергия</t>
  </si>
  <si>
    <t>тепловая энергия</t>
  </si>
  <si>
    <t>горячая вода</t>
  </si>
  <si>
    <t>холодная вода</t>
  </si>
  <si>
    <t>частные</t>
  </si>
  <si>
    <t>муниципальные</t>
  </si>
  <si>
    <t>электроэнергия***</t>
  </si>
  <si>
    <t>горячая вода***</t>
  </si>
  <si>
    <t>необходимое кол-во приборов учета, ед.</t>
  </si>
  <si>
    <t>установленное кол-во приборов учета, ед.</t>
  </si>
  <si>
    <t>холодная вода***</t>
  </si>
  <si>
    <t>ХГВ</t>
  </si>
  <si>
    <t xml:space="preserve"> - ДГТ</t>
  </si>
  <si>
    <t xml:space="preserve"> - 5-эт. МКД коридорного типа</t>
  </si>
  <si>
    <t>Серия МКД</t>
  </si>
  <si>
    <t>площадь помещений, входящих в состав общего имущества МКД, для применения нормативов потребления коммунальных ресурсов для СОИ в МКД, кв.м</t>
  </si>
  <si>
    <t>по электроэнергии</t>
  </si>
  <si>
    <t>по ХВС, ГВС, отведению сточных вод</t>
  </si>
  <si>
    <t xml:space="preserve"> - К-69-5</t>
  </si>
  <si>
    <t>данные по состоянию на 01.01.2017</t>
  </si>
  <si>
    <t>в части жилых помещений</t>
  </si>
  <si>
    <t>всего по МКД</t>
  </si>
  <si>
    <t>доля муниципального образования
в праве общей собственности на общее имущество в МКД более 50%</t>
  </si>
  <si>
    <t>площадь всех жилых помещений в МКД, кв.м</t>
  </si>
  <si>
    <r>
      <t xml:space="preserve">доля в площади муниципальных </t>
    </r>
    <r>
      <rPr>
        <b/>
        <i/>
        <u/>
        <sz val="10"/>
        <color rgb="FFFF0000"/>
        <rFont val="Times New Roman"/>
        <family val="1"/>
        <charset val="204"/>
      </rPr>
      <t>жил.помещ.</t>
    </r>
    <r>
      <rPr>
        <i/>
        <sz val="10"/>
        <color rgb="FFFF0000"/>
        <rFont val="Times New Roman"/>
        <family val="1"/>
        <charset val="204"/>
      </rPr>
      <t xml:space="preserve"> в МКД, %</t>
    </r>
  </si>
  <si>
    <t>площадь всего в МКД, кв.м</t>
  </si>
  <si>
    <r>
      <t xml:space="preserve">доля в площади муниципальных </t>
    </r>
    <r>
      <rPr>
        <b/>
        <i/>
        <u/>
        <sz val="10"/>
        <color rgb="FFFF0000"/>
        <rFont val="Times New Roman"/>
        <family val="1"/>
        <charset val="204"/>
      </rPr>
      <t>жил. и нежил. помещ.</t>
    </r>
    <r>
      <rPr>
        <i/>
        <sz val="10"/>
        <color rgb="FFFF0000"/>
        <rFont val="Times New Roman"/>
        <family val="1"/>
        <charset val="204"/>
      </rPr>
      <t xml:space="preserve"> в МКД, %</t>
    </r>
  </si>
  <si>
    <t>Кирова 7/10</t>
  </si>
  <si>
    <r>
      <t xml:space="preserve">физический износ, % </t>
    </r>
    <r>
      <rPr>
        <sz val="10"/>
        <rFont val="Times New Roman"/>
        <family val="1"/>
        <charset val="204"/>
      </rPr>
      <t>(осмотр осень 2019)</t>
    </r>
  </si>
  <si>
    <r>
      <t xml:space="preserve">физический износ, % </t>
    </r>
    <r>
      <rPr>
        <sz val="10"/>
        <rFont val="Times New Roman"/>
        <family val="1"/>
        <charset val="204"/>
      </rPr>
      <t>(осмотр осень 2020)</t>
    </r>
  </si>
  <si>
    <t>лестницы, межквартирные лестничные площадки</t>
  </si>
  <si>
    <t>лифты, лифтовые, лифтовые шахты</t>
  </si>
  <si>
    <t>колясочные, консъержные и т.п.</t>
  </si>
  <si>
    <t>чердаки (включая технический чердак)</t>
  </si>
  <si>
    <t>теплоцентры, бойлерные и т.п.</t>
  </si>
  <si>
    <t>иные помещения</t>
  </si>
  <si>
    <t>Мусорокамеры с м/к тамбуром</t>
  </si>
  <si>
    <t>ЭЩ и КИП</t>
  </si>
  <si>
    <t>согласованная
(для расчетов с потребителями КУ)</t>
  </si>
  <si>
    <t>подвал (техническое подполье)</t>
  </si>
  <si>
    <t>Итого с подвалами (техническими подпольями)</t>
  </si>
  <si>
    <t>ЭЭ</t>
  </si>
  <si>
    <t>ХВС, ГВС, ВО</t>
  </si>
  <si>
    <r>
      <t>Характеристика жилищного фонда, обслуживаемого ООО "УК "ЖКС-Норильск" (без ж.о.Оганер), по состоянию  на 01.01.2021</t>
    </r>
    <r>
      <rPr>
        <b/>
        <sz val="12"/>
        <color rgb="FFFF0000"/>
        <rFont val="Times New Roman"/>
        <family val="1"/>
        <charset val="204"/>
      </rPr>
      <t xml:space="preserve"> (проживающие, лиц.сч.по состоянию на 01.01.2021)</t>
    </r>
  </si>
  <si>
    <r>
      <t>Характеристика жилищного фонда, обслуживаемого ООО "УК "ЖКС-Норильск" (ж.о.Оганер), по состоянию  на 01.12.2021</t>
    </r>
    <r>
      <rPr>
        <b/>
        <sz val="12"/>
        <color rgb="FFFF0000"/>
        <rFont val="Times New Roman"/>
        <family val="1"/>
        <charset val="204"/>
      </rPr>
      <t xml:space="preserve"> (проживающие, лиц.сч.по состоянию на 01.01.2021)</t>
    </r>
  </si>
  <si>
    <r>
      <t xml:space="preserve">Характеристика жилищного фонда, обслуживаемого ООО "УК "ЖКС-Норильск" (свод), по состоянию  на 01.12.2020 </t>
    </r>
    <r>
      <rPr>
        <b/>
        <sz val="12"/>
        <color rgb="FFFF0000"/>
        <rFont val="Times New Roman"/>
        <family val="1"/>
        <charset val="204"/>
      </rPr>
      <t>(проживающие, лиц.сч.по состоянию на 01.01.2020)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</si>
</sst>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\ _р_._-;\-* #,##0\ _р_._-;_-* &quot;-&quot;\ _р_._-;_-@_-"/>
    <numFmt numFmtId="166" formatCode="_-* #,##0.00\ _р_._-;\-* #,##0.00\ _р_._-;_-* &quot;-&quot;??\ _р_._-;_-@_-"/>
    <numFmt numFmtId="167" formatCode="_-* #,##0\ _р_._-;\-* #,##0\ _р_._-;_-* &quot;-&quot;??\ _р_._-;_-@_-"/>
    <numFmt numFmtId="168" formatCode="#,##0.0"/>
    <numFmt numFmtId="169" formatCode="0.0"/>
    <numFmt numFmtId="170" formatCode="#,##0.000"/>
  </numFmts>
  <fonts count="46" x14ac:knownFonts="1">
    <font>
      <sz val="10"/>
      <name val="Arial Cyr"/>
    </font>
    <font>
      <sz val="10"/>
      <name val="Arial Cyr"/>
    </font>
    <font>
      <sz val="14"/>
      <color indexed="81"/>
      <name val="Tahoma"/>
      <family val="2"/>
      <charset val="204"/>
    </font>
    <font>
      <sz val="10"/>
      <name val="Arial Cyr"/>
      <charset val="204"/>
    </font>
    <font>
      <vertAlign val="superscript"/>
      <sz val="1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Times New Roman"/>
      <family val="1"/>
    </font>
    <font>
      <sz val="10"/>
      <name val="Times New Roman"/>
      <family val="1"/>
      <charset val="204"/>
    </font>
    <font>
      <sz val="10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6"/>
      <name val="Times New Roman"/>
      <family val="1"/>
      <charset val="204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4"/>
      <color rgb="FFFF0000"/>
      <name val="Times New Roman"/>
      <family val="1"/>
    </font>
    <font>
      <b/>
      <sz val="12"/>
      <name val="Times New Roman"/>
      <family val="1"/>
    </font>
    <font>
      <sz val="10"/>
      <color indexed="81"/>
      <name val="Tahoma"/>
      <family val="2"/>
      <charset val="204"/>
    </font>
    <font>
      <sz val="11"/>
      <name val="Times New Roman"/>
      <family val="1"/>
    </font>
    <font>
      <u/>
      <sz val="1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Times New Roman Cyr"/>
      <family val="1"/>
      <charset val="204"/>
    </font>
    <font>
      <sz val="8"/>
      <color indexed="8"/>
      <name val="Times New Roman"/>
      <family val="1"/>
      <charset val="1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u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color theme="6" tint="-0.499984740745262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74">
    <xf numFmtId="0" fontId="0" fillId="0" borderId="0" xfId="0"/>
    <xf numFmtId="0" fontId="5" fillId="0" borderId="1" xfId="4" applyNumberFormat="1" applyFont="1" applyFill="1" applyBorder="1" applyAlignment="1" applyProtection="1">
      <alignment horizontal="center" vertical="center"/>
      <protection locked="0"/>
    </xf>
    <xf numFmtId="0" fontId="5" fillId="0" borderId="1" xfId="4" applyNumberFormat="1" applyFont="1" applyFill="1" applyBorder="1" applyAlignment="1" applyProtection="1">
      <alignment horizontal="left" vertical="center"/>
      <protection locked="0"/>
    </xf>
    <xf numFmtId="0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Continuous" vertical="center"/>
    </xf>
    <xf numFmtId="0" fontId="5" fillId="0" borderId="0" xfId="3" applyNumberFormat="1" applyFont="1" applyFill="1" applyBorder="1" applyAlignment="1">
      <alignment horizontal="centerContinuous"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4" xfId="0" applyNumberFormat="1" applyFont="1" applyFill="1" applyBorder="1" applyAlignment="1" applyProtection="1">
      <alignment horizontal="center" vertical="center"/>
      <protection locked="0"/>
    </xf>
    <xf numFmtId="0" fontId="5" fillId="0" borderId="4" xfId="3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 applyProtection="1">
      <alignment horizontal="left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left" vertical="center"/>
      <protection locked="0"/>
    </xf>
    <xf numFmtId="1" fontId="5" fillId="0" borderId="1" xfId="4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1" fontId="5" fillId="0" borderId="0" xfId="4" applyNumberFormat="1" applyFont="1" applyFill="1" applyBorder="1" applyAlignment="1">
      <alignment vertical="center"/>
    </xf>
    <xf numFmtId="0" fontId="5" fillId="0" borderId="0" xfId="4" applyNumberFormat="1" applyFont="1" applyFill="1" applyBorder="1" applyAlignment="1" applyProtection="1">
      <alignment horizontal="left" vertical="center"/>
      <protection locked="0"/>
    </xf>
    <xf numFmtId="0" fontId="5" fillId="0" borderId="0" xfId="4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1" fontId="6" fillId="0" borderId="0" xfId="4" applyNumberFormat="1" applyFont="1" applyFill="1" applyAlignment="1">
      <alignment vertical="center"/>
    </xf>
    <xf numFmtId="0" fontId="6" fillId="0" borderId="0" xfId="4" applyNumberFormat="1" applyFont="1" applyFill="1" applyAlignment="1" applyProtection="1">
      <alignment horizontal="left" vertical="center"/>
      <protection locked="0"/>
    </xf>
    <xf numFmtId="0" fontId="6" fillId="0" borderId="0" xfId="4" applyNumberFormat="1" applyFont="1" applyFill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5" fillId="0" borderId="0" xfId="4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left" vertical="center"/>
      <protection locked="0"/>
    </xf>
    <xf numFmtId="0" fontId="5" fillId="0" borderId="0" xfId="3" applyNumberFormat="1" applyFont="1" applyFill="1" applyBorder="1" applyAlignment="1">
      <alignment vertical="center"/>
    </xf>
    <xf numFmtId="1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 applyProtection="1">
      <alignment horizontal="left" vertical="center"/>
      <protection locked="0"/>
    </xf>
    <xf numFmtId="0" fontId="5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3" applyNumberFormat="1" applyFont="1" applyFill="1" applyAlignment="1" applyProtection="1">
      <alignment vertical="center"/>
      <protection locked="0"/>
    </xf>
    <xf numFmtId="0" fontId="5" fillId="0" borderId="0" xfId="3" applyNumberFormat="1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3" fontId="5" fillId="0" borderId="1" xfId="4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3" fontId="5" fillId="0" borderId="0" xfId="3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vertical="center"/>
    </xf>
    <xf numFmtId="3" fontId="5" fillId="0" borderId="0" xfId="4" applyNumberFormat="1" applyFont="1" applyFill="1" applyBorder="1" applyAlignment="1">
      <alignment horizontal="right" vertical="center"/>
    </xf>
    <xf numFmtId="3" fontId="5" fillId="0" borderId="0" xfId="4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center"/>
    </xf>
    <xf numFmtId="3" fontId="5" fillId="0" borderId="0" xfId="0" applyNumberFormat="1" applyFont="1" applyFill="1" applyAlignment="1" applyProtection="1">
      <alignment horizontal="right" vertical="center"/>
      <protection locked="0"/>
    </xf>
    <xf numFmtId="168" fontId="5" fillId="0" borderId="0" xfId="0" applyNumberFormat="1" applyFont="1" applyFill="1" applyAlignment="1" applyProtection="1">
      <alignment horizontal="right" vertical="center"/>
      <protection locked="0"/>
    </xf>
    <xf numFmtId="3" fontId="5" fillId="0" borderId="1" xfId="4" applyNumberFormat="1" applyFont="1" applyFill="1" applyBorder="1" applyAlignment="1" applyProtection="1">
      <alignment horizontal="center" vertical="center"/>
      <protection locked="0"/>
    </xf>
    <xf numFmtId="0" fontId="5" fillId="0" borderId="1" xfId="3" applyNumberFormat="1" applyFont="1" applyFill="1" applyBorder="1" applyAlignment="1">
      <alignment vertical="center"/>
    </xf>
    <xf numFmtId="0" fontId="5" fillId="0" borderId="1" xfId="3" applyNumberFormat="1" applyFont="1" applyFill="1" applyBorder="1" applyAlignment="1" applyProtection="1">
      <alignment vertical="center"/>
      <protection locked="0"/>
    </xf>
    <xf numFmtId="1" fontId="5" fillId="0" borderId="0" xfId="3" applyNumberFormat="1" applyFont="1" applyFill="1" applyBorder="1" applyAlignment="1">
      <alignment vertical="center"/>
    </xf>
    <xf numFmtId="0" fontId="5" fillId="0" borderId="0" xfId="3" applyNumberFormat="1" applyFont="1" applyFill="1" applyBorder="1" applyAlignment="1" applyProtection="1">
      <alignment horizontal="left" vertical="center"/>
      <protection locked="0"/>
    </xf>
    <xf numFmtId="1" fontId="6" fillId="0" borderId="0" xfId="3" applyNumberFormat="1" applyFont="1" applyFill="1" applyBorder="1" applyAlignment="1">
      <alignment vertical="center"/>
    </xf>
    <xf numFmtId="0" fontId="6" fillId="0" borderId="0" xfId="3" applyNumberFormat="1" applyFont="1" applyFill="1" applyBorder="1" applyAlignment="1" applyProtection="1">
      <alignment horizontal="left" vertical="center"/>
      <protection locked="0"/>
    </xf>
    <xf numFmtId="0" fontId="11" fillId="0" borderId="0" xfId="0" applyNumberFormat="1" applyFont="1" applyFill="1" applyAlignment="1">
      <alignment vertical="center"/>
    </xf>
    <xf numFmtId="0" fontId="12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Alignment="1">
      <alignment vertical="center"/>
    </xf>
    <xf numFmtId="1" fontId="12" fillId="0" borderId="0" xfId="0" applyNumberFormat="1" applyFont="1" applyFill="1" applyAlignment="1">
      <alignment vertical="center"/>
    </xf>
    <xf numFmtId="0" fontId="12" fillId="0" borderId="0" xfId="0" applyNumberFormat="1" applyFont="1" applyFill="1" applyAlignment="1" applyProtection="1">
      <alignment horizontal="left" vertical="center"/>
      <protection locked="0"/>
    </xf>
    <xf numFmtId="0" fontId="12" fillId="0" borderId="0" xfId="0" applyNumberFormat="1" applyFont="1" applyFill="1" applyAlignment="1" applyProtection="1">
      <alignment horizontal="center" vertical="center"/>
      <protection locked="0"/>
    </xf>
    <xf numFmtId="0" fontId="12" fillId="0" borderId="0" xfId="3" applyNumberFormat="1" applyFont="1" applyFill="1" applyAlignment="1" applyProtection="1">
      <alignment vertical="center"/>
      <protection locked="0"/>
    </xf>
    <xf numFmtId="0" fontId="12" fillId="0" borderId="0" xfId="3" applyNumberFormat="1" applyFont="1" applyFill="1" applyAlignment="1">
      <alignment vertical="center"/>
    </xf>
    <xf numFmtId="0" fontId="5" fillId="0" borderId="3" xfId="3" applyNumberFormat="1" applyFont="1" applyFill="1" applyBorder="1" applyAlignment="1" applyProtection="1">
      <alignment horizontal="left" vertical="center"/>
      <protection locked="0"/>
    </xf>
    <xf numFmtId="3" fontId="6" fillId="0" borderId="0" xfId="3" applyNumberFormat="1" applyFont="1" applyFill="1" applyBorder="1" applyAlignment="1">
      <alignment horizontal="right" vertical="center"/>
    </xf>
    <xf numFmtId="3" fontId="6" fillId="0" borderId="0" xfId="3" applyNumberFormat="1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right" vertical="center"/>
    </xf>
    <xf numFmtId="3" fontId="5" fillId="0" borderId="0" xfId="3" applyNumberFormat="1" applyFont="1" applyFill="1" applyAlignment="1" applyProtection="1">
      <alignment vertical="center"/>
      <protection locked="0"/>
    </xf>
    <xf numFmtId="3" fontId="5" fillId="0" borderId="0" xfId="3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  <protection locked="0"/>
    </xf>
    <xf numFmtId="3" fontId="5" fillId="0" borderId="0" xfId="0" applyNumberFormat="1" applyFont="1" applyFill="1" applyAlignment="1">
      <alignment vertical="center"/>
    </xf>
    <xf numFmtId="0" fontId="15" fillId="0" borderId="0" xfId="0" applyNumberFormat="1" applyFont="1" applyFill="1" applyBorder="1" applyAlignment="1" applyProtection="1">
      <alignment horizontal="left" vertical="center"/>
      <protection locked="0"/>
    </xf>
    <xf numFmtId="0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1" fontId="15" fillId="0" borderId="0" xfId="4" applyNumberFormat="1" applyFont="1" applyFill="1" applyBorder="1" applyAlignment="1">
      <alignment vertical="center"/>
    </xf>
    <xf numFmtId="0" fontId="15" fillId="0" borderId="0" xfId="4" applyNumberFormat="1" applyFont="1" applyFill="1" applyBorder="1" applyAlignment="1">
      <alignment vertical="center"/>
    </xf>
    <xf numFmtId="0" fontId="15" fillId="0" borderId="0" xfId="4" applyNumberFormat="1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>
      <alignment vertical="center"/>
    </xf>
    <xf numFmtId="0" fontId="15" fillId="0" borderId="0" xfId="4" applyNumberFormat="1" applyFont="1" applyFill="1" applyBorder="1" applyAlignment="1" applyProtection="1">
      <alignment horizontal="left" vertical="center"/>
      <protection locked="0"/>
    </xf>
    <xf numFmtId="3" fontId="15" fillId="0" borderId="0" xfId="4" applyNumberFormat="1" applyFont="1" applyFill="1" applyBorder="1" applyAlignment="1">
      <alignment vertical="center"/>
    </xf>
    <xf numFmtId="3" fontId="15" fillId="0" borderId="0" xfId="3" applyNumberFormat="1" applyFont="1" applyFill="1" applyBorder="1" applyAlignment="1">
      <alignment horizontal="right" vertical="center"/>
    </xf>
    <xf numFmtId="0" fontId="6" fillId="0" borderId="0" xfId="2" applyFont="1" applyFill="1" applyAlignment="1" applyProtection="1">
      <alignment horizontal="left" vertical="center" wrapText="1"/>
      <protection locked="0"/>
    </xf>
    <xf numFmtId="0" fontId="6" fillId="0" borderId="0" xfId="2" applyFont="1" applyFill="1" applyBorder="1" applyAlignment="1" applyProtection="1">
      <alignment horizontal="left" vertical="center" wrapText="1"/>
      <protection locked="0"/>
    </xf>
    <xf numFmtId="0" fontId="17" fillId="0" borderId="0" xfId="0" applyNumberFormat="1" applyFont="1" applyFill="1" applyAlignment="1">
      <alignment vertical="center"/>
    </xf>
    <xf numFmtId="0" fontId="18" fillId="0" borderId="0" xfId="0" applyNumberFormat="1" applyFont="1" applyFill="1" applyAlignment="1">
      <alignment vertical="center"/>
    </xf>
    <xf numFmtId="0" fontId="19" fillId="0" borderId="0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3" fontId="18" fillId="0" borderId="0" xfId="4" applyNumberFormat="1" applyFont="1" applyFill="1" applyBorder="1" applyAlignment="1">
      <alignment horizontal="right" vertical="center"/>
    </xf>
    <xf numFmtId="0" fontId="18" fillId="0" borderId="0" xfId="4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vertical="center"/>
    </xf>
    <xf numFmtId="0" fontId="5" fillId="0" borderId="1" xfId="4" applyNumberFormat="1" applyFont="1" applyFill="1" applyBorder="1" applyAlignment="1">
      <alignment horizontal="center" vertical="center"/>
    </xf>
    <xf numFmtId="0" fontId="5" fillId="0" borderId="1" xfId="3" applyNumberFormat="1" applyFont="1" applyFill="1" applyBorder="1" applyAlignment="1" applyProtection="1">
      <alignment horizontal="center" vertical="center"/>
      <protection locked="0"/>
    </xf>
    <xf numFmtId="0" fontId="5" fillId="0" borderId="1" xfId="3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 applyProtection="1">
      <alignment horizontal="left" vertical="center"/>
      <protection locked="0"/>
    </xf>
    <xf numFmtId="0" fontId="5" fillId="0" borderId="5" xfId="0" applyNumberFormat="1" applyFont="1" applyFill="1" applyBorder="1" applyAlignment="1" applyProtection="1">
      <alignment horizontal="left" vertical="center"/>
      <protection locked="0"/>
    </xf>
    <xf numFmtId="0" fontId="5" fillId="0" borderId="4" xfId="3" applyNumberFormat="1" applyFont="1" applyFill="1" applyBorder="1" applyAlignment="1">
      <alignment vertical="center"/>
    </xf>
    <xf numFmtId="0" fontId="5" fillId="0" borderId="4" xfId="3" applyNumberFormat="1" applyFont="1" applyFill="1" applyBorder="1" applyAlignment="1" applyProtection="1">
      <alignment horizontal="center" vertical="center"/>
      <protection locked="0"/>
    </xf>
    <xf numFmtId="0" fontId="5" fillId="0" borderId="4" xfId="3" applyNumberFormat="1" applyFont="1" applyFill="1" applyBorder="1" applyAlignment="1" applyProtection="1">
      <alignment vertical="center"/>
      <protection locked="0"/>
    </xf>
    <xf numFmtId="0" fontId="5" fillId="0" borderId="1" xfId="3" applyNumberFormat="1" applyFont="1" applyFill="1" applyBorder="1" applyAlignment="1" applyProtection="1">
      <alignment horizontal="left" vertical="center"/>
      <protection locked="0"/>
    </xf>
    <xf numFmtId="0" fontId="5" fillId="0" borderId="1" xfId="3" applyNumberFormat="1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3" xfId="3" applyNumberFormat="1" applyFont="1" applyFill="1" applyBorder="1" applyAlignment="1">
      <alignment vertical="center"/>
    </xf>
    <xf numFmtId="0" fontId="15" fillId="0" borderId="0" xfId="3" applyNumberFormat="1" applyFont="1" applyFill="1" applyBorder="1" applyAlignment="1">
      <alignment vertical="center"/>
    </xf>
    <xf numFmtId="0" fontId="15" fillId="0" borderId="0" xfId="3" applyNumberFormat="1" applyFont="1" applyFill="1" applyBorder="1" applyAlignment="1" applyProtection="1">
      <alignment horizontal="left" vertical="center"/>
      <protection locked="0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3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3" fontId="8" fillId="0" borderId="0" xfId="3" applyNumberFormat="1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>
      <alignment vertical="center"/>
    </xf>
    <xf numFmtId="1" fontId="5" fillId="0" borderId="0" xfId="3" applyNumberFormat="1" applyFont="1" applyFill="1" applyAlignment="1" applyProtection="1">
      <alignment vertical="center"/>
      <protection locked="0"/>
    </xf>
    <xf numFmtId="3" fontId="5" fillId="0" borderId="0" xfId="3" applyNumberFormat="1" applyFont="1" applyFill="1" applyAlignment="1">
      <alignment vertical="center"/>
    </xf>
    <xf numFmtId="168" fontId="5" fillId="0" borderId="0" xfId="3" applyNumberFormat="1" applyFont="1" applyFill="1" applyAlignment="1" applyProtection="1">
      <alignment vertical="center"/>
      <protection locked="0"/>
    </xf>
    <xf numFmtId="0" fontId="5" fillId="0" borderId="1" xfId="4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14" fillId="0" borderId="16" xfId="0" applyNumberFormat="1" applyFont="1" applyFill="1" applyBorder="1" applyAlignment="1">
      <alignment horizontal="center" vertical="center"/>
    </xf>
    <xf numFmtId="0" fontId="14" fillId="0" borderId="14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right" vertical="center"/>
    </xf>
    <xf numFmtId="3" fontId="5" fillId="0" borderId="1" xfId="4" applyNumberFormat="1" applyFont="1" applyFill="1" applyBorder="1" applyAlignment="1">
      <alignment horizontal="right" vertical="center" wrapText="1"/>
    </xf>
    <xf numFmtId="0" fontId="22" fillId="0" borderId="0" xfId="0" applyNumberFormat="1" applyFont="1" applyFill="1" applyBorder="1" applyAlignment="1" applyProtection="1">
      <alignment vertical="center"/>
      <protection locked="0"/>
    </xf>
    <xf numFmtId="3" fontId="18" fillId="0" borderId="0" xfId="0" applyNumberFormat="1" applyFont="1" applyFill="1" applyBorder="1" applyAlignment="1">
      <alignment horizontal="right" vertical="center"/>
    </xf>
    <xf numFmtId="0" fontId="18" fillId="0" borderId="0" xfId="3" applyNumberFormat="1" applyFont="1" applyFill="1" applyAlignment="1" applyProtection="1">
      <alignment vertical="center"/>
      <protection locked="0"/>
    </xf>
    <xf numFmtId="0" fontId="18" fillId="0" borderId="0" xfId="3" applyNumberFormat="1" applyFont="1" applyFill="1" applyAlignment="1">
      <alignment vertical="center"/>
    </xf>
    <xf numFmtId="3" fontId="5" fillId="0" borderId="1" xfId="4" applyNumberFormat="1" applyFont="1" applyFill="1" applyBorder="1" applyAlignment="1" applyProtection="1">
      <alignment horizontal="right" vertical="center"/>
      <protection locked="0"/>
    </xf>
    <xf numFmtId="3" fontId="5" fillId="0" borderId="1" xfId="4" applyNumberFormat="1" applyFont="1" applyFill="1" applyBorder="1" applyAlignment="1">
      <alignment horizontal="right" vertical="center"/>
    </xf>
    <xf numFmtId="3" fontId="13" fillId="0" borderId="1" xfId="4" applyNumberFormat="1" applyFont="1" applyFill="1" applyBorder="1" applyAlignment="1">
      <alignment horizontal="right" vertical="center"/>
    </xf>
    <xf numFmtId="3" fontId="5" fillId="0" borderId="0" xfId="4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right" vertical="center"/>
    </xf>
    <xf numFmtId="0" fontId="18" fillId="0" borderId="1" xfId="3" applyNumberFormat="1" applyFont="1" applyFill="1" applyBorder="1" applyAlignment="1">
      <alignment vertical="center"/>
    </xf>
    <xf numFmtId="0" fontId="18" fillId="0" borderId="4" xfId="3" applyNumberFormat="1" applyFont="1" applyFill="1" applyBorder="1" applyAlignment="1">
      <alignment vertical="center"/>
    </xf>
    <xf numFmtId="0" fontId="18" fillId="0" borderId="3" xfId="3" applyNumberFormat="1" applyFont="1" applyFill="1" applyBorder="1" applyAlignment="1">
      <alignment vertical="center"/>
    </xf>
    <xf numFmtId="0" fontId="18" fillId="0" borderId="0" xfId="3" applyNumberFormat="1" applyFont="1" applyFill="1" applyBorder="1" applyAlignment="1">
      <alignment vertical="center"/>
    </xf>
    <xf numFmtId="168" fontId="18" fillId="0" borderId="0" xfId="0" applyNumberFormat="1" applyFont="1" applyFill="1" applyAlignment="1">
      <alignment vertical="center"/>
    </xf>
    <xf numFmtId="3" fontId="18" fillId="0" borderId="0" xfId="0" applyNumberFormat="1" applyFont="1" applyFill="1" applyAlignment="1">
      <alignment vertical="center"/>
    </xf>
    <xf numFmtId="0" fontId="20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 applyProtection="1">
      <alignment horizontal="right" vertical="center"/>
      <protection locked="0"/>
    </xf>
    <xf numFmtId="0" fontId="9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3" applyNumberFormat="1" applyFont="1" applyFill="1" applyBorder="1" applyAlignment="1" applyProtection="1">
      <alignment horizontal="center" vertical="center"/>
      <protection locked="0"/>
    </xf>
    <xf numFmtId="0" fontId="5" fillId="0" borderId="0" xfId="3" applyNumberFormat="1" applyFont="1" applyFill="1" applyBorder="1" applyAlignment="1" applyProtection="1">
      <alignment horizontal="center" vertical="center"/>
      <protection locked="0"/>
    </xf>
    <xf numFmtId="0" fontId="6" fillId="0" borderId="0" xfId="4" applyNumberFormat="1" applyFont="1" applyFill="1" applyAlignment="1" applyProtection="1">
      <alignment horizontal="center" vertical="center"/>
      <protection locked="0"/>
    </xf>
    <xf numFmtId="3" fontId="5" fillId="0" borderId="3" xfId="4" applyNumberFormat="1" applyFont="1" applyFill="1" applyBorder="1" applyAlignment="1">
      <alignment vertical="center"/>
    </xf>
    <xf numFmtId="3" fontId="13" fillId="0" borderId="1" xfId="4" applyNumberFormat="1" applyFont="1" applyFill="1" applyBorder="1" applyAlignment="1">
      <alignment vertical="center"/>
    </xf>
    <xf numFmtId="3" fontId="5" fillId="0" borderId="1" xfId="4" applyNumberFormat="1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vertical="center"/>
    </xf>
    <xf numFmtId="3" fontId="11" fillId="0" borderId="1" xfId="4" applyNumberFormat="1" applyFont="1" applyFill="1" applyBorder="1" applyAlignment="1">
      <alignment horizontal="right" vertical="center"/>
    </xf>
    <xf numFmtId="0" fontId="21" fillId="0" borderId="4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left" vertical="center"/>
      <protection locked="0"/>
    </xf>
    <xf numFmtId="0" fontId="21" fillId="0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>
      <alignment vertical="center"/>
    </xf>
    <xf numFmtId="1" fontId="21" fillId="0" borderId="1" xfId="4" applyNumberFormat="1" applyFont="1" applyFill="1" applyBorder="1" applyAlignment="1">
      <alignment vertical="center"/>
    </xf>
    <xf numFmtId="3" fontId="21" fillId="0" borderId="1" xfId="4" applyNumberFormat="1" applyFont="1" applyFill="1" applyBorder="1" applyAlignment="1">
      <alignment vertical="center"/>
    </xf>
    <xf numFmtId="0" fontId="21" fillId="0" borderId="1" xfId="4" applyNumberFormat="1" applyFont="1" applyFill="1" applyBorder="1" applyAlignment="1" applyProtection="1">
      <alignment horizontal="center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vertical="center"/>
    </xf>
    <xf numFmtId="3" fontId="14" fillId="0" borderId="1" xfId="0" applyNumberFormat="1" applyFont="1" applyFill="1" applyBorder="1" applyAlignment="1">
      <alignment horizontal="right" vertical="center"/>
    </xf>
    <xf numFmtId="3" fontId="14" fillId="0" borderId="1" xfId="4" applyNumberFormat="1" applyFont="1" applyFill="1" applyBorder="1" applyAlignment="1">
      <alignment horizontal="right" vertical="center"/>
    </xf>
    <xf numFmtId="0" fontId="21" fillId="0" borderId="0" xfId="0" applyNumberFormat="1" applyFont="1" applyFill="1" applyAlignment="1">
      <alignment vertical="center"/>
    </xf>
    <xf numFmtId="1" fontId="21" fillId="0" borderId="1" xfId="0" applyNumberFormat="1" applyFont="1" applyFill="1" applyBorder="1" applyAlignment="1">
      <alignment vertical="center"/>
    </xf>
    <xf numFmtId="0" fontId="21" fillId="0" borderId="1" xfId="0" applyNumberFormat="1" applyFont="1" applyFill="1" applyBorder="1" applyAlignment="1" applyProtection="1">
      <alignment horizontal="left" vertical="center"/>
      <protection locked="0"/>
    </xf>
    <xf numFmtId="3" fontId="21" fillId="0" borderId="1" xfId="0" applyNumberFormat="1" applyFont="1" applyFill="1" applyBorder="1" applyAlignment="1">
      <alignment vertical="center"/>
    </xf>
    <xf numFmtId="3" fontId="6" fillId="0" borderId="0" xfId="4" applyNumberFormat="1" applyFont="1" applyFill="1" applyAlignment="1">
      <alignment vertical="center"/>
    </xf>
    <xf numFmtId="167" fontId="14" fillId="4" borderId="3" xfId="3" applyNumberFormat="1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Fill="1" applyBorder="1" applyAlignment="1">
      <alignment horizontal="center" vertical="center" wrapText="1"/>
    </xf>
    <xf numFmtId="3" fontId="6" fillId="0" borderId="0" xfId="3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right" vertical="center"/>
    </xf>
    <xf numFmtId="0" fontId="21" fillId="0" borderId="1" xfId="0" applyNumberFormat="1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 applyProtection="1">
      <alignment horizontal="right" vertical="center"/>
      <protection locked="0"/>
    </xf>
    <xf numFmtId="0" fontId="5" fillId="0" borderId="1" xfId="0" applyNumberFormat="1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>
      <alignment horizontal="right" vertical="center"/>
    </xf>
    <xf numFmtId="0" fontId="12" fillId="0" borderId="0" xfId="0" applyNumberFormat="1" applyFont="1" applyFill="1" applyAlignment="1">
      <alignment horizontal="right" vertical="center"/>
    </xf>
    <xf numFmtId="0" fontId="9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1" xfId="0" applyNumberFormat="1" applyFont="1" applyFill="1" applyBorder="1" applyAlignment="1" applyProtection="1">
      <alignment horizontal="right" vertical="center"/>
      <protection locked="0"/>
    </xf>
    <xf numFmtId="0" fontId="23" fillId="0" borderId="0" xfId="0" applyNumberFormat="1" applyFont="1" applyFill="1" applyBorder="1" applyAlignment="1" applyProtection="1">
      <alignment vertical="center"/>
      <protection locked="0"/>
    </xf>
    <xf numFmtId="4" fontId="5" fillId="0" borderId="1" xfId="4" applyNumberFormat="1" applyFont="1" applyFill="1" applyBorder="1" applyAlignment="1" applyProtection="1">
      <alignment horizontal="right" vertical="center"/>
      <protection locked="0"/>
    </xf>
    <xf numFmtId="4" fontId="5" fillId="0" borderId="1" xfId="4" applyNumberFormat="1" applyFont="1" applyFill="1" applyBorder="1" applyAlignment="1">
      <alignment horizontal="right" vertical="center"/>
    </xf>
    <xf numFmtId="4" fontId="5" fillId="0" borderId="1" xfId="4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>
      <alignment horizontal="centerContinuous" vertical="center"/>
    </xf>
    <xf numFmtId="0" fontId="18" fillId="0" borderId="0" xfId="0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 applyProtection="1">
      <alignment horizontal="right" vertical="center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3" fontId="5" fillId="0" borderId="0" xfId="6" applyNumberFormat="1" applyFont="1" applyFill="1" applyAlignment="1">
      <alignment horizontal="right" vertical="center"/>
    </xf>
    <xf numFmtId="3" fontId="5" fillId="0" borderId="0" xfId="6" applyNumberFormat="1" applyFont="1" applyFill="1" applyAlignment="1">
      <alignment vertical="center"/>
    </xf>
    <xf numFmtId="1" fontId="14" fillId="0" borderId="0" xfId="0" applyNumberFormat="1" applyFont="1" applyFill="1" applyAlignment="1">
      <alignment vertical="center"/>
    </xf>
    <xf numFmtId="169" fontId="12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168" fontId="5" fillId="0" borderId="1" xfId="4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vertical="center"/>
    </xf>
    <xf numFmtId="3" fontId="21" fillId="0" borderId="0" xfId="3" applyNumberFormat="1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Fill="1" applyBorder="1" applyAlignment="1" applyProtection="1">
      <alignment horizontal="center" vertical="center"/>
      <protection locked="0"/>
    </xf>
    <xf numFmtId="168" fontId="5" fillId="0" borderId="1" xfId="3" applyNumberFormat="1" applyFont="1" applyFill="1" applyBorder="1" applyAlignment="1" applyProtection="1">
      <alignment horizontal="right" vertical="center"/>
      <protection locked="0"/>
    </xf>
    <xf numFmtId="168" fontId="5" fillId="0" borderId="1" xfId="3" applyNumberFormat="1" applyFont="1" applyFill="1" applyBorder="1" applyAlignment="1">
      <alignment horizontal="right" vertical="center"/>
    </xf>
    <xf numFmtId="168" fontId="5" fillId="0" borderId="1" xfId="0" applyNumberFormat="1" applyFont="1" applyFill="1" applyBorder="1" applyAlignment="1">
      <alignment horizontal="right" vertical="center"/>
    </xf>
    <xf numFmtId="3" fontId="14" fillId="0" borderId="1" xfId="0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 applyProtection="1">
      <alignment horizontal="right" vertical="center"/>
      <protection locked="0"/>
    </xf>
    <xf numFmtId="4" fontId="5" fillId="0" borderId="1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Alignment="1">
      <alignment vertical="center"/>
    </xf>
    <xf numFmtId="3" fontId="5" fillId="0" borderId="1" xfId="6" applyNumberFormat="1" applyFont="1" applyFill="1" applyBorder="1" applyAlignment="1">
      <alignment horizontal="right" vertical="center"/>
    </xf>
    <xf numFmtId="0" fontId="5" fillId="0" borderId="0" xfId="6" applyNumberFormat="1" applyFont="1" applyFill="1" applyAlignment="1">
      <alignment vertical="center"/>
    </xf>
    <xf numFmtId="0" fontId="13" fillId="0" borderId="0" xfId="0" applyNumberFormat="1" applyFont="1" applyFill="1" applyAlignment="1">
      <alignment vertical="center"/>
    </xf>
    <xf numFmtId="1" fontId="5" fillId="0" borderId="1" xfId="0" applyNumberFormat="1" applyFont="1" applyFill="1" applyBorder="1" applyAlignment="1" applyProtection="1">
      <alignment horizontal="right" vertical="center"/>
      <protection locked="0"/>
    </xf>
    <xf numFmtId="0" fontId="14" fillId="0" borderId="1" xfId="0" applyNumberFormat="1" applyFont="1" applyFill="1" applyBorder="1" applyAlignment="1" applyProtection="1">
      <alignment horizontal="left" vertical="center"/>
      <protection locked="0"/>
    </xf>
    <xf numFmtId="0" fontId="6" fillId="0" borderId="0" xfId="3" applyNumberFormat="1" applyFont="1" applyFill="1" applyBorder="1" applyAlignment="1" applyProtection="1">
      <alignment horizontal="right" vertical="center"/>
      <protection locked="0"/>
    </xf>
    <xf numFmtId="0" fontId="5" fillId="0" borderId="0" xfId="3" applyNumberFormat="1" applyFont="1" applyFill="1" applyBorder="1" applyAlignment="1" applyProtection="1">
      <alignment horizontal="right" vertical="center"/>
      <protection locked="0"/>
    </xf>
    <xf numFmtId="0" fontId="18" fillId="0" borderId="1" xfId="6" applyNumberFormat="1" applyFont="1" applyFill="1" applyBorder="1" applyAlignment="1">
      <alignment horizontal="right" vertical="center"/>
    </xf>
    <xf numFmtId="3" fontId="21" fillId="0" borderId="1" xfId="4" applyNumberFormat="1" applyFont="1" applyFill="1" applyBorder="1" applyAlignment="1">
      <alignment horizontal="right" vertical="center"/>
    </xf>
    <xf numFmtId="3" fontId="15" fillId="0" borderId="0" xfId="4" applyNumberFormat="1" applyFont="1" applyFill="1" applyBorder="1" applyAlignment="1">
      <alignment horizontal="right" vertical="center"/>
    </xf>
    <xf numFmtId="3" fontId="5" fillId="0" borderId="1" xfId="3" applyNumberFormat="1" applyFont="1" applyFill="1" applyBorder="1" applyAlignment="1">
      <alignment horizontal="right" vertical="center"/>
    </xf>
    <xf numFmtId="0" fontId="29" fillId="0" borderId="0" xfId="0" applyNumberFormat="1" applyFont="1" applyFill="1" applyAlignment="1">
      <alignment vertical="center"/>
    </xf>
    <xf numFmtId="169" fontId="29" fillId="0" borderId="1" xfId="0" applyNumberFormat="1" applyFont="1" applyFill="1" applyBorder="1" applyAlignment="1">
      <alignment vertical="center"/>
    </xf>
    <xf numFmtId="0" fontId="29" fillId="0" borderId="0" xfId="0" applyNumberFormat="1" applyFont="1" applyFill="1" applyBorder="1" applyAlignment="1">
      <alignment vertical="center"/>
    </xf>
    <xf numFmtId="168" fontId="28" fillId="0" borderId="0" xfId="0" applyNumberFormat="1" applyFont="1" applyFill="1" applyBorder="1" applyAlignment="1">
      <alignment vertical="center"/>
    </xf>
    <xf numFmtId="168" fontId="29" fillId="0" borderId="0" xfId="0" applyNumberFormat="1" applyFont="1" applyFill="1" applyBorder="1" applyAlignment="1">
      <alignment vertical="center"/>
    </xf>
    <xf numFmtId="0" fontId="28" fillId="0" borderId="0" xfId="0" applyNumberFormat="1" applyFont="1" applyFill="1" applyAlignment="1">
      <alignment vertical="center"/>
    </xf>
    <xf numFmtId="0" fontId="30" fillId="0" borderId="0" xfId="0" applyNumberFormat="1" applyFont="1" applyFill="1" applyAlignment="1">
      <alignment vertical="center"/>
    </xf>
    <xf numFmtId="4" fontId="6" fillId="0" borderId="0" xfId="4" applyNumberFormat="1" applyFont="1" applyFill="1" applyAlignment="1">
      <alignment vertical="center"/>
    </xf>
    <xf numFmtId="4" fontId="5" fillId="0" borderId="1" xfId="3" applyNumberFormat="1" applyFont="1" applyFill="1" applyBorder="1" applyAlignment="1" applyProtection="1">
      <alignment horizontal="right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3" fontId="5" fillId="0" borderId="1" xfId="3" applyNumberFormat="1" applyFont="1" applyFill="1" applyBorder="1" applyAlignment="1" applyProtection="1">
      <alignment horizontal="right" vertical="center"/>
      <protection locked="0"/>
    </xf>
    <xf numFmtId="0" fontId="14" fillId="0" borderId="3" xfId="0" applyFont="1" applyFill="1" applyBorder="1" applyAlignment="1">
      <alignment horizontal="center" vertical="center" wrapText="1"/>
    </xf>
    <xf numFmtId="4" fontId="21" fillId="0" borderId="1" xfId="4" applyNumberFormat="1" applyFont="1" applyFill="1" applyBorder="1" applyAlignment="1">
      <alignment horizontal="righ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6" applyNumberFormat="1" applyFont="1" applyFill="1" applyBorder="1" applyAlignment="1">
      <alignment vertical="center"/>
    </xf>
    <xf numFmtId="3" fontId="5" fillId="0" borderId="1" xfId="6" applyNumberFormat="1" applyFont="1" applyFill="1" applyBorder="1" applyAlignment="1">
      <alignment vertical="center"/>
    </xf>
    <xf numFmtId="4" fontId="21" fillId="0" borderId="1" xfId="0" applyNumberFormat="1" applyFont="1" applyFill="1" applyBorder="1" applyAlignment="1">
      <alignment vertical="center"/>
    </xf>
    <xf numFmtId="0" fontId="14" fillId="0" borderId="0" xfId="0" applyFont="1"/>
    <xf numFmtId="0" fontId="14" fillId="0" borderId="0" xfId="0" applyNumberFormat="1" applyFont="1" applyFill="1" applyAlignment="1">
      <alignment vertical="center"/>
    </xf>
    <xf numFmtId="0" fontId="14" fillId="0" borderId="0" xfId="0" applyNumberFormat="1" applyFont="1" applyFill="1" applyBorder="1" applyAlignment="1">
      <alignment vertical="center"/>
    </xf>
    <xf numFmtId="0" fontId="36" fillId="0" borderId="1" xfId="0" applyFont="1" applyBorder="1" applyAlignment="1">
      <alignment horizontal="center" vertical="center" textRotation="90" wrapText="1"/>
    </xf>
    <xf numFmtId="0" fontId="35" fillId="0" borderId="1" xfId="0" applyFont="1" applyBorder="1" applyAlignment="1">
      <alignment horizontal="center" vertical="center" textRotation="90" wrapText="1"/>
    </xf>
    <xf numFmtId="0" fontId="29" fillId="0" borderId="7" xfId="0" applyFont="1" applyFill="1" applyBorder="1" applyAlignment="1">
      <alignment horizontal="center" vertical="center" wrapText="1"/>
    </xf>
    <xf numFmtId="169" fontId="29" fillId="0" borderId="7" xfId="0" applyNumberFormat="1" applyFont="1" applyFill="1" applyBorder="1" applyAlignment="1">
      <alignment vertical="center"/>
    </xf>
    <xf numFmtId="169" fontId="28" fillId="0" borderId="7" xfId="0" applyNumberFormat="1" applyFont="1" applyFill="1" applyBorder="1" applyAlignment="1">
      <alignment vertical="center"/>
    </xf>
    <xf numFmtId="0" fontId="5" fillId="0" borderId="0" xfId="9" applyNumberFormat="1" applyFont="1" applyFill="1" applyBorder="1" applyAlignment="1" applyProtection="1">
      <alignment horizontal="left" vertical="center"/>
      <protection locked="0"/>
    </xf>
    <xf numFmtId="0" fontId="11" fillId="0" borderId="0" xfId="0" applyNumberFormat="1" applyFont="1" applyFill="1" applyBorder="1" applyAlignment="1">
      <alignment vertical="center"/>
    </xf>
    <xf numFmtId="168" fontId="6" fillId="0" borderId="0" xfId="3" applyNumberFormat="1" applyFont="1" applyFill="1" applyBorder="1" applyAlignment="1">
      <alignment horizontal="right" vertical="center"/>
    </xf>
    <xf numFmtId="4" fontId="14" fillId="0" borderId="1" xfId="3" applyNumberFormat="1" applyFont="1" applyFill="1" applyBorder="1" applyAlignment="1" applyProtection="1">
      <alignment horizontal="right" vertical="center"/>
      <protection locked="0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vertical="center" wrapText="1"/>
    </xf>
    <xf numFmtId="168" fontId="5" fillId="0" borderId="0" xfId="3" applyNumberFormat="1" applyFont="1" applyFill="1" applyBorder="1" applyAlignment="1">
      <alignment horizontal="right" vertical="center"/>
    </xf>
    <xf numFmtId="0" fontId="5" fillId="0" borderId="1" xfId="7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right" vertical="center" wrapText="1"/>
    </xf>
    <xf numFmtId="4" fontId="14" fillId="0" borderId="4" xfId="0" applyNumberFormat="1" applyFont="1" applyFill="1" applyBorder="1" applyAlignment="1">
      <alignment horizontal="right" vertical="center" wrapText="1"/>
    </xf>
    <xf numFmtId="168" fontId="18" fillId="0" borderId="0" xfId="0" applyNumberFormat="1" applyFont="1" applyFill="1" applyBorder="1" applyAlignment="1">
      <alignment vertical="center"/>
    </xf>
    <xf numFmtId="168" fontId="19" fillId="0" borderId="0" xfId="0" applyNumberFormat="1" applyFont="1" applyFill="1" applyBorder="1" applyAlignment="1">
      <alignment vertical="center"/>
    </xf>
    <xf numFmtId="3" fontId="5" fillId="0" borderId="0" xfId="0" applyNumberFormat="1" applyFont="1" applyFill="1" applyAlignment="1">
      <alignment horizontal="center" vertical="center"/>
    </xf>
    <xf numFmtId="3" fontId="19" fillId="0" borderId="0" xfId="3" applyNumberFormat="1" applyFont="1" applyFill="1" applyBorder="1" applyAlignment="1">
      <alignment horizontal="center" vertical="center"/>
    </xf>
    <xf numFmtId="169" fontId="29" fillId="0" borderId="0" xfId="0" applyNumberFormat="1" applyFont="1" applyFill="1" applyAlignment="1">
      <alignment vertical="center"/>
    </xf>
    <xf numFmtId="3" fontId="21" fillId="0" borderId="0" xfId="3" applyNumberFormat="1" applyFont="1" applyFill="1" applyBorder="1" applyAlignment="1" applyProtection="1">
      <alignment horizontal="right" vertical="center"/>
      <protection locked="0"/>
    </xf>
    <xf numFmtId="3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NumberFormat="1" applyFont="1" applyFill="1" applyAlignment="1" applyProtection="1">
      <alignment horizontal="right" vertical="center"/>
      <protection locked="0"/>
    </xf>
    <xf numFmtId="0" fontId="21" fillId="0" borderId="0" xfId="4" applyNumberFormat="1" applyFont="1" applyFill="1" applyBorder="1" applyAlignment="1" applyProtection="1">
      <alignment horizontal="right" vertical="center"/>
      <protection locked="0"/>
    </xf>
    <xf numFmtId="3" fontId="21" fillId="0" borderId="0" xfId="4" applyNumberFormat="1" applyFont="1" applyFill="1" applyBorder="1" applyAlignment="1">
      <alignment horizontal="right" vertical="center"/>
    </xf>
    <xf numFmtId="0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NumberFormat="1" applyFont="1" applyFill="1" applyBorder="1" applyAlignment="1">
      <alignment horizontal="right" vertical="center"/>
    </xf>
    <xf numFmtId="0" fontId="21" fillId="0" borderId="0" xfId="0" applyNumberFormat="1" applyFont="1" applyFill="1" applyAlignment="1">
      <alignment horizontal="right" vertical="center"/>
    </xf>
    <xf numFmtId="3" fontId="21" fillId="0" borderId="0" xfId="0" applyNumberFormat="1" applyFont="1" applyFill="1" applyBorder="1" applyAlignment="1">
      <alignment horizontal="right" vertical="center"/>
    </xf>
    <xf numFmtId="4" fontId="5" fillId="0" borderId="0" xfId="3" applyNumberFormat="1" applyFont="1" applyFill="1" applyAlignment="1" applyProtection="1">
      <alignment vertical="center"/>
      <protection locked="0"/>
    </xf>
    <xf numFmtId="4" fontId="6" fillId="0" borderId="0" xfId="3" applyNumberFormat="1" applyFont="1" applyFill="1" applyBorder="1" applyAlignment="1">
      <alignment horizontal="right" vertical="center"/>
    </xf>
    <xf numFmtId="4" fontId="18" fillId="0" borderId="1" xfId="4" applyNumberFormat="1" applyFont="1" applyFill="1" applyBorder="1" applyAlignment="1">
      <alignment horizontal="right" vertical="center"/>
    </xf>
    <xf numFmtId="4" fontId="18" fillId="0" borderId="1" xfId="4" applyNumberFormat="1" applyFont="1" applyFill="1" applyBorder="1" applyAlignment="1" applyProtection="1">
      <alignment horizontal="right" vertical="center"/>
      <protection locked="0"/>
    </xf>
    <xf numFmtId="4" fontId="5" fillId="0" borderId="1" xfId="0" applyNumberFormat="1" applyFont="1" applyFill="1" applyBorder="1" applyAlignment="1">
      <alignment vertical="center"/>
    </xf>
    <xf numFmtId="4" fontId="5" fillId="0" borderId="1" xfId="4" applyNumberFormat="1" applyFont="1" applyFill="1" applyBorder="1" applyAlignment="1" applyProtection="1">
      <alignment horizontal="right" vertical="center" wrapText="1"/>
      <protection locked="0"/>
    </xf>
    <xf numFmtId="4" fontId="14" fillId="0" borderId="1" xfId="0" applyNumberFormat="1" applyFont="1" applyFill="1" applyBorder="1" applyAlignment="1">
      <alignment horizontal="right" vertical="center"/>
    </xf>
    <xf numFmtId="4" fontId="5" fillId="0" borderId="1" xfId="3" applyNumberFormat="1" applyFont="1" applyFill="1" applyBorder="1" applyAlignment="1">
      <alignment vertical="center"/>
    </xf>
    <xf numFmtId="4" fontId="18" fillId="0" borderId="1" xfId="0" applyNumberFormat="1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horizontal="right" vertical="center"/>
    </xf>
    <xf numFmtId="4" fontId="19" fillId="0" borderId="1" xfId="0" applyNumberFormat="1" applyFont="1" applyFill="1" applyBorder="1" applyAlignment="1">
      <alignment horizontal="right" vertical="center"/>
    </xf>
    <xf numFmtId="4" fontId="5" fillId="0" borderId="0" xfId="0" applyNumberFormat="1" applyFont="1" applyFill="1" applyBorder="1" applyAlignment="1">
      <alignment vertical="center"/>
    </xf>
    <xf numFmtId="167" fontId="14" fillId="7" borderId="3" xfId="3" applyNumberFormat="1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>
      <alignment vertical="center"/>
    </xf>
    <xf numFmtId="169" fontId="29" fillId="0" borderId="0" xfId="0" applyNumberFormat="1" applyFont="1" applyFill="1" applyBorder="1" applyAlignment="1">
      <alignment vertical="center"/>
    </xf>
    <xf numFmtId="0" fontId="38" fillId="0" borderId="1" xfId="6" applyNumberFormat="1" applyFont="1" applyFill="1" applyBorder="1" applyAlignment="1">
      <alignment horizontal="right" vertical="center"/>
    </xf>
    <xf numFmtId="3" fontId="19" fillId="0" borderId="0" xfId="3" applyNumberFormat="1" applyFont="1" applyFill="1" applyBorder="1" applyAlignment="1">
      <alignment horizontal="right" vertical="center"/>
    </xf>
    <xf numFmtId="3" fontId="18" fillId="0" borderId="0" xfId="3" applyNumberFormat="1" applyFont="1" applyFill="1" applyBorder="1" applyAlignment="1">
      <alignment horizontal="right" vertical="center"/>
    </xf>
    <xf numFmtId="3" fontId="5" fillId="0" borderId="0" xfId="3" applyNumberFormat="1" applyFont="1" applyFill="1" applyBorder="1" applyAlignment="1">
      <alignment vertical="center"/>
    </xf>
    <xf numFmtId="3" fontId="39" fillId="0" borderId="0" xfId="3" applyNumberFormat="1" applyFont="1" applyFill="1" applyBorder="1" applyAlignment="1">
      <alignment horizontal="right" vertical="center"/>
    </xf>
    <xf numFmtId="3" fontId="40" fillId="0" borderId="0" xfId="3" applyNumberFormat="1" applyFont="1" applyFill="1" applyBorder="1" applyAlignment="1">
      <alignment horizontal="right" vertical="center"/>
    </xf>
    <xf numFmtId="0" fontId="40" fillId="0" borderId="0" xfId="0" applyNumberFormat="1" applyFont="1" applyFill="1" applyAlignment="1">
      <alignment vertical="center"/>
    </xf>
    <xf numFmtId="0" fontId="33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/>
    </xf>
    <xf numFmtId="0" fontId="0" fillId="0" borderId="1" xfId="0" applyFill="1" applyBorder="1"/>
    <xf numFmtId="3" fontId="41" fillId="0" borderId="1" xfId="0" applyNumberFormat="1" applyFont="1" applyFill="1" applyBorder="1" applyAlignment="1">
      <alignment vertical="center"/>
    </xf>
    <xf numFmtId="0" fontId="40" fillId="0" borderId="0" xfId="4" applyNumberFormat="1" applyFont="1" applyFill="1" applyBorder="1" applyAlignment="1">
      <alignment vertical="center"/>
    </xf>
    <xf numFmtId="3" fontId="41" fillId="0" borderId="0" xfId="4" applyNumberFormat="1" applyFont="1" applyFill="1" applyAlignment="1">
      <alignment vertical="center"/>
    </xf>
    <xf numFmtId="3" fontId="40" fillId="0" borderId="0" xfId="4" applyNumberFormat="1" applyFont="1" applyFill="1" applyBorder="1" applyAlignment="1">
      <alignment vertical="center"/>
    </xf>
    <xf numFmtId="3" fontId="40" fillId="0" borderId="0" xfId="4" applyNumberFormat="1" applyFont="1" applyFill="1" applyBorder="1" applyAlignment="1">
      <alignment horizontal="center" vertical="center"/>
    </xf>
    <xf numFmtId="0" fontId="40" fillId="0" borderId="0" xfId="0" applyNumberFormat="1" applyFont="1" applyFill="1" applyBorder="1" applyAlignment="1">
      <alignment vertical="center"/>
    </xf>
    <xf numFmtId="3" fontId="41" fillId="0" borderId="1" xfId="4" applyNumberFormat="1" applyFont="1" applyFill="1" applyBorder="1" applyAlignment="1">
      <alignment horizontal="right" vertical="center"/>
    </xf>
    <xf numFmtId="3" fontId="40" fillId="0" borderId="0" xfId="4" applyNumberFormat="1" applyFont="1" applyFill="1" applyBorder="1" applyAlignment="1">
      <alignment horizontal="right" vertical="center"/>
    </xf>
    <xf numFmtId="3" fontId="39" fillId="0" borderId="0" xfId="3" applyNumberFormat="1" applyFont="1" applyFill="1" applyBorder="1" applyAlignment="1">
      <alignment horizontal="center" vertical="center"/>
    </xf>
    <xf numFmtId="3" fontId="42" fillId="0" borderId="0" xfId="4" applyNumberFormat="1" applyFont="1" applyFill="1" applyBorder="1" applyAlignment="1">
      <alignment horizontal="center" vertical="center"/>
    </xf>
    <xf numFmtId="3" fontId="42" fillId="0" borderId="0" xfId="3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4" fontId="35" fillId="0" borderId="1" xfId="0" applyNumberFormat="1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2" fontId="38" fillId="0" borderId="1" xfId="6" applyNumberFormat="1" applyFont="1" applyFill="1" applyBorder="1" applyAlignment="1">
      <alignment horizontal="right" vertical="center"/>
    </xf>
    <xf numFmtId="4" fontId="5" fillId="5" borderId="1" xfId="4" applyNumberFormat="1" applyFont="1" applyFill="1" applyBorder="1" applyAlignment="1" applyProtection="1">
      <alignment horizontal="right" vertical="center"/>
      <protection locked="0"/>
    </xf>
    <xf numFmtId="4" fontId="5" fillId="5" borderId="1" xfId="4" applyNumberFormat="1" applyFont="1" applyFill="1" applyBorder="1" applyAlignment="1">
      <alignment horizontal="right" vertical="center"/>
    </xf>
    <xf numFmtId="4" fontId="6" fillId="0" borderId="0" xfId="3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vertical="center"/>
    </xf>
    <xf numFmtId="4" fontId="5" fillId="0" borderId="1" xfId="4" applyNumberFormat="1" applyFont="1" applyFill="1" applyBorder="1" applyAlignment="1">
      <alignment vertical="center"/>
    </xf>
    <xf numFmtId="170" fontId="5" fillId="0" borderId="1" xfId="4" applyNumberFormat="1" applyFont="1" applyFill="1" applyBorder="1" applyAlignment="1">
      <alignment horizontal="right" vertical="center"/>
    </xf>
    <xf numFmtId="170" fontId="21" fillId="0" borderId="1" xfId="0" applyNumberFormat="1" applyFont="1" applyFill="1" applyBorder="1" applyAlignment="1">
      <alignment vertical="center"/>
    </xf>
    <xf numFmtId="4" fontId="5" fillId="8" borderId="1" xfId="4" applyNumberFormat="1" applyFont="1" applyFill="1" applyBorder="1" applyAlignment="1" applyProtection="1">
      <alignment horizontal="right" vertical="center"/>
      <protection locked="0"/>
    </xf>
    <xf numFmtId="3" fontId="6" fillId="0" borderId="1" xfId="4" applyNumberFormat="1" applyFont="1" applyFill="1" applyBorder="1" applyAlignment="1">
      <alignment horizontal="right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right" vertical="center"/>
    </xf>
    <xf numFmtId="3" fontId="6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Fill="1" applyBorder="1" applyAlignment="1">
      <alignment vertical="center"/>
    </xf>
    <xf numFmtId="0" fontId="23" fillId="0" borderId="0" xfId="0" applyNumberFormat="1" applyFont="1" applyFill="1" applyAlignment="1">
      <alignment vertical="center"/>
    </xf>
    <xf numFmtId="0" fontId="5" fillId="5" borderId="7" xfId="0" applyNumberFormat="1" applyFont="1" applyFill="1" applyBorder="1" applyAlignment="1">
      <alignment vertical="center"/>
    </xf>
    <xf numFmtId="0" fontId="5" fillId="5" borderId="0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167" fontId="14" fillId="0" borderId="3" xfId="3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textRotation="90" wrapText="1"/>
    </xf>
    <xf numFmtId="0" fontId="36" fillId="0" borderId="1" xfId="0" applyFont="1" applyBorder="1" applyAlignment="1">
      <alignment horizontal="center" vertical="center" textRotation="90" wrapText="1"/>
    </xf>
    <xf numFmtId="4" fontId="18" fillId="0" borderId="0" xfId="0" applyNumberFormat="1" applyFont="1" applyFill="1" applyBorder="1" applyAlignment="1">
      <alignment vertical="center"/>
    </xf>
    <xf numFmtId="0" fontId="5" fillId="9" borderId="0" xfId="0" applyNumberFormat="1" applyFont="1" applyFill="1" applyAlignment="1">
      <alignment vertical="center"/>
    </xf>
    <xf numFmtId="0" fontId="18" fillId="9" borderId="0" xfId="0" applyNumberFormat="1" applyFont="1" applyFill="1" applyAlignment="1">
      <alignment vertical="center"/>
    </xf>
    <xf numFmtId="4" fontId="5" fillId="0" borderId="0" xfId="0" applyNumberFormat="1" applyFont="1" applyFill="1" applyAlignment="1">
      <alignment vertical="center"/>
    </xf>
    <xf numFmtId="4" fontId="14" fillId="10" borderId="1" xfId="0" applyNumberFormat="1" applyFont="1" applyFill="1" applyBorder="1"/>
    <xf numFmtId="2" fontId="14" fillId="10" borderId="1" xfId="0" applyNumberFormat="1" applyFont="1" applyFill="1" applyBorder="1"/>
    <xf numFmtId="4" fontId="5" fillId="10" borderId="4" xfId="1" applyNumberFormat="1" applyFont="1" applyFill="1" applyBorder="1" applyAlignment="1">
      <alignment horizontal="right" vertical="center"/>
    </xf>
    <xf numFmtId="2" fontId="14" fillId="10" borderId="7" xfId="0" applyNumberFormat="1" applyFont="1" applyFill="1" applyBorder="1"/>
    <xf numFmtId="4" fontId="14" fillId="10" borderId="1" xfId="0" applyNumberFormat="1" applyFont="1" applyFill="1" applyBorder="1" applyAlignment="1">
      <alignment horizontal="center"/>
    </xf>
    <xf numFmtId="2" fontId="14" fillId="10" borderId="17" xfId="0" applyNumberFormat="1" applyFont="1" applyFill="1" applyBorder="1"/>
    <xf numFmtId="4" fontId="14" fillId="12" borderId="18" xfId="0" applyNumberFormat="1" applyFont="1" applyFill="1" applyBorder="1"/>
    <xf numFmtId="4" fontId="5" fillId="10" borderId="1" xfId="1" applyNumberFormat="1" applyFont="1" applyFill="1" applyBorder="1" applyAlignment="1">
      <alignment horizontal="right" vertical="center"/>
    </xf>
    <xf numFmtId="2" fontId="14" fillId="10" borderId="3" xfId="0" applyNumberFormat="1" applyFont="1" applyFill="1" applyBorder="1"/>
    <xf numFmtId="4" fontId="5" fillId="10" borderId="3" xfId="1" applyNumberFormat="1" applyFont="1" applyFill="1" applyBorder="1" applyAlignment="1">
      <alignment horizontal="right" vertical="center"/>
    </xf>
    <xf numFmtId="2" fontId="14" fillId="10" borderId="11" xfId="0" applyNumberFormat="1" applyFont="1" applyFill="1" applyBorder="1"/>
    <xf numFmtId="4" fontId="14" fillId="0" borderId="1" xfId="0" applyNumberFormat="1" applyFont="1" applyFill="1" applyBorder="1"/>
    <xf numFmtId="4" fontId="14" fillId="0" borderId="7" xfId="0" applyNumberFormat="1" applyFont="1" applyFill="1" applyBorder="1"/>
    <xf numFmtId="4" fontId="14" fillId="0" borderId="1" xfId="0" applyNumberFormat="1" applyFont="1" applyFill="1" applyBorder="1" applyAlignment="1">
      <alignment horizontal="center"/>
    </xf>
    <xf numFmtId="4" fontId="14" fillId="0" borderId="17" xfId="0" applyNumberFormat="1" applyFont="1" applyFill="1" applyBorder="1"/>
    <xf numFmtId="4" fontId="14" fillId="0" borderId="18" xfId="0" applyNumberFormat="1" applyFont="1" applyFill="1" applyBorder="1"/>
    <xf numFmtId="0" fontId="5" fillId="0" borderId="7" xfId="0" applyNumberFormat="1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right" vertical="center" wrapText="1"/>
    </xf>
    <xf numFmtId="4" fontId="21" fillId="0" borderId="1" xfId="0" applyNumberFormat="1" applyFont="1" applyFill="1" applyBorder="1"/>
    <xf numFmtId="0" fontId="14" fillId="0" borderId="1" xfId="0" applyNumberFormat="1" applyFont="1" applyFill="1" applyBorder="1"/>
    <xf numFmtId="2" fontId="14" fillId="0" borderId="1" xfId="0" applyNumberFormat="1" applyFont="1" applyFill="1" applyBorder="1"/>
    <xf numFmtId="0" fontId="14" fillId="0" borderId="7" xfId="0" applyNumberFormat="1" applyFont="1" applyFill="1" applyBorder="1"/>
    <xf numFmtId="0" fontId="14" fillId="0" borderId="0" xfId="0" applyFont="1" applyFill="1"/>
    <xf numFmtId="4" fontId="45" fillId="0" borderId="0" xfId="0" applyNumberFormat="1" applyFont="1" applyFill="1" applyAlignment="1">
      <alignment vertical="center"/>
    </xf>
    <xf numFmtId="0" fontId="11" fillId="0" borderId="3" xfId="7" applyFont="1" applyFill="1" applyBorder="1" applyAlignment="1">
      <alignment horizontal="center" vertical="center" textRotation="90" wrapText="1"/>
    </xf>
    <xf numFmtId="0" fontId="11" fillId="0" borderId="2" xfId="7" applyFont="1" applyFill="1" applyBorder="1" applyAlignment="1">
      <alignment horizontal="center" vertical="center" textRotation="90" wrapText="1"/>
    </xf>
    <xf numFmtId="0" fontId="11" fillId="0" borderId="4" xfId="7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 applyProtection="1">
      <alignment horizontal="center" vertical="center" textRotation="90" wrapText="1"/>
      <protection locked="0"/>
    </xf>
    <xf numFmtId="0" fontId="14" fillId="7" borderId="7" xfId="3" applyNumberFormat="1" applyFont="1" applyFill="1" applyBorder="1" applyAlignment="1">
      <alignment horizontal="center" vertical="center"/>
    </xf>
    <xf numFmtId="0" fontId="14" fillId="7" borderId="9" xfId="3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5" fillId="0" borderId="3" xfId="5" applyFont="1" applyFill="1" applyBorder="1" applyAlignment="1">
      <alignment horizontal="center" vertical="center" textRotation="90" wrapText="1"/>
    </xf>
    <xf numFmtId="0" fontId="5" fillId="0" borderId="2" xfId="5" applyFont="1" applyFill="1" applyBorder="1" applyAlignment="1">
      <alignment horizontal="center" vertical="center" textRotation="90" wrapText="1"/>
    </xf>
    <xf numFmtId="0" fontId="5" fillId="0" borderId="4" xfId="5" applyFont="1" applyFill="1" applyBorder="1" applyAlignment="1">
      <alignment horizontal="center" vertical="center" textRotation="90" wrapText="1"/>
    </xf>
    <xf numFmtId="0" fontId="14" fillId="0" borderId="3" xfId="0" applyNumberFormat="1" applyFont="1" applyFill="1" applyBorder="1" applyAlignment="1">
      <alignment horizontal="center" vertical="center" textRotation="90" wrapText="1"/>
    </xf>
    <xf numFmtId="0" fontId="14" fillId="0" borderId="2" xfId="0" applyNumberFormat="1" applyFont="1" applyFill="1" applyBorder="1" applyAlignment="1">
      <alignment horizontal="center" vertical="center" textRotation="90" wrapText="1"/>
    </xf>
    <xf numFmtId="0" fontId="14" fillId="0" borderId="4" xfId="0" applyNumberFormat="1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textRotation="90" wrapText="1"/>
    </xf>
    <xf numFmtId="0" fontId="5" fillId="0" borderId="2" xfId="0" applyNumberFormat="1" applyFont="1" applyFill="1" applyBorder="1" applyAlignment="1">
      <alignment horizontal="center" vertical="center" textRotation="90" wrapText="1"/>
    </xf>
    <xf numFmtId="0" fontId="5" fillId="0" borderId="4" xfId="0" applyNumberFormat="1" applyFont="1" applyFill="1" applyBorder="1" applyAlignment="1">
      <alignment horizontal="center" vertical="center" textRotation="90" wrapText="1"/>
    </xf>
    <xf numFmtId="167" fontId="14" fillId="0" borderId="7" xfId="3" applyNumberFormat="1" applyFont="1" applyFill="1" applyBorder="1" applyAlignment="1" applyProtection="1">
      <alignment horizontal="center" vertical="center" wrapText="1"/>
      <protection locked="0"/>
    </xf>
    <xf numFmtId="167" fontId="14" fillId="0" borderId="17" xfId="3" applyNumberFormat="1" applyFont="1" applyFill="1" applyBorder="1" applyAlignment="1" applyProtection="1">
      <alignment horizontal="center" vertical="center" wrapText="1"/>
      <protection locked="0"/>
    </xf>
    <xf numFmtId="167" fontId="14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14" fillId="7" borderId="1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5" fillId="0" borderId="1" xfId="3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3" applyNumberFormat="1" applyFont="1" applyFill="1" applyBorder="1" applyAlignment="1">
      <alignment horizontal="center" vertical="center" wrapText="1"/>
    </xf>
    <xf numFmtId="0" fontId="5" fillId="0" borderId="17" xfId="3" applyNumberFormat="1" applyFont="1" applyFill="1" applyBorder="1" applyAlignment="1">
      <alignment horizontal="center" vertical="center" wrapText="1"/>
    </xf>
    <xf numFmtId="0" fontId="5" fillId="0" borderId="9" xfId="3" applyNumberFormat="1" applyFont="1" applyFill="1" applyBorder="1" applyAlignment="1">
      <alignment horizontal="center" vertical="center" wrapText="1"/>
    </xf>
    <xf numFmtId="0" fontId="5" fillId="3" borderId="3" xfId="0" applyNumberFormat="1" applyFont="1" applyFill="1" applyBorder="1" applyAlignment="1">
      <alignment horizontal="center" vertical="center" textRotation="90" wrapText="1"/>
    </xf>
    <xf numFmtId="0" fontId="5" fillId="3" borderId="2" xfId="0" applyNumberFormat="1" applyFont="1" applyFill="1" applyBorder="1" applyAlignment="1">
      <alignment horizontal="center" vertical="center" textRotation="90" wrapText="1"/>
    </xf>
    <xf numFmtId="0" fontId="5" fillId="3" borderId="4" xfId="0" applyNumberFormat="1" applyFont="1" applyFill="1" applyBorder="1" applyAlignment="1">
      <alignment horizontal="center" vertical="center" textRotation="90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 applyAlignment="1">
      <alignment horizontal="center" vertical="center"/>
    </xf>
    <xf numFmtId="0" fontId="25" fillId="6" borderId="1" xfId="6" applyNumberFormat="1" applyFont="1" applyFill="1" applyBorder="1" applyAlignment="1">
      <alignment horizontal="center" vertical="center" textRotation="90" wrapText="1"/>
    </xf>
    <xf numFmtId="0" fontId="14" fillId="6" borderId="1" xfId="5" applyFont="1" applyFill="1" applyBorder="1" applyAlignment="1">
      <alignment horizontal="center" vertical="center" textRotation="90" wrapText="1"/>
    </xf>
    <xf numFmtId="0" fontId="11" fillId="0" borderId="10" xfId="7" applyFont="1" applyFill="1" applyBorder="1" applyAlignment="1">
      <alignment horizontal="center" vertical="center" wrapText="1"/>
    </xf>
    <xf numFmtId="0" fontId="11" fillId="0" borderId="12" xfId="7" applyFont="1" applyFill="1" applyBorder="1" applyAlignment="1">
      <alignment horizontal="center" vertical="center" wrapText="1"/>
    </xf>
    <xf numFmtId="0" fontId="11" fillId="0" borderId="13" xfId="7" applyFont="1" applyFill="1" applyBorder="1" applyAlignment="1">
      <alignment horizontal="center" vertical="center" wrapText="1"/>
    </xf>
    <xf numFmtId="0" fontId="11" fillId="0" borderId="14" xfId="7" applyFont="1" applyFill="1" applyBorder="1" applyAlignment="1">
      <alignment horizontal="center" vertical="center" wrapText="1"/>
    </xf>
    <xf numFmtId="0" fontId="11" fillId="0" borderId="15" xfId="7" applyFont="1" applyFill="1" applyBorder="1" applyAlignment="1">
      <alignment horizontal="center" vertical="center" wrapText="1"/>
    </xf>
    <xf numFmtId="0" fontId="11" fillId="0" borderId="16" xfId="7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textRotation="90" wrapText="1"/>
    </xf>
    <xf numFmtId="0" fontId="5" fillId="0" borderId="3" xfId="0" applyNumberFormat="1" applyFont="1" applyFill="1" applyBorder="1" applyAlignment="1">
      <alignment horizontal="center" vertical="center" textRotation="90"/>
    </xf>
    <xf numFmtId="0" fontId="5" fillId="0" borderId="2" xfId="0" applyNumberFormat="1" applyFont="1" applyFill="1" applyBorder="1" applyAlignment="1">
      <alignment horizontal="center" vertical="center" textRotation="90"/>
    </xf>
    <xf numFmtId="0" fontId="5" fillId="0" borderId="4" xfId="0" applyNumberFormat="1" applyFont="1" applyFill="1" applyBorder="1" applyAlignment="1">
      <alignment horizontal="center" vertical="center" textRotation="90"/>
    </xf>
    <xf numFmtId="0" fontId="14" fillId="0" borderId="10" xfId="0" applyNumberFormat="1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 wrapText="1"/>
    </xf>
    <xf numFmtId="0" fontId="14" fillId="0" borderId="12" xfId="0" applyNumberFormat="1" applyFont="1" applyFill="1" applyBorder="1" applyAlignment="1">
      <alignment horizontal="center" vertical="center" wrapText="1"/>
    </xf>
    <xf numFmtId="0" fontId="14" fillId="0" borderId="13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14" xfId="0" applyNumberFormat="1" applyFont="1" applyFill="1" applyBorder="1" applyAlignment="1">
      <alignment horizontal="center" vertical="center" wrapText="1"/>
    </xf>
    <xf numFmtId="0" fontId="14" fillId="0" borderId="15" xfId="0" applyNumberFormat="1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center" vertical="center" wrapText="1"/>
    </xf>
    <xf numFmtId="0" fontId="14" fillId="0" borderId="16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4" fillId="0" borderId="4" xfId="0" applyNumberFormat="1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horizontal="center" vertical="center"/>
    </xf>
    <xf numFmtId="0" fontId="14" fillId="0" borderId="9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5" borderId="1" xfId="7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textRotation="90" wrapText="1"/>
    </xf>
    <xf numFmtId="0" fontId="36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 textRotation="90" wrapText="1"/>
    </xf>
    <xf numFmtId="0" fontId="36" fillId="0" borderId="1" xfId="0" applyFont="1" applyBorder="1" applyAlignment="1">
      <alignment horizontal="center" vertical="center" wrapText="1"/>
    </xf>
    <xf numFmtId="0" fontId="14" fillId="0" borderId="7" xfId="3" applyNumberFormat="1" applyFont="1" applyFill="1" applyBorder="1" applyAlignment="1">
      <alignment horizontal="center" vertical="center"/>
    </xf>
    <xf numFmtId="0" fontId="14" fillId="0" borderId="9" xfId="3" applyNumberFormat="1" applyFont="1" applyFill="1" applyBorder="1" applyAlignment="1">
      <alignment horizontal="center" vertical="center"/>
    </xf>
    <xf numFmtId="167" fontId="14" fillId="7" borderId="1" xfId="3" applyNumberFormat="1" applyFont="1" applyFill="1" applyBorder="1" applyAlignment="1" applyProtection="1">
      <alignment horizontal="center" vertical="center" wrapText="1"/>
      <protection locked="0"/>
    </xf>
    <xf numFmtId="0" fontId="25" fillId="6" borderId="3" xfId="6" applyNumberFormat="1" applyFont="1" applyFill="1" applyBorder="1" applyAlignment="1">
      <alignment horizontal="center" vertical="center" textRotation="90" wrapText="1"/>
    </xf>
    <xf numFmtId="0" fontId="25" fillId="6" borderId="2" xfId="6" applyNumberFormat="1" applyFont="1" applyFill="1" applyBorder="1" applyAlignment="1">
      <alignment horizontal="center" vertical="center" textRotation="90" wrapText="1"/>
    </xf>
    <xf numFmtId="0" fontId="25" fillId="6" borderId="4" xfId="6" applyNumberFormat="1" applyFont="1" applyFill="1" applyBorder="1" applyAlignment="1">
      <alignment horizontal="center" vertical="center" textRotation="90" wrapText="1"/>
    </xf>
    <xf numFmtId="0" fontId="11" fillId="0" borderId="1" xfId="7" applyFont="1" applyFill="1" applyBorder="1" applyAlignment="1">
      <alignment horizontal="center" vertical="center" textRotation="90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6" borderId="3" xfId="5" applyFont="1" applyFill="1" applyBorder="1" applyAlignment="1">
      <alignment horizontal="center" vertical="center" textRotation="90" wrapText="1"/>
    </xf>
    <xf numFmtId="0" fontId="14" fillId="6" borderId="2" xfId="5" applyFont="1" applyFill="1" applyBorder="1" applyAlignment="1">
      <alignment horizontal="center" vertical="center" textRotation="90" wrapText="1"/>
    </xf>
    <xf numFmtId="0" fontId="14" fillId="6" borderId="4" xfId="5" applyFont="1" applyFill="1" applyBorder="1" applyAlignment="1">
      <alignment horizontal="center" vertical="center" textRotation="90" wrapText="1"/>
    </xf>
    <xf numFmtId="0" fontId="44" fillId="11" borderId="1" xfId="0" applyFont="1" applyFill="1" applyBorder="1" applyAlignment="1">
      <alignment horizontal="center" vertical="center" wrapText="1"/>
    </xf>
    <xf numFmtId="0" fontId="11" fillId="10" borderId="1" xfId="7" applyFont="1" applyFill="1" applyBorder="1" applyAlignment="1">
      <alignment horizontal="center" vertical="center" wrapText="1"/>
    </xf>
    <xf numFmtId="0" fontId="5" fillId="10" borderId="3" xfId="7" applyFont="1" applyFill="1" applyBorder="1" applyAlignment="1">
      <alignment horizontal="center" vertical="center" wrapText="1"/>
    </xf>
    <xf numFmtId="0" fontId="5" fillId="10" borderId="4" xfId="7" applyFont="1" applyFill="1" applyBorder="1" applyAlignment="1">
      <alignment horizontal="center" vertical="center" wrapText="1"/>
    </xf>
    <xf numFmtId="0" fontId="44" fillId="10" borderId="3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0" fontId="44" fillId="10" borderId="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textRotation="90" wrapText="1"/>
    </xf>
    <xf numFmtId="0" fontId="14" fillId="4" borderId="7" xfId="3" applyNumberFormat="1" applyFont="1" applyFill="1" applyBorder="1" applyAlignment="1">
      <alignment horizontal="center" vertical="center"/>
    </xf>
    <xf numFmtId="0" fontId="14" fillId="4" borderId="9" xfId="3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35" fillId="0" borderId="3" xfId="0" applyFont="1" applyBorder="1" applyAlignment="1">
      <alignment horizontal="center" vertical="center" textRotation="90" wrapText="1"/>
    </xf>
    <xf numFmtId="0" fontId="35" fillId="0" borderId="4" xfId="0" applyFont="1" applyBorder="1" applyAlignment="1">
      <alignment horizontal="center" vertical="center" textRotation="90" wrapText="1"/>
    </xf>
  </cellXfs>
  <cellStyles count="10">
    <cellStyle name="Обычный" xfId="0" builtinId="0"/>
    <cellStyle name="Обычный_XGF98" xfId="5"/>
    <cellStyle name="Обычный_ДГТ-Юля" xfId="6"/>
    <cellStyle name="Обычный_хар ООО К-н 2001г" xfId="7"/>
    <cellStyle name="Обычный_Характер на 102" xfId="1"/>
    <cellStyle name="Обычный_Характеристика РЭУ-8" xfId="2"/>
    <cellStyle name="Финансовый" xfId="3" builtinId="3"/>
    <cellStyle name="Финансовый [0]" xfId="4" builtinId="6"/>
    <cellStyle name="Финансовый 2" xfId="8"/>
    <cellStyle name="Финансовый_хар ООО К-н 2001г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240"/>
  <sheetViews>
    <sheetView zoomScaleNormal="100" zoomScaleSheetLayoutView="75" workbookViewId="0">
      <pane xSplit="3" ySplit="6" topLeftCell="J7" activePane="bottomRight" state="frozen"/>
      <selection activeCell="B1" sqref="B1"/>
      <selection pane="topRight" activeCell="D1" sqref="D1"/>
      <selection pane="bottomLeft" activeCell="B7" sqref="B7"/>
      <selection pane="bottomRight" activeCell="R109" sqref="R109"/>
    </sheetView>
  </sheetViews>
  <sheetFormatPr defaultColWidth="9.140625" defaultRowHeight="12.75" outlineLevelRow="1" outlineLevelCol="1" x14ac:dyDescent="0.2"/>
  <cols>
    <col min="1" max="1" width="7.5703125" style="3" customWidth="1" outlineLevel="1"/>
    <col min="2" max="2" width="4.5703125" style="167" customWidth="1"/>
    <col min="3" max="3" width="25.7109375" style="3" customWidth="1"/>
    <col min="4" max="4" width="5.5703125" style="3" customWidth="1"/>
    <col min="5" max="5" width="4.85546875" style="4" hidden="1" customWidth="1" outlineLevel="1"/>
    <col min="6" max="6" width="8.42578125" style="167" customWidth="1" collapsed="1"/>
    <col min="7" max="7" width="5.5703125" style="3" customWidth="1"/>
    <col min="8" max="8" width="4.7109375" style="4" customWidth="1"/>
    <col min="9" max="9" width="5.140625" style="4" customWidth="1"/>
    <col min="10" max="10" width="9.85546875" style="3" customWidth="1" outlineLevel="1"/>
    <col min="11" max="12" width="8.5703125" style="3" customWidth="1" outlineLevel="1"/>
    <col min="13" max="13" width="9.42578125" style="3" customWidth="1" outlineLevel="1"/>
    <col min="14" max="14" width="9.28515625" style="3" customWidth="1"/>
    <col min="15" max="15" width="9.28515625" style="3" customWidth="1" outlineLevel="1"/>
    <col min="16" max="16" width="8.85546875" style="3" customWidth="1" outlineLevel="1"/>
    <col min="17" max="17" width="8.28515625" style="3" customWidth="1"/>
    <col min="18" max="18" width="12" style="33" customWidth="1"/>
    <col min="19" max="19" width="9.5703125" style="33" customWidth="1"/>
    <col min="20" max="20" width="9.42578125" style="3" customWidth="1" outlineLevel="1"/>
    <col min="21" max="21" width="9.7109375" style="3" customWidth="1" outlineLevel="1"/>
    <col min="22" max="22" width="8.7109375" style="3" customWidth="1" outlineLevel="1"/>
    <col min="23" max="23" width="7.85546875" style="3" customWidth="1" outlineLevel="1"/>
    <col min="24" max="24" width="9.28515625" style="3" customWidth="1" outlineLevel="1"/>
    <col min="25" max="25" width="9.140625" style="3" customWidth="1" outlineLevel="1"/>
    <col min="26" max="26" width="7.28515625" style="3" customWidth="1" outlineLevel="1"/>
    <col min="27" max="28" width="7.7109375" style="3" customWidth="1" outlineLevel="1"/>
    <col min="29" max="29" width="8.7109375" style="3" customWidth="1"/>
    <col min="30" max="30" width="9" style="33" customWidth="1"/>
    <col min="31" max="31" width="8.42578125" style="82" customWidth="1"/>
    <col min="32" max="32" width="9.42578125" style="3" customWidth="1"/>
    <col min="33" max="34" width="9" style="3" customWidth="1"/>
    <col min="35" max="35" width="11.28515625" style="3" customWidth="1"/>
    <col min="36" max="39" width="6" style="3" hidden="1" customWidth="1" outlineLevel="1"/>
    <col min="40" max="40" width="5.5703125" style="3" hidden="1" customWidth="1" outlineLevel="1"/>
    <col min="41" max="41" width="6" style="3" hidden="1" customWidth="1" outlineLevel="1"/>
    <col min="42" max="43" width="8.28515625" style="3" hidden="1" customWidth="1" outlineLevel="1"/>
    <col min="44" max="44" width="7.140625" style="3" hidden="1" customWidth="1" outlineLevel="1"/>
    <col min="45" max="45" width="9.140625" style="4" hidden="1" customWidth="1" outlineLevel="1"/>
    <col min="46" max="46" width="8.5703125" style="3" hidden="1" customWidth="1" outlineLevel="1"/>
    <col min="47" max="47" width="10.5703125" style="3" hidden="1" customWidth="1" outlineLevel="1"/>
    <col min="48" max="48" width="9.42578125" style="3" hidden="1" customWidth="1" outlineLevel="1"/>
    <col min="49" max="49" width="9.28515625" style="3" hidden="1" customWidth="1" outlineLevel="1"/>
    <col min="50" max="50" width="9.5703125" style="4" hidden="1" customWidth="1" outlineLevel="1"/>
    <col min="51" max="51" width="7.140625" style="3" hidden="1" customWidth="1" outlineLevel="1"/>
    <col min="52" max="53" width="9.140625" style="3" hidden="1" customWidth="1" outlineLevel="1"/>
    <col min="54" max="57" width="8.5703125" style="3" hidden="1" customWidth="1" outlineLevel="1"/>
    <col min="58" max="58" width="7.28515625" style="3" hidden="1" customWidth="1" outlineLevel="1"/>
    <col min="59" max="59" width="9.5703125" style="3" hidden="1" customWidth="1" outlineLevel="1"/>
    <col min="60" max="60" width="9.42578125" style="3" hidden="1" customWidth="1" outlineLevel="1"/>
    <col min="61" max="61" width="7.140625" style="3" hidden="1" customWidth="1" outlineLevel="1"/>
    <col min="62" max="62" width="6" style="3" customWidth="1" collapsed="1"/>
    <col min="63" max="64" width="9.28515625" style="3" customWidth="1"/>
    <col min="65" max="65" width="6.5703125" style="3" customWidth="1"/>
    <col min="66" max="67" width="9.28515625" style="3" customWidth="1"/>
    <col min="68" max="68" width="5.5703125" style="3" customWidth="1"/>
    <col min="69" max="70" width="9.28515625" style="3" customWidth="1"/>
    <col min="71" max="72" width="9.28515625" style="3" customWidth="1" outlineLevel="1"/>
    <col min="73" max="73" width="10" style="3" customWidth="1" outlineLevel="1"/>
    <col min="74" max="74" width="12.140625" style="3" customWidth="1" outlineLevel="1"/>
    <col min="75" max="76" width="9.28515625" style="3" customWidth="1" outlineLevel="1"/>
    <col min="77" max="77" width="13" style="84" customWidth="1" outlineLevel="1"/>
    <col min="78" max="78" width="14.5703125" style="84" customWidth="1" outlineLevel="1"/>
    <col min="79" max="80" width="11.28515625" style="3" customWidth="1"/>
    <col min="81" max="88" width="9.140625" style="3" customWidth="1"/>
    <col min="89" max="89" width="10" style="3" customWidth="1"/>
    <col min="90" max="93" width="11.7109375" style="220" customWidth="1"/>
    <col min="94" max="94" width="6.7109375" style="237" customWidth="1"/>
    <col min="95" max="121" width="6.7109375" style="238" customWidth="1"/>
    <col min="122" max="123" width="9.140625" style="3" customWidth="1"/>
    <col min="124" max="16384" width="9.140625" style="3"/>
  </cols>
  <sheetData>
    <row r="1" spans="1:121" ht="18.75" x14ac:dyDescent="0.2">
      <c r="B1" s="176"/>
      <c r="C1" s="178" t="s">
        <v>368</v>
      </c>
      <c r="D1" s="67"/>
      <c r="E1" s="134"/>
      <c r="F1" s="176"/>
      <c r="G1" s="67"/>
      <c r="H1" s="134"/>
      <c r="I1" s="134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D1" s="193"/>
      <c r="AE1" s="117"/>
      <c r="AF1" s="67"/>
      <c r="AG1" s="67"/>
      <c r="AH1" s="67"/>
      <c r="AI1" s="67"/>
      <c r="AJ1" s="67"/>
      <c r="AK1" s="67"/>
      <c r="AL1" s="67"/>
      <c r="AM1" s="5"/>
      <c r="AN1" s="5"/>
      <c r="CP1" s="441" t="s">
        <v>344</v>
      </c>
      <c r="CQ1" s="441"/>
      <c r="CR1" s="441"/>
      <c r="CS1" s="441"/>
      <c r="CT1" s="441"/>
      <c r="CU1" s="441"/>
      <c r="CV1" s="441"/>
      <c r="CW1" s="441"/>
      <c r="CX1" s="441"/>
      <c r="CY1" s="441"/>
      <c r="CZ1" s="441"/>
      <c r="DA1" s="441"/>
      <c r="DB1" s="441"/>
      <c r="DC1" s="441"/>
      <c r="DD1" s="441"/>
      <c r="DE1" s="441"/>
      <c r="DF1" s="441"/>
      <c r="DG1" s="441"/>
      <c r="DH1" s="441"/>
      <c r="DI1" s="441"/>
      <c r="DJ1" s="441"/>
      <c r="DK1" s="441"/>
      <c r="DL1" s="441"/>
      <c r="DM1" s="441"/>
      <c r="DN1" s="441"/>
      <c r="DO1" s="441"/>
      <c r="DP1" s="441"/>
      <c r="DQ1" s="441"/>
    </row>
    <row r="2" spans="1:121" ht="31.9" customHeight="1" x14ac:dyDescent="0.2">
      <c r="A2" s="420" t="s">
        <v>141</v>
      </c>
      <c r="B2" s="392" t="s">
        <v>1</v>
      </c>
      <c r="C2" s="395" t="s">
        <v>6</v>
      </c>
      <c r="D2" s="370" t="s">
        <v>38</v>
      </c>
      <c r="E2" s="370"/>
      <c r="F2" s="370" t="s">
        <v>339</v>
      </c>
      <c r="G2" s="370" t="s">
        <v>188</v>
      </c>
      <c r="H2" s="371" t="s">
        <v>39</v>
      </c>
      <c r="I2" s="371" t="s">
        <v>40</v>
      </c>
      <c r="J2" s="370" t="s">
        <v>41</v>
      </c>
      <c r="K2" s="370" t="s">
        <v>42</v>
      </c>
      <c r="L2" s="395" t="s">
        <v>3</v>
      </c>
      <c r="M2" s="395"/>
      <c r="N2" s="395" t="s">
        <v>4</v>
      </c>
      <c r="O2" s="395"/>
      <c r="P2" s="395"/>
      <c r="Q2" s="395"/>
      <c r="R2" s="388" t="s">
        <v>144</v>
      </c>
      <c r="S2" s="389"/>
      <c r="T2" s="389"/>
      <c r="U2" s="389"/>
      <c r="V2" s="389"/>
      <c r="W2" s="389"/>
      <c r="X2" s="389"/>
      <c r="Y2" s="389"/>
      <c r="Z2" s="389"/>
      <c r="AA2" s="389"/>
      <c r="AB2" s="390"/>
      <c r="AC2" s="400" t="s">
        <v>147</v>
      </c>
      <c r="AD2" s="401"/>
      <c r="AE2" s="401"/>
      <c r="AF2" s="401"/>
      <c r="AG2" s="401"/>
      <c r="AH2" s="402"/>
      <c r="AI2" s="398" t="s">
        <v>75</v>
      </c>
      <c r="AJ2" s="378" t="s">
        <v>52</v>
      </c>
      <c r="AK2" s="378" t="s">
        <v>53</v>
      </c>
      <c r="AL2" s="378" t="s">
        <v>54</v>
      </c>
      <c r="AM2" s="378" t="s">
        <v>55</v>
      </c>
      <c r="AN2" s="378" t="s">
        <v>56</v>
      </c>
      <c r="AO2" s="378" t="s">
        <v>57</v>
      </c>
      <c r="AP2" s="381" t="s">
        <v>58</v>
      </c>
      <c r="AQ2" s="381" t="s">
        <v>59</v>
      </c>
      <c r="AR2" s="381" t="s">
        <v>60</v>
      </c>
      <c r="AS2" s="381" t="s">
        <v>61</v>
      </c>
      <c r="AT2" s="381" t="s">
        <v>62</v>
      </c>
      <c r="AU2" s="374" t="s">
        <v>148</v>
      </c>
      <c r="AV2" s="374"/>
      <c r="AW2" s="374"/>
      <c r="AX2" s="381" t="s">
        <v>63</v>
      </c>
      <c r="AY2" s="381" t="s">
        <v>64</v>
      </c>
      <c r="AZ2" s="381" t="s">
        <v>65</v>
      </c>
      <c r="BA2" s="381" t="s">
        <v>66</v>
      </c>
      <c r="BB2" s="381" t="s">
        <v>67</v>
      </c>
      <c r="BC2" s="381" t="s">
        <v>68</v>
      </c>
      <c r="BD2" s="381" t="s">
        <v>69</v>
      </c>
      <c r="BE2" s="381" t="s">
        <v>70</v>
      </c>
      <c r="BF2" s="381" t="s">
        <v>71</v>
      </c>
      <c r="BG2" s="423" t="s">
        <v>72</v>
      </c>
      <c r="BH2" s="424"/>
      <c r="BI2" s="425"/>
      <c r="BJ2" s="407" t="s">
        <v>28</v>
      </c>
      <c r="BK2" s="407"/>
      <c r="BL2" s="407"/>
      <c r="BM2" s="407" t="s">
        <v>29</v>
      </c>
      <c r="BN2" s="407"/>
      <c r="BO2" s="407"/>
      <c r="BP2" s="407" t="s">
        <v>152</v>
      </c>
      <c r="BQ2" s="407"/>
      <c r="BR2" s="407"/>
      <c r="BS2" s="406" t="s">
        <v>31</v>
      </c>
      <c r="BT2" s="406"/>
      <c r="BU2" s="385" t="s">
        <v>32</v>
      </c>
      <c r="BV2" s="385" t="s">
        <v>33</v>
      </c>
      <c r="BW2" s="385" t="s">
        <v>34</v>
      </c>
      <c r="BX2" s="416" t="s">
        <v>37</v>
      </c>
      <c r="BY2" s="410" t="s">
        <v>340</v>
      </c>
      <c r="BZ2" s="411"/>
      <c r="CA2" s="408" t="s">
        <v>190</v>
      </c>
      <c r="CB2" s="409" t="s">
        <v>51</v>
      </c>
      <c r="CC2" s="374" t="s">
        <v>186</v>
      </c>
      <c r="CD2" s="374"/>
      <c r="CE2" s="374" t="s">
        <v>187</v>
      </c>
      <c r="CF2" s="374"/>
      <c r="CG2" s="374" t="s">
        <v>49</v>
      </c>
      <c r="CH2" s="374"/>
      <c r="CI2" s="367" t="s">
        <v>354</v>
      </c>
      <c r="CJ2" s="437" t="s">
        <v>347</v>
      </c>
      <c r="CK2" s="438"/>
      <c r="CL2" s="438"/>
      <c r="CM2" s="438"/>
      <c r="CN2" s="438"/>
      <c r="CO2" s="439"/>
      <c r="CP2" s="442" t="s">
        <v>317</v>
      </c>
      <c r="CQ2" s="442"/>
      <c r="CR2" s="442"/>
      <c r="CS2" s="442"/>
      <c r="CT2" s="442" t="s">
        <v>318</v>
      </c>
      <c r="CU2" s="442"/>
      <c r="CV2" s="442"/>
      <c r="CW2" s="442"/>
      <c r="CX2" s="443" t="s">
        <v>319</v>
      </c>
      <c r="CY2" s="444" t="s">
        <v>320</v>
      </c>
      <c r="CZ2" s="444"/>
      <c r="DA2" s="444"/>
      <c r="DB2" s="444"/>
      <c r="DC2" s="444"/>
      <c r="DD2" s="444"/>
      <c r="DE2" s="444"/>
      <c r="DF2" s="444"/>
      <c r="DG2" s="444"/>
      <c r="DH2" s="444"/>
      <c r="DI2" s="444"/>
      <c r="DJ2" s="444"/>
      <c r="DK2" s="444"/>
      <c r="DL2" s="444"/>
      <c r="DM2" s="444"/>
      <c r="DN2" s="444"/>
      <c r="DO2" s="444"/>
      <c r="DP2" s="444"/>
      <c r="DQ2" s="444"/>
    </row>
    <row r="3" spans="1:121" ht="13.15" customHeight="1" x14ac:dyDescent="0.2">
      <c r="A3" s="421"/>
      <c r="B3" s="393"/>
      <c r="C3" s="395"/>
      <c r="D3" s="370"/>
      <c r="E3" s="370"/>
      <c r="F3" s="370"/>
      <c r="G3" s="370"/>
      <c r="H3" s="371"/>
      <c r="I3" s="371"/>
      <c r="J3" s="370"/>
      <c r="K3" s="370"/>
      <c r="L3" s="370" t="s">
        <v>43</v>
      </c>
      <c r="M3" s="370" t="s">
        <v>44</v>
      </c>
      <c r="N3" s="370" t="s">
        <v>45</v>
      </c>
      <c r="O3" s="370" t="s">
        <v>46</v>
      </c>
      <c r="P3" s="370" t="s">
        <v>316</v>
      </c>
      <c r="Q3" s="416" t="s">
        <v>47</v>
      </c>
      <c r="R3" s="372" t="s">
        <v>49</v>
      </c>
      <c r="S3" s="373"/>
      <c r="T3" s="374" t="s">
        <v>145</v>
      </c>
      <c r="U3" s="374"/>
      <c r="V3" s="374"/>
      <c r="W3" s="374" t="s">
        <v>146</v>
      </c>
      <c r="X3" s="374"/>
      <c r="Y3" s="374"/>
      <c r="Z3" s="374" t="s">
        <v>194</v>
      </c>
      <c r="AA3" s="374"/>
      <c r="AB3" s="374"/>
      <c r="AC3" s="391" t="s">
        <v>195</v>
      </c>
      <c r="AD3" s="396" t="s">
        <v>146</v>
      </c>
      <c r="AE3" s="396"/>
      <c r="AF3" s="396"/>
      <c r="AG3" s="397" t="s">
        <v>145</v>
      </c>
      <c r="AH3" s="397" t="s">
        <v>194</v>
      </c>
      <c r="AI3" s="398"/>
      <c r="AJ3" s="379"/>
      <c r="AK3" s="379"/>
      <c r="AL3" s="379"/>
      <c r="AM3" s="379"/>
      <c r="AN3" s="379"/>
      <c r="AO3" s="379"/>
      <c r="AP3" s="382"/>
      <c r="AQ3" s="382"/>
      <c r="AR3" s="382"/>
      <c r="AS3" s="382"/>
      <c r="AT3" s="382"/>
      <c r="AU3" s="432" t="s">
        <v>2</v>
      </c>
      <c r="AV3" s="435" t="s">
        <v>73</v>
      </c>
      <c r="AW3" s="436"/>
      <c r="AX3" s="382"/>
      <c r="AY3" s="382"/>
      <c r="AZ3" s="382"/>
      <c r="BA3" s="382"/>
      <c r="BB3" s="382"/>
      <c r="BC3" s="382"/>
      <c r="BD3" s="382"/>
      <c r="BE3" s="382"/>
      <c r="BF3" s="382"/>
      <c r="BG3" s="426"/>
      <c r="BH3" s="427"/>
      <c r="BI3" s="428"/>
      <c r="BJ3" s="403" t="s">
        <v>30</v>
      </c>
      <c r="BK3" s="406" t="s">
        <v>76</v>
      </c>
      <c r="BL3" s="406" t="s">
        <v>77</v>
      </c>
      <c r="BM3" s="403" t="s">
        <v>30</v>
      </c>
      <c r="BN3" s="406" t="s">
        <v>76</v>
      </c>
      <c r="BO3" s="406" t="s">
        <v>77</v>
      </c>
      <c r="BP3" s="419" t="s">
        <v>30</v>
      </c>
      <c r="BQ3" s="397" t="s">
        <v>76</v>
      </c>
      <c r="BR3" s="397" t="s">
        <v>77</v>
      </c>
      <c r="BS3" s="406"/>
      <c r="BT3" s="406"/>
      <c r="BU3" s="386"/>
      <c r="BV3" s="386"/>
      <c r="BW3" s="386"/>
      <c r="BX3" s="416"/>
      <c r="BY3" s="412"/>
      <c r="BZ3" s="413"/>
      <c r="CA3" s="408"/>
      <c r="CB3" s="409"/>
      <c r="CC3" s="374"/>
      <c r="CD3" s="374"/>
      <c r="CE3" s="374"/>
      <c r="CF3" s="374"/>
      <c r="CG3" s="374"/>
      <c r="CH3" s="374"/>
      <c r="CI3" s="368"/>
      <c r="CJ3" s="440" t="s">
        <v>345</v>
      </c>
      <c r="CK3" s="440"/>
      <c r="CL3" s="440"/>
      <c r="CM3" s="440" t="s">
        <v>346</v>
      </c>
      <c r="CN3" s="440"/>
      <c r="CO3" s="440"/>
      <c r="CP3" s="442"/>
      <c r="CQ3" s="442"/>
      <c r="CR3" s="442"/>
      <c r="CS3" s="442"/>
      <c r="CT3" s="442"/>
      <c r="CU3" s="442"/>
      <c r="CV3" s="442"/>
      <c r="CW3" s="442"/>
      <c r="CX3" s="443"/>
      <c r="CY3" s="445" t="s">
        <v>321</v>
      </c>
      <c r="CZ3" s="442" t="s">
        <v>322</v>
      </c>
      <c r="DA3" s="442"/>
      <c r="DB3" s="446" t="s">
        <v>323</v>
      </c>
      <c r="DC3" s="446"/>
      <c r="DD3" s="446"/>
      <c r="DE3" s="446"/>
      <c r="DF3" s="446"/>
      <c r="DG3" s="446"/>
      <c r="DH3" s="446"/>
      <c r="DI3" s="446"/>
      <c r="DJ3" s="446"/>
      <c r="DK3" s="446"/>
      <c r="DL3" s="446"/>
      <c r="DM3" s="446"/>
      <c r="DN3" s="446"/>
      <c r="DO3" s="446"/>
      <c r="DP3" s="442" t="s">
        <v>324</v>
      </c>
      <c r="DQ3" s="442"/>
    </row>
    <row r="4" spans="1:121" x14ac:dyDescent="0.2">
      <c r="A4" s="421"/>
      <c r="B4" s="393"/>
      <c r="C4" s="395"/>
      <c r="D4" s="370"/>
      <c r="E4" s="370"/>
      <c r="F4" s="370"/>
      <c r="G4" s="370"/>
      <c r="H4" s="371"/>
      <c r="I4" s="371"/>
      <c r="J4" s="370"/>
      <c r="K4" s="370"/>
      <c r="L4" s="370"/>
      <c r="M4" s="370"/>
      <c r="N4" s="370"/>
      <c r="O4" s="370"/>
      <c r="P4" s="370"/>
      <c r="Q4" s="416"/>
      <c r="R4" s="375" t="s">
        <v>50</v>
      </c>
      <c r="S4" s="375"/>
      <c r="T4" s="376" t="s">
        <v>45</v>
      </c>
      <c r="U4" s="384" t="s">
        <v>50</v>
      </c>
      <c r="V4" s="384"/>
      <c r="W4" s="376" t="s">
        <v>45</v>
      </c>
      <c r="X4" s="384" t="s">
        <v>50</v>
      </c>
      <c r="Y4" s="384"/>
      <c r="Z4" s="376" t="s">
        <v>45</v>
      </c>
      <c r="AA4" s="384" t="s">
        <v>50</v>
      </c>
      <c r="AB4" s="384"/>
      <c r="AC4" s="391"/>
      <c r="AD4" s="399" t="s">
        <v>49</v>
      </c>
      <c r="AE4" s="399" t="s">
        <v>191</v>
      </c>
      <c r="AF4" s="399"/>
      <c r="AG4" s="397"/>
      <c r="AH4" s="397"/>
      <c r="AI4" s="398"/>
      <c r="AJ4" s="379"/>
      <c r="AK4" s="379"/>
      <c r="AL4" s="379"/>
      <c r="AM4" s="379"/>
      <c r="AN4" s="379"/>
      <c r="AO4" s="379"/>
      <c r="AP4" s="382"/>
      <c r="AQ4" s="382"/>
      <c r="AR4" s="382"/>
      <c r="AS4" s="382"/>
      <c r="AT4" s="382"/>
      <c r="AU4" s="433"/>
      <c r="AV4" s="432" t="s">
        <v>11</v>
      </c>
      <c r="AW4" s="432" t="s">
        <v>12</v>
      </c>
      <c r="AX4" s="382"/>
      <c r="AY4" s="382"/>
      <c r="AZ4" s="382"/>
      <c r="BA4" s="382"/>
      <c r="BB4" s="382"/>
      <c r="BC4" s="382"/>
      <c r="BD4" s="382"/>
      <c r="BE4" s="382"/>
      <c r="BF4" s="382"/>
      <c r="BG4" s="429"/>
      <c r="BH4" s="430"/>
      <c r="BI4" s="431"/>
      <c r="BJ4" s="404"/>
      <c r="BK4" s="406"/>
      <c r="BL4" s="406"/>
      <c r="BM4" s="404"/>
      <c r="BN4" s="406"/>
      <c r="BO4" s="406"/>
      <c r="BP4" s="419"/>
      <c r="BQ4" s="397"/>
      <c r="BR4" s="397"/>
      <c r="BS4" s="417" t="s">
        <v>35</v>
      </c>
      <c r="BT4" s="417" t="s">
        <v>36</v>
      </c>
      <c r="BU4" s="386"/>
      <c r="BV4" s="386"/>
      <c r="BW4" s="386"/>
      <c r="BX4" s="416"/>
      <c r="BY4" s="414"/>
      <c r="BZ4" s="415"/>
      <c r="CA4" s="408"/>
      <c r="CB4" s="409"/>
      <c r="CC4" s="374"/>
      <c r="CD4" s="374"/>
      <c r="CE4" s="374"/>
      <c r="CF4" s="374"/>
      <c r="CG4" s="374"/>
      <c r="CH4" s="374"/>
      <c r="CI4" s="368"/>
      <c r="CJ4" s="440"/>
      <c r="CK4" s="440"/>
      <c r="CL4" s="440"/>
      <c r="CM4" s="440"/>
      <c r="CN4" s="440"/>
      <c r="CO4" s="440"/>
      <c r="CP4" s="443" t="s">
        <v>325</v>
      </c>
      <c r="CQ4" s="443" t="s">
        <v>326</v>
      </c>
      <c r="CR4" s="443" t="s">
        <v>327</v>
      </c>
      <c r="CS4" s="443" t="s">
        <v>328</v>
      </c>
      <c r="CT4" s="443" t="s">
        <v>325</v>
      </c>
      <c r="CU4" s="443" t="s">
        <v>326</v>
      </c>
      <c r="CV4" s="443" t="s">
        <v>327</v>
      </c>
      <c r="CW4" s="443" t="s">
        <v>328</v>
      </c>
      <c r="CX4" s="443"/>
      <c r="CY4" s="445"/>
      <c r="CZ4" s="443" t="s">
        <v>329</v>
      </c>
      <c r="DA4" s="443" t="s">
        <v>330</v>
      </c>
      <c r="DB4" s="446" t="s">
        <v>329</v>
      </c>
      <c r="DC4" s="446"/>
      <c r="DD4" s="446"/>
      <c r="DE4" s="446"/>
      <c r="DF4" s="446"/>
      <c r="DG4" s="446"/>
      <c r="DH4" s="446"/>
      <c r="DI4" s="446" t="s">
        <v>330</v>
      </c>
      <c r="DJ4" s="446"/>
      <c r="DK4" s="446"/>
      <c r="DL4" s="446"/>
      <c r="DM4" s="446"/>
      <c r="DN4" s="446"/>
      <c r="DO4" s="446"/>
      <c r="DP4" s="442"/>
      <c r="DQ4" s="442"/>
    </row>
    <row r="5" spans="1:121" ht="98.25" x14ac:dyDescent="0.2">
      <c r="A5" s="422"/>
      <c r="B5" s="394"/>
      <c r="C5" s="395"/>
      <c r="D5" s="370"/>
      <c r="E5" s="370"/>
      <c r="F5" s="370"/>
      <c r="G5" s="370"/>
      <c r="H5" s="371"/>
      <c r="I5" s="371"/>
      <c r="J5" s="370"/>
      <c r="K5" s="370"/>
      <c r="L5" s="370"/>
      <c r="M5" s="370"/>
      <c r="N5" s="370"/>
      <c r="O5" s="370"/>
      <c r="P5" s="370"/>
      <c r="Q5" s="416"/>
      <c r="R5" s="281" t="s">
        <v>48</v>
      </c>
      <c r="S5" s="281" t="s">
        <v>7</v>
      </c>
      <c r="T5" s="377"/>
      <c r="U5" s="191" t="s">
        <v>48</v>
      </c>
      <c r="V5" s="191" t="s">
        <v>7</v>
      </c>
      <c r="W5" s="377"/>
      <c r="X5" s="329" t="s">
        <v>48</v>
      </c>
      <c r="Y5" s="329" t="s">
        <v>7</v>
      </c>
      <c r="Z5" s="377"/>
      <c r="AA5" s="231" t="s">
        <v>48</v>
      </c>
      <c r="AB5" s="231" t="s">
        <v>7</v>
      </c>
      <c r="AC5" s="391"/>
      <c r="AD5" s="399"/>
      <c r="AE5" s="196" t="s">
        <v>192</v>
      </c>
      <c r="AF5" s="229" t="s">
        <v>193</v>
      </c>
      <c r="AG5" s="397"/>
      <c r="AH5" s="397"/>
      <c r="AI5" s="398"/>
      <c r="AJ5" s="380"/>
      <c r="AK5" s="380"/>
      <c r="AL5" s="380"/>
      <c r="AM5" s="380"/>
      <c r="AN5" s="380"/>
      <c r="AO5" s="380"/>
      <c r="AP5" s="383"/>
      <c r="AQ5" s="383"/>
      <c r="AR5" s="383"/>
      <c r="AS5" s="383"/>
      <c r="AT5" s="383"/>
      <c r="AU5" s="434"/>
      <c r="AV5" s="434"/>
      <c r="AW5" s="434"/>
      <c r="AX5" s="383"/>
      <c r="AY5" s="383"/>
      <c r="AZ5" s="383"/>
      <c r="BA5" s="383"/>
      <c r="BB5" s="383"/>
      <c r="BC5" s="383"/>
      <c r="BD5" s="383"/>
      <c r="BE5" s="383"/>
      <c r="BF5" s="383"/>
      <c r="BG5" s="113" t="s">
        <v>74</v>
      </c>
      <c r="BH5" s="113" t="s">
        <v>8</v>
      </c>
      <c r="BI5" s="114" t="s">
        <v>9</v>
      </c>
      <c r="BJ5" s="405"/>
      <c r="BK5" s="406"/>
      <c r="BL5" s="406"/>
      <c r="BM5" s="405"/>
      <c r="BN5" s="406"/>
      <c r="BO5" s="406"/>
      <c r="BP5" s="419"/>
      <c r="BQ5" s="397"/>
      <c r="BR5" s="397"/>
      <c r="BS5" s="418"/>
      <c r="BT5" s="418"/>
      <c r="BU5" s="387"/>
      <c r="BV5" s="387"/>
      <c r="BW5" s="387"/>
      <c r="BX5" s="416"/>
      <c r="BY5" s="252" t="s">
        <v>341</v>
      </c>
      <c r="BZ5" s="252" t="s">
        <v>342</v>
      </c>
      <c r="CA5" s="408"/>
      <c r="CB5" s="409"/>
      <c r="CC5" s="233" t="s">
        <v>188</v>
      </c>
      <c r="CD5" s="233" t="s">
        <v>189</v>
      </c>
      <c r="CE5" s="233" t="s">
        <v>188</v>
      </c>
      <c r="CF5" s="233" t="s">
        <v>189</v>
      </c>
      <c r="CG5" s="233" t="s">
        <v>188</v>
      </c>
      <c r="CH5" s="233" t="s">
        <v>189</v>
      </c>
      <c r="CI5" s="369"/>
      <c r="CJ5" s="309" t="s">
        <v>188</v>
      </c>
      <c r="CK5" s="309" t="s">
        <v>348</v>
      </c>
      <c r="CL5" s="242" t="s">
        <v>349</v>
      </c>
      <c r="CM5" s="308" t="s">
        <v>188</v>
      </c>
      <c r="CN5" s="308" t="s">
        <v>350</v>
      </c>
      <c r="CO5" s="242" t="s">
        <v>351</v>
      </c>
      <c r="CP5" s="443"/>
      <c r="CQ5" s="443"/>
      <c r="CR5" s="443"/>
      <c r="CS5" s="443"/>
      <c r="CT5" s="443"/>
      <c r="CU5" s="443"/>
      <c r="CV5" s="443"/>
      <c r="CW5" s="443"/>
      <c r="CX5" s="443"/>
      <c r="CY5" s="445"/>
      <c r="CZ5" s="443"/>
      <c r="DA5" s="443"/>
      <c r="DB5" s="240" t="s">
        <v>331</v>
      </c>
      <c r="DC5" s="240" t="s">
        <v>332</v>
      </c>
      <c r="DD5" s="241" t="s">
        <v>333</v>
      </c>
      <c r="DE5" s="241" t="s">
        <v>334</v>
      </c>
      <c r="DF5" s="240" t="s">
        <v>335</v>
      </c>
      <c r="DG5" s="241" t="s">
        <v>333</v>
      </c>
      <c r="DH5" s="241" t="s">
        <v>334</v>
      </c>
      <c r="DI5" s="240" t="s">
        <v>331</v>
      </c>
      <c r="DJ5" s="240" t="s">
        <v>332</v>
      </c>
      <c r="DK5" s="241" t="s">
        <v>333</v>
      </c>
      <c r="DL5" s="241" t="s">
        <v>334</v>
      </c>
      <c r="DM5" s="240" t="s">
        <v>335</v>
      </c>
      <c r="DN5" s="241" t="s">
        <v>333</v>
      </c>
      <c r="DO5" s="241" t="s">
        <v>334</v>
      </c>
      <c r="DP5" s="241" t="s">
        <v>325</v>
      </c>
      <c r="DQ5" s="241" t="s">
        <v>336</v>
      </c>
    </row>
    <row r="6" spans="1:121" s="148" customFormat="1" x14ac:dyDescent="0.2">
      <c r="A6" s="147"/>
      <c r="B6" s="168"/>
      <c r="C6" s="147">
        <v>1</v>
      </c>
      <c r="D6" s="147">
        <v>2</v>
      </c>
      <c r="E6" s="147"/>
      <c r="F6" s="168">
        <v>4</v>
      </c>
      <c r="G6" s="147">
        <v>5</v>
      </c>
      <c r="H6" s="147">
        <v>6</v>
      </c>
      <c r="I6" s="147">
        <v>7</v>
      </c>
      <c r="J6" s="147">
        <v>8</v>
      </c>
      <c r="K6" s="147">
        <v>9</v>
      </c>
      <c r="L6" s="147">
        <v>10</v>
      </c>
      <c r="M6" s="147">
        <v>11</v>
      </c>
      <c r="N6" s="147">
        <v>12</v>
      </c>
      <c r="O6" s="147">
        <v>13</v>
      </c>
      <c r="P6" s="147">
        <v>14</v>
      </c>
      <c r="Q6" s="320">
        <v>15</v>
      </c>
      <c r="R6" s="147">
        <v>16</v>
      </c>
      <c r="S6" s="147">
        <v>17</v>
      </c>
      <c r="T6" s="147">
        <v>18</v>
      </c>
      <c r="U6" s="147">
        <v>19</v>
      </c>
      <c r="V6" s="147">
        <v>20</v>
      </c>
      <c r="W6" s="147">
        <v>21</v>
      </c>
      <c r="X6" s="147">
        <v>22</v>
      </c>
      <c r="Y6" s="147">
        <v>23</v>
      </c>
      <c r="Z6" s="147">
        <v>24</v>
      </c>
      <c r="AA6" s="147">
        <v>25</v>
      </c>
      <c r="AB6" s="147">
        <v>26</v>
      </c>
      <c r="AC6" s="147">
        <v>27</v>
      </c>
      <c r="AD6" s="147">
        <v>28</v>
      </c>
      <c r="AE6" s="147">
        <v>29</v>
      </c>
      <c r="AF6" s="147">
        <v>30</v>
      </c>
      <c r="AG6" s="147">
        <v>31</v>
      </c>
      <c r="AH6" s="147">
        <v>32</v>
      </c>
      <c r="AI6" s="147">
        <v>33</v>
      </c>
      <c r="AJ6" s="147">
        <v>34</v>
      </c>
      <c r="AK6" s="147">
        <v>35</v>
      </c>
      <c r="AL6" s="147">
        <v>36</v>
      </c>
      <c r="AM6" s="147">
        <v>37</v>
      </c>
      <c r="AN6" s="147">
        <v>38</v>
      </c>
      <c r="AO6" s="147">
        <v>39</v>
      </c>
      <c r="AP6" s="147">
        <v>40</v>
      </c>
      <c r="AQ6" s="147">
        <v>41</v>
      </c>
      <c r="AR6" s="147">
        <v>42</v>
      </c>
      <c r="AS6" s="147">
        <v>43</v>
      </c>
      <c r="AT6" s="147">
        <v>44</v>
      </c>
      <c r="AU6" s="147">
        <v>45</v>
      </c>
      <c r="AV6" s="147">
        <v>46</v>
      </c>
      <c r="AW6" s="147">
        <v>47</v>
      </c>
      <c r="AX6" s="147">
        <v>48</v>
      </c>
      <c r="AY6" s="147">
        <v>49</v>
      </c>
      <c r="AZ6" s="147">
        <v>50</v>
      </c>
      <c r="BA6" s="147">
        <v>51</v>
      </c>
      <c r="BB6" s="147">
        <v>52</v>
      </c>
      <c r="BC6" s="147">
        <v>53</v>
      </c>
      <c r="BD6" s="147">
        <v>54</v>
      </c>
      <c r="BE6" s="147">
        <v>55</v>
      </c>
      <c r="BF6" s="147">
        <v>56</v>
      </c>
      <c r="BG6" s="147">
        <v>57</v>
      </c>
      <c r="BH6" s="147">
        <v>58</v>
      </c>
      <c r="BI6" s="147">
        <v>59</v>
      </c>
      <c r="BJ6" s="147">
        <v>60</v>
      </c>
      <c r="BK6" s="147">
        <v>61</v>
      </c>
      <c r="BL6" s="147">
        <v>62</v>
      </c>
      <c r="BM6" s="147">
        <v>63</v>
      </c>
      <c r="BN6" s="147">
        <v>64</v>
      </c>
      <c r="BO6" s="147">
        <v>65</v>
      </c>
      <c r="BP6" s="147">
        <v>66</v>
      </c>
      <c r="BQ6" s="147">
        <v>67</v>
      </c>
      <c r="BR6" s="147">
        <v>68</v>
      </c>
      <c r="BS6" s="147">
        <v>69</v>
      </c>
      <c r="BT6" s="147">
        <v>70</v>
      </c>
      <c r="BU6" s="147">
        <v>71</v>
      </c>
      <c r="BV6" s="147">
        <v>72</v>
      </c>
      <c r="BW6" s="147">
        <v>73</v>
      </c>
      <c r="BX6" s="147">
        <v>74</v>
      </c>
      <c r="BY6" s="147">
        <v>75</v>
      </c>
      <c r="BZ6" s="147">
        <v>76</v>
      </c>
      <c r="CA6" s="147">
        <v>77</v>
      </c>
      <c r="CB6" s="147">
        <v>78</v>
      </c>
      <c r="CC6" s="147">
        <v>79</v>
      </c>
      <c r="CD6" s="147">
        <v>80</v>
      </c>
      <c r="CE6" s="147">
        <v>81</v>
      </c>
      <c r="CF6" s="147">
        <v>82</v>
      </c>
      <c r="CG6" s="147">
        <v>83</v>
      </c>
      <c r="CH6" s="147">
        <v>84</v>
      </c>
      <c r="CI6" s="147">
        <v>85</v>
      </c>
      <c r="CJ6" s="147">
        <v>86</v>
      </c>
      <c r="CK6" s="147">
        <v>87</v>
      </c>
      <c r="CL6" s="147">
        <v>88</v>
      </c>
      <c r="CM6" s="147">
        <v>89</v>
      </c>
      <c r="CN6" s="147">
        <v>90</v>
      </c>
      <c r="CO6" s="147">
        <v>91</v>
      </c>
      <c r="CP6" s="147">
        <v>92</v>
      </c>
      <c r="CQ6" s="147">
        <v>93</v>
      </c>
      <c r="CR6" s="147">
        <v>94</v>
      </c>
      <c r="CS6" s="147">
        <v>95</v>
      </c>
      <c r="CT6" s="147">
        <v>96</v>
      </c>
      <c r="CU6" s="147">
        <v>97</v>
      </c>
      <c r="CV6" s="147">
        <v>98</v>
      </c>
      <c r="CW6" s="147">
        <v>99</v>
      </c>
      <c r="CX6" s="147">
        <v>100</v>
      </c>
      <c r="CY6" s="147">
        <v>101</v>
      </c>
      <c r="CZ6" s="147">
        <v>102</v>
      </c>
      <c r="DA6" s="147">
        <v>103</v>
      </c>
      <c r="DB6" s="147">
        <v>104</v>
      </c>
      <c r="DC6" s="147">
        <v>105</v>
      </c>
      <c r="DD6" s="147">
        <v>106</v>
      </c>
      <c r="DE6" s="147">
        <v>107</v>
      </c>
      <c r="DF6" s="147">
        <v>108</v>
      </c>
      <c r="DG6" s="147">
        <v>109</v>
      </c>
      <c r="DH6" s="147">
        <v>110</v>
      </c>
      <c r="DI6" s="147">
        <v>111</v>
      </c>
      <c r="DJ6" s="147">
        <v>112</v>
      </c>
      <c r="DK6" s="147">
        <v>113</v>
      </c>
      <c r="DL6" s="147">
        <v>114</v>
      </c>
      <c r="DM6" s="147">
        <v>115</v>
      </c>
      <c r="DN6" s="147">
        <v>116</v>
      </c>
      <c r="DO6" s="147">
        <v>117</v>
      </c>
      <c r="DP6" s="147">
        <v>118</v>
      </c>
      <c r="DQ6" s="147">
        <v>119</v>
      </c>
    </row>
    <row r="7" spans="1:121" x14ac:dyDescent="0.2">
      <c r="A7" s="149" t="s">
        <v>197</v>
      </c>
      <c r="B7" s="169">
        <v>1</v>
      </c>
      <c r="C7" s="12" t="s">
        <v>198</v>
      </c>
      <c r="D7" s="200">
        <v>1982</v>
      </c>
      <c r="E7" s="11"/>
      <c r="F7" s="169">
        <v>84</v>
      </c>
      <c r="G7" s="35">
        <v>1</v>
      </c>
      <c r="H7" s="201">
        <v>9</v>
      </c>
      <c r="I7" s="201" t="s">
        <v>22</v>
      </c>
      <c r="J7" s="115">
        <v>23049</v>
      </c>
      <c r="K7" s="115">
        <v>973</v>
      </c>
      <c r="L7" s="157"/>
      <c r="M7" s="115">
        <v>900</v>
      </c>
      <c r="N7" s="115">
        <v>108</v>
      </c>
      <c r="O7" s="115">
        <v>231</v>
      </c>
      <c r="P7" s="115">
        <v>108</v>
      </c>
      <c r="Q7" s="115">
        <v>236</v>
      </c>
      <c r="R7" s="180">
        <v>5713.2</v>
      </c>
      <c r="S7" s="230">
        <v>3389.5</v>
      </c>
      <c r="T7" s="115">
        <f t="shared" ref="T7:T38" si="0">N7-W7-Z7</f>
        <v>100</v>
      </c>
      <c r="U7" s="203">
        <f t="shared" ref="U7:U38" si="1">R7-X7-AA7</f>
        <v>5284</v>
      </c>
      <c r="V7" s="180">
        <f t="shared" ref="V7:V38" si="2">S7-Y7-AB7</f>
        <v>3123.4</v>
      </c>
      <c r="W7" s="115">
        <v>8</v>
      </c>
      <c r="X7" s="207">
        <v>429.2</v>
      </c>
      <c r="Y7" s="207">
        <v>266.10000000000002</v>
      </c>
      <c r="Z7" s="204"/>
      <c r="AA7" s="207"/>
      <c r="AB7" s="207"/>
      <c r="AC7" s="207">
        <f t="shared" ref="AC7:AC38" si="3">AD7+AG7+AH7</f>
        <v>0</v>
      </c>
      <c r="AD7" s="275">
        <f t="shared" ref="AD7:AD38" si="4">AE7+AF7</f>
        <v>0</v>
      </c>
      <c r="AE7" s="275"/>
      <c r="AF7" s="275"/>
      <c r="AG7" s="207"/>
      <c r="AH7" s="207"/>
      <c r="AI7" s="207">
        <f t="shared" ref="AI7:AI38" si="5">R7+AC7</f>
        <v>5713.2</v>
      </c>
      <c r="AJ7" s="170"/>
      <c r="AK7" s="170">
        <v>3</v>
      </c>
      <c r="AL7" s="170">
        <v>3</v>
      </c>
      <c r="AM7" s="170">
        <v>3</v>
      </c>
      <c r="AN7" s="170"/>
      <c r="AO7" s="170">
        <v>3</v>
      </c>
      <c r="AP7" s="170">
        <v>2199</v>
      </c>
      <c r="AQ7" s="170">
        <v>228.25</v>
      </c>
      <c r="AR7" s="170">
        <v>450</v>
      </c>
      <c r="AS7" s="170">
        <v>348</v>
      </c>
      <c r="AT7" s="170">
        <v>108</v>
      </c>
      <c r="AU7" s="170">
        <f t="shared" ref="AU7:AU49" si="6">AV7+AW7</f>
        <v>12500</v>
      </c>
      <c r="AV7" s="170">
        <v>12500</v>
      </c>
      <c r="AW7" s="170"/>
      <c r="AX7" s="170">
        <v>2520</v>
      </c>
      <c r="AY7" s="170">
        <v>290</v>
      </c>
      <c r="AZ7" s="170">
        <v>899</v>
      </c>
      <c r="BA7" s="170">
        <v>760</v>
      </c>
      <c r="BB7" s="170">
        <v>54</v>
      </c>
      <c r="BC7" s="170">
        <v>8</v>
      </c>
      <c r="BD7" s="170">
        <v>375</v>
      </c>
      <c r="BE7" s="170">
        <v>645</v>
      </c>
      <c r="BF7" s="170">
        <v>1</v>
      </c>
      <c r="BG7" s="170">
        <v>10710</v>
      </c>
      <c r="BH7" s="170">
        <v>4905</v>
      </c>
      <c r="BI7" s="170">
        <v>135</v>
      </c>
      <c r="BJ7" s="115" t="str">
        <f t="shared" ref="BJ7:BJ38" si="7">IF((I7="кир"),G7,"0")</f>
        <v>0</v>
      </c>
      <c r="BK7" s="115" t="str">
        <f t="shared" ref="BK7:BK38" si="8">IF((I7="кир"),R7,"0")</f>
        <v>0</v>
      </c>
      <c r="BL7" s="115" t="str">
        <f t="shared" ref="BL7:BL38" si="9">IF((I7="кир"),S7,"0")</f>
        <v>0</v>
      </c>
      <c r="BM7" s="115">
        <f t="shared" ref="BM7:BM38" si="10">IF((I7="пан"),G7,"0")</f>
        <v>1</v>
      </c>
      <c r="BN7" s="115">
        <f t="shared" ref="BN7:BN38" si="11">IF((I7="пан"),R7,"0")</f>
        <v>5713.2</v>
      </c>
      <c r="BO7" s="115">
        <f t="shared" ref="BO7:BO38" si="12">IF((I7="пан"),S7,"0")</f>
        <v>3389.5</v>
      </c>
      <c r="BP7" s="115" t="str">
        <f t="shared" ref="BP7:BP38" si="13">IF((I7="смеш"),G7,"0")</f>
        <v>0</v>
      </c>
      <c r="BQ7" s="115" t="str">
        <f t="shared" ref="BQ7:BQ38" si="14">IF((I7="смеш"),R7,"0")</f>
        <v>0</v>
      </c>
      <c r="BR7" s="115" t="str">
        <f t="shared" ref="BR7:BR38" si="15">IF((I7="смеш"),S7,"0")</f>
        <v>0</v>
      </c>
      <c r="BS7" s="115"/>
      <c r="BT7" s="115">
        <v>1</v>
      </c>
      <c r="BU7" s="115">
        <f>BA7</f>
        <v>760</v>
      </c>
      <c r="BV7" s="115">
        <v>5010</v>
      </c>
      <c r="BW7" s="115"/>
      <c r="BX7" s="115"/>
      <c r="BY7" s="275">
        <v>1601.8</v>
      </c>
      <c r="BZ7" s="253">
        <v>800.2</v>
      </c>
      <c r="CA7" s="205">
        <v>2548</v>
      </c>
      <c r="CB7" s="282">
        <f t="shared" ref="CB7:CB38" si="16">CA7-K7</f>
        <v>1575</v>
      </c>
      <c r="CC7" s="209">
        <f t="shared" ref="CC7:CC39" si="17">IF(CD7&gt;0,G7,"0")</f>
        <v>1</v>
      </c>
      <c r="CD7" s="235">
        <f t="shared" ref="CD7:CD49" si="18">AV7</f>
        <v>12500</v>
      </c>
      <c r="CE7" s="209" t="str">
        <f t="shared" ref="CE7:CE49" si="19">IF(CF7&gt;0,G7,"0")</f>
        <v>0</v>
      </c>
      <c r="CF7" s="235">
        <f t="shared" ref="CF7:CF49" si="20">AW7</f>
        <v>0</v>
      </c>
      <c r="CG7" s="235">
        <f t="shared" ref="CG7:CG49" si="21">CC7+CE7</f>
        <v>1</v>
      </c>
      <c r="CH7" s="235">
        <f t="shared" ref="CH7:CH49" si="22">CD7+CF7</f>
        <v>12500</v>
      </c>
      <c r="CI7" s="156">
        <v>60</v>
      </c>
      <c r="CJ7" s="284" t="str">
        <f t="shared" ref="CJ7:CJ38" si="23">IF((X7/R7*100&gt;=50), G7, "0")</f>
        <v>0</v>
      </c>
      <c r="CK7" s="284" t="str">
        <f t="shared" ref="CK7:CK38" si="24">IF((X7/R7*100&gt;=50), R7, "0")</f>
        <v>0</v>
      </c>
      <c r="CL7" s="243">
        <f t="shared" ref="CL7:CL38" si="25">X7/R7*100</f>
        <v>7.5124273611986272</v>
      </c>
      <c r="CM7" s="216" t="str">
        <f t="shared" ref="CM7:CM38" si="26">IF(((X7+AD7)/AI7*100&gt;=50), G7, "0")</f>
        <v>0</v>
      </c>
      <c r="CN7" s="216" t="str">
        <f t="shared" ref="CN7:CN38" si="27">IF(((X7+AD7)/AI7*100&gt;=50), AI7, "0")</f>
        <v>0</v>
      </c>
      <c r="CO7" s="243">
        <f t="shared" ref="CO7:CO38" si="28">(X7+AD7)/AI7*100</f>
        <v>7.5124273611986272</v>
      </c>
      <c r="CP7" s="306">
        <v>1</v>
      </c>
      <c r="CQ7" s="306">
        <v>0</v>
      </c>
      <c r="CR7" s="306">
        <v>0</v>
      </c>
      <c r="CS7" s="306">
        <v>0</v>
      </c>
      <c r="CT7" s="306">
        <v>2</v>
      </c>
      <c r="CU7" s="306">
        <v>0</v>
      </c>
      <c r="CV7" s="306">
        <v>0</v>
      </c>
      <c r="CW7" s="306">
        <v>0</v>
      </c>
      <c r="CX7" s="306">
        <v>0</v>
      </c>
      <c r="CY7" s="306">
        <v>108</v>
      </c>
      <c r="CZ7" s="306">
        <f t="shared" ref="CZ7:CZ49" si="29">CY7-DA7</f>
        <v>100</v>
      </c>
      <c r="DA7" s="306">
        <v>8</v>
      </c>
      <c r="DB7" s="306">
        <v>74</v>
      </c>
      <c r="DC7" s="306">
        <v>48</v>
      </c>
      <c r="DD7" s="306">
        <v>81</v>
      </c>
      <c r="DE7" s="306">
        <v>60</v>
      </c>
      <c r="DF7" s="306">
        <v>53</v>
      </c>
      <c r="DG7" s="306">
        <v>74</v>
      </c>
      <c r="DH7" s="306">
        <v>67</v>
      </c>
      <c r="DI7" s="306">
        <v>3</v>
      </c>
      <c r="DJ7" s="306">
        <v>1</v>
      </c>
      <c r="DK7" s="306">
        <v>16</v>
      </c>
      <c r="DL7" s="306">
        <v>2</v>
      </c>
      <c r="DM7" s="306">
        <v>2</v>
      </c>
      <c r="DN7" s="306">
        <v>15</v>
      </c>
      <c r="DO7" s="306">
        <v>3</v>
      </c>
      <c r="DP7" s="306">
        <v>108</v>
      </c>
      <c r="DQ7" s="306">
        <v>108</v>
      </c>
    </row>
    <row r="8" spans="1:121" x14ac:dyDescent="0.2">
      <c r="A8" s="149" t="s">
        <v>197</v>
      </c>
      <c r="B8" s="169">
        <v>2</v>
      </c>
      <c r="C8" s="12" t="s">
        <v>199</v>
      </c>
      <c r="D8" s="200">
        <v>1992</v>
      </c>
      <c r="E8" s="11"/>
      <c r="F8" s="206" t="s">
        <v>24</v>
      </c>
      <c r="G8" s="35">
        <v>1</v>
      </c>
      <c r="H8" s="201">
        <v>9</v>
      </c>
      <c r="I8" s="201" t="s">
        <v>22</v>
      </c>
      <c r="J8" s="115">
        <v>19713</v>
      </c>
      <c r="K8" s="115">
        <v>763</v>
      </c>
      <c r="L8" s="157"/>
      <c r="M8" s="115">
        <v>720</v>
      </c>
      <c r="N8" s="115">
        <v>69</v>
      </c>
      <c r="O8" s="115">
        <v>191</v>
      </c>
      <c r="P8" s="115">
        <v>70</v>
      </c>
      <c r="Q8" s="115">
        <v>175</v>
      </c>
      <c r="R8" s="228">
        <f>4512.4+3.5+1.8</f>
        <v>4517.7</v>
      </c>
      <c r="S8" s="230">
        <v>2771</v>
      </c>
      <c r="T8" s="115">
        <f t="shared" si="0"/>
        <v>61</v>
      </c>
      <c r="U8" s="194">
        <f t="shared" si="1"/>
        <v>3995.7999999999997</v>
      </c>
      <c r="V8" s="180">
        <f t="shared" si="2"/>
        <v>2447.42</v>
      </c>
      <c r="W8" s="115">
        <v>8</v>
      </c>
      <c r="X8" s="207">
        <v>521.9</v>
      </c>
      <c r="Y8" s="207">
        <v>323.58</v>
      </c>
      <c r="Z8" s="204"/>
      <c r="AA8" s="207"/>
      <c r="AB8" s="207"/>
      <c r="AC8" s="207">
        <f t="shared" si="3"/>
        <v>100.7</v>
      </c>
      <c r="AD8" s="248">
        <f t="shared" si="4"/>
        <v>0</v>
      </c>
      <c r="AE8" s="275"/>
      <c r="AF8" s="275"/>
      <c r="AG8" s="207"/>
      <c r="AH8" s="207">
        <v>100.7</v>
      </c>
      <c r="AI8" s="207">
        <f t="shared" si="5"/>
        <v>4618.3999999999996</v>
      </c>
      <c r="AJ8" s="170"/>
      <c r="AK8" s="170">
        <v>2</v>
      </c>
      <c r="AL8" s="170">
        <v>2</v>
      </c>
      <c r="AM8" s="170">
        <v>2</v>
      </c>
      <c r="AN8" s="170"/>
      <c r="AO8" s="170">
        <v>2</v>
      </c>
      <c r="AP8" s="170">
        <v>1126</v>
      </c>
      <c r="AQ8" s="170"/>
      <c r="AR8" s="170">
        <v>450</v>
      </c>
      <c r="AS8" s="170">
        <v>264</v>
      </c>
      <c r="AT8" s="170">
        <v>150</v>
      </c>
      <c r="AU8" s="170">
        <f t="shared" si="6"/>
        <v>8050</v>
      </c>
      <c r="AV8" s="170"/>
      <c r="AW8" s="170">
        <v>8050</v>
      </c>
      <c r="AX8" s="170">
        <v>1680</v>
      </c>
      <c r="AY8" s="170">
        <v>223</v>
      </c>
      <c r="AZ8" s="170">
        <v>723</v>
      </c>
      <c r="BA8" s="170">
        <v>603</v>
      </c>
      <c r="BB8" s="170">
        <v>34</v>
      </c>
      <c r="BC8" s="170">
        <v>38</v>
      </c>
      <c r="BD8" s="170">
        <v>264</v>
      </c>
      <c r="BE8" s="170">
        <v>481</v>
      </c>
      <c r="BF8" s="170">
        <v>1</v>
      </c>
      <c r="BG8" s="170">
        <v>7600</v>
      </c>
      <c r="BH8" s="170">
        <v>3270</v>
      </c>
      <c r="BI8" s="170">
        <v>90</v>
      </c>
      <c r="BJ8" s="115" t="str">
        <f t="shared" si="7"/>
        <v>0</v>
      </c>
      <c r="BK8" s="115" t="str">
        <f t="shared" si="8"/>
        <v>0</v>
      </c>
      <c r="BL8" s="115" t="str">
        <f t="shared" si="9"/>
        <v>0</v>
      </c>
      <c r="BM8" s="115">
        <f t="shared" si="10"/>
        <v>1</v>
      </c>
      <c r="BN8" s="115">
        <f t="shared" si="11"/>
        <v>4517.7</v>
      </c>
      <c r="BO8" s="115">
        <f t="shared" si="12"/>
        <v>2771</v>
      </c>
      <c r="BP8" s="115" t="str">
        <f t="shared" si="13"/>
        <v>0</v>
      </c>
      <c r="BQ8" s="115" t="str">
        <f t="shared" si="14"/>
        <v>0</v>
      </c>
      <c r="BR8" s="115" t="str">
        <f t="shared" si="15"/>
        <v>0</v>
      </c>
      <c r="BS8" s="115"/>
      <c r="BT8" s="115">
        <v>2</v>
      </c>
      <c r="BU8" s="115"/>
      <c r="BV8" s="115"/>
      <c r="BW8" s="115"/>
      <c r="BX8" s="115"/>
      <c r="BY8" s="275">
        <v>1451.7</v>
      </c>
      <c r="BZ8" s="253">
        <v>770.3</v>
      </c>
      <c r="CA8" s="205">
        <v>1943</v>
      </c>
      <c r="CB8" s="282">
        <f t="shared" si="16"/>
        <v>1180</v>
      </c>
      <c r="CC8" s="209" t="str">
        <f t="shared" si="17"/>
        <v>0</v>
      </c>
      <c r="CD8" s="235">
        <f t="shared" si="18"/>
        <v>0</v>
      </c>
      <c r="CE8" s="209">
        <f t="shared" si="19"/>
        <v>1</v>
      </c>
      <c r="CF8" s="235">
        <f t="shared" si="20"/>
        <v>8050</v>
      </c>
      <c r="CG8" s="235">
        <f t="shared" si="21"/>
        <v>1</v>
      </c>
      <c r="CH8" s="235">
        <f t="shared" si="22"/>
        <v>8050</v>
      </c>
      <c r="CI8" s="156">
        <v>62</v>
      </c>
      <c r="CJ8" s="284" t="str">
        <f t="shared" si="23"/>
        <v>0</v>
      </c>
      <c r="CK8" s="284" t="str">
        <f t="shared" si="24"/>
        <v>0</v>
      </c>
      <c r="CL8" s="243">
        <f t="shared" si="25"/>
        <v>11.552338579365607</v>
      </c>
      <c r="CM8" s="216" t="str">
        <f t="shared" si="26"/>
        <v>0</v>
      </c>
      <c r="CN8" s="216" t="str">
        <f t="shared" si="27"/>
        <v>0</v>
      </c>
      <c r="CO8" s="243">
        <f t="shared" si="28"/>
        <v>11.30045037242335</v>
      </c>
      <c r="CP8" s="306">
        <v>1</v>
      </c>
      <c r="CQ8" s="306">
        <v>0</v>
      </c>
      <c r="CR8" s="306">
        <v>0</v>
      </c>
      <c r="CS8" s="306">
        <v>0</v>
      </c>
      <c r="CT8" s="306">
        <v>2</v>
      </c>
      <c r="CU8" s="306">
        <v>0</v>
      </c>
      <c r="CV8" s="306">
        <v>0</v>
      </c>
      <c r="CW8" s="306">
        <v>0</v>
      </c>
      <c r="CX8" s="306">
        <v>0</v>
      </c>
      <c r="CY8" s="306">
        <v>69</v>
      </c>
      <c r="CZ8" s="306">
        <f t="shared" si="29"/>
        <v>62</v>
      </c>
      <c r="DA8" s="306">
        <v>7</v>
      </c>
      <c r="DB8" s="306">
        <v>44</v>
      </c>
      <c r="DC8" s="306">
        <v>29</v>
      </c>
      <c r="DD8" s="306">
        <v>65</v>
      </c>
      <c r="DE8" s="306">
        <v>39</v>
      </c>
      <c r="DF8" s="306">
        <v>37</v>
      </c>
      <c r="DG8" s="306">
        <v>55</v>
      </c>
      <c r="DH8" s="306">
        <v>49</v>
      </c>
      <c r="DI8" s="306">
        <v>2</v>
      </c>
      <c r="DJ8" s="306">
        <v>0</v>
      </c>
      <c r="DK8" s="306">
        <v>4</v>
      </c>
      <c r="DL8" s="306">
        <v>0</v>
      </c>
      <c r="DM8" s="306">
        <v>0</v>
      </c>
      <c r="DN8" s="306">
        <v>4</v>
      </c>
      <c r="DO8" s="306">
        <v>0</v>
      </c>
      <c r="DP8" s="306">
        <v>69</v>
      </c>
      <c r="DQ8" s="306">
        <v>69</v>
      </c>
    </row>
    <row r="9" spans="1:121" x14ac:dyDescent="0.2">
      <c r="A9" s="149" t="s">
        <v>197</v>
      </c>
      <c r="B9" s="169">
        <v>3</v>
      </c>
      <c r="C9" s="12" t="s">
        <v>200</v>
      </c>
      <c r="D9" s="200">
        <v>1991</v>
      </c>
      <c r="E9" s="11"/>
      <c r="F9" s="206" t="s">
        <v>24</v>
      </c>
      <c r="G9" s="35">
        <v>1</v>
      </c>
      <c r="H9" s="201">
        <v>9</v>
      </c>
      <c r="I9" s="201" t="s">
        <v>22</v>
      </c>
      <c r="J9" s="115">
        <v>19886</v>
      </c>
      <c r="K9" s="115">
        <v>804</v>
      </c>
      <c r="L9" s="157"/>
      <c r="M9" s="115">
        <v>725</v>
      </c>
      <c r="N9" s="115">
        <v>66</v>
      </c>
      <c r="O9" s="115">
        <v>184</v>
      </c>
      <c r="P9" s="115">
        <v>67</v>
      </c>
      <c r="Q9" s="115">
        <v>165</v>
      </c>
      <c r="R9" s="228">
        <v>4310.5</v>
      </c>
      <c r="S9" s="121">
        <v>2694.7</v>
      </c>
      <c r="T9" s="115">
        <f t="shared" si="0"/>
        <v>61</v>
      </c>
      <c r="U9" s="203">
        <f t="shared" si="1"/>
        <v>3974.5</v>
      </c>
      <c r="V9" s="180">
        <f t="shared" si="2"/>
        <v>2486.3799999999997</v>
      </c>
      <c r="W9" s="115">
        <v>5</v>
      </c>
      <c r="X9" s="207">
        <v>336</v>
      </c>
      <c r="Y9" s="207">
        <v>208.32</v>
      </c>
      <c r="Z9" s="204"/>
      <c r="AA9" s="207"/>
      <c r="AB9" s="207"/>
      <c r="AC9" s="207">
        <f t="shared" si="3"/>
        <v>195.8</v>
      </c>
      <c r="AD9" s="248">
        <f t="shared" si="4"/>
        <v>0</v>
      </c>
      <c r="AE9" s="275"/>
      <c r="AF9" s="248"/>
      <c r="AG9" s="207">
        <f>195.75+0.05</f>
        <v>195.8</v>
      </c>
      <c r="AH9" s="207"/>
      <c r="AI9" s="207">
        <f t="shared" si="5"/>
        <v>4506.3</v>
      </c>
      <c r="AJ9" s="170"/>
      <c r="AK9" s="170">
        <v>2</v>
      </c>
      <c r="AL9" s="170">
        <v>2</v>
      </c>
      <c r="AM9" s="170">
        <v>2</v>
      </c>
      <c r="AN9" s="170"/>
      <c r="AO9" s="170">
        <v>2</v>
      </c>
      <c r="AP9" s="170">
        <v>1126</v>
      </c>
      <c r="AQ9" s="170">
        <v>45.92</v>
      </c>
      <c r="AR9" s="170">
        <v>405</v>
      </c>
      <c r="AS9" s="170">
        <v>264</v>
      </c>
      <c r="AT9" s="170">
        <v>150</v>
      </c>
      <c r="AU9" s="170">
        <f t="shared" si="6"/>
        <v>8050</v>
      </c>
      <c r="AV9" s="170"/>
      <c r="AW9" s="170">
        <v>8050</v>
      </c>
      <c r="AX9" s="170">
        <v>1680</v>
      </c>
      <c r="AY9" s="170">
        <v>223</v>
      </c>
      <c r="AZ9" s="170">
        <v>725</v>
      </c>
      <c r="BA9" s="170">
        <v>596</v>
      </c>
      <c r="BB9" s="170">
        <v>36</v>
      </c>
      <c r="BC9" s="170">
        <v>40</v>
      </c>
      <c r="BD9" s="170">
        <v>261</v>
      </c>
      <c r="BE9" s="170">
        <v>466</v>
      </c>
      <c r="BF9" s="170">
        <v>1</v>
      </c>
      <c r="BG9" s="170">
        <v>7600</v>
      </c>
      <c r="BH9" s="170">
        <v>3270</v>
      </c>
      <c r="BI9" s="170">
        <v>90</v>
      </c>
      <c r="BJ9" s="115" t="str">
        <f t="shared" si="7"/>
        <v>0</v>
      </c>
      <c r="BK9" s="115" t="str">
        <f t="shared" si="8"/>
        <v>0</v>
      </c>
      <c r="BL9" s="115" t="str">
        <f t="shared" si="9"/>
        <v>0</v>
      </c>
      <c r="BM9" s="115">
        <f t="shared" si="10"/>
        <v>1</v>
      </c>
      <c r="BN9" s="115">
        <f t="shared" si="11"/>
        <v>4310.5</v>
      </c>
      <c r="BO9" s="115">
        <f t="shared" si="12"/>
        <v>2694.7</v>
      </c>
      <c r="BP9" s="115" t="str">
        <f t="shared" si="13"/>
        <v>0</v>
      </c>
      <c r="BQ9" s="115" t="str">
        <f t="shared" si="14"/>
        <v>0</v>
      </c>
      <c r="BR9" s="115" t="str">
        <f t="shared" si="15"/>
        <v>0</v>
      </c>
      <c r="BS9" s="115"/>
      <c r="BT9" s="115">
        <v>2</v>
      </c>
      <c r="BU9" s="115"/>
      <c r="BV9" s="115"/>
      <c r="BW9" s="115"/>
      <c r="BX9" s="115"/>
      <c r="BY9" s="275">
        <v>1540</v>
      </c>
      <c r="BZ9" s="253">
        <v>807.6</v>
      </c>
      <c r="CA9" s="205">
        <v>1664</v>
      </c>
      <c r="CB9" s="282">
        <f t="shared" si="16"/>
        <v>860</v>
      </c>
      <c r="CC9" s="209" t="str">
        <f t="shared" si="17"/>
        <v>0</v>
      </c>
      <c r="CD9" s="235">
        <f t="shared" si="18"/>
        <v>0</v>
      </c>
      <c r="CE9" s="209">
        <f t="shared" si="19"/>
        <v>1</v>
      </c>
      <c r="CF9" s="235">
        <f t="shared" si="20"/>
        <v>8050</v>
      </c>
      <c r="CG9" s="235">
        <f t="shared" si="21"/>
        <v>1</v>
      </c>
      <c r="CH9" s="235">
        <f t="shared" si="22"/>
        <v>8050</v>
      </c>
      <c r="CI9" s="156">
        <v>55</v>
      </c>
      <c r="CJ9" s="284" t="str">
        <f t="shared" si="23"/>
        <v>0</v>
      </c>
      <c r="CK9" s="284" t="str">
        <f t="shared" si="24"/>
        <v>0</v>
      </c>
      <c r="CL9" s="243">
        <f t="shared" si="25"/>
        <v>7.7949193829022159</v>
      </c>
      <c r="CM9" s="216" t="str">
        <f t="shared" si="26"/>
        <v>0</v>
      </c>
      <c r="CN9" s="216" t="str">
        <f t="shared" si="27"/>
        <v>0</v>
      </c>
      <c r="CO9" s="243">
        <f t="shared" si="28"/>
        <v>7.4562279475401105</v>
      </c>
      <c r="CP9" s="306">
        <v>1</v>
      </c>
      <c r="CQ9" s="306">
        <v>0</v>
      </c>
      <c r="CR9" s="306">
        <v>0</v>
      </c>
      <c r="CS9" s="306">
        <v>0</v>
      </c>
      <c r="CT9" s="306">
        <v>2</v>
      </c>
      <c r="CU9" s="306">
        <v>0</v>
      </c>
      <c r="CV9" s="306">
        <v>0</v>
      </c>
      <c r="CW9" s="306">
        <v>0</v>
      </c>
      <c r="CX9" s="306">
        <v>0</v>
      </c>
      <c r="CY9" s="306">
        <v>66</v>
      </c>
      <c r="CZ9" s="306">
        <f t="shared" si="29"/>
        <v>63</v>
      </c>
      <c r="DA9" s="306">
        <v>3</v>
      </c>
      <c r="DB9" s="306">
        <v>44</v>
      </c>
      <c r="DC9" s="306">
        <v>34</v>
      </c>
      <c r="DD9" s="306">
        <v>47</v>
      </c>
      <c r="DE9" s="306">
        <v>42</v>
      </c>
      <c r="DF9" s="306">
        <v>41</v>
      </c>
      <c r="DG9" s="306">
        <v>35</v>
      </c>
      <c r="DH9" s="306">
        <v>54</v>
      </c>
      <c r="DI9" s="306">
        <v>1</v>
      </c>
      <c r="DJ9" s="306">
        <v>1</v>
      </c>
      <c r="DK9" s="306">
        <v>0</v>
      </c>
      <c r="DL9" s="306">
        <v>2</v>
      </c>
      <c r="DM9" s="306">
        <v>1</v>
      </c>
      <c r="DN9" s="306">
        <v>0</v>
      </c>
      <c r="DO9" s="306">
        <v>2</v>
      </c>
      <c r="DP9" s="306">
        <v>66</v>
      </c>
      <c r="DQ9" s="306">
        <v>66</v>
      </c>
    </row>
    <row r="10" spans="1:121" x14ac:dyDescent="0.2">
      <c r="A10" s="149" t="s">
        <v>197</v>
      </c>
      <c r="B10" s="169">
        <v>4</v>
      </c>
      <c r="C10" s="12" t="s">
        <v>201</v>
      </c>
      <c r="D10" s="200">
        <v>1977</v>
      </c>
      <c r="E10" s="11"/>
      <c r="F10" s="169">
        <v>84</v>
      </c>
      <c r="G10" s="35">
        <v>1</v>
      </c>
      <c r="H10" s="201">
        <v>9</v>
      </c>
      <c r="I10" s="201" t="s">
        <v>22</v>
      </c>
      <c r="J10" s="115">
        <v>23226</v>
      </c>
      <c r="K10" s="115">
        <v>928</v>
      </c>
      <c r="L10" s="157"/>
      <c r="M10" s="115">
        <v>884</v>
      </c>
      <c r="N10" s="115">
        <v>108</v>
      </c>
      <c r="O10" s="115">
        <v>231</v>
      </c>
      <c r="P10" s="115">
        <v>108</v>
      </c>
      <c r="Q10" s="115">
        <v>245</v>
      </c>
      <c r="R10" s="228">
        <f>5651.6-1.3+0.2+2.1+0.2</f>
        <v>5652.8</v>
      </c>
      <c r="S10" s="230">
        <v>3346.7</v>
      </c>
      <c r="T10" s="115">
        <f t="shared" si="0"/>
        <v>102</v>
      </c>
      <c r="U10" s="203">
        <f t="shared" si="1"/>
        <v>5348.6</v>
      </c>
      <c r="V10" s="180">
        <f t="shared" si="2"/>
        <v>3158.1</v>
      </c>
      <c r="W10" s="115">
        <v>6</v>
      </c>
      <c r="X10" s="207">
        <v>304.2</v>
      </c>
      <c r="Y10" s="207">
        <v>188.6</v>
      </c>
      <c r="Z10" s="204"/>
      <c r="AA10" s="207"/>
      <c r="AB10" s="207"/>
      <c r="AC10" s="207">
        <f t="shared" si="3"/>
        <v>0</v>
      </c>
      <c r="AD10" s="228">
        <f t="shared" si="4"/>
        <v>0</v>
      </c>
      <c r="AE10" s="207"/>
      <c r="AF10" s="228"/>
      <c r="AG10" s="207"/>
      <c r="AH10" s="207"/>
      <c r="AI10" s="207">
        <f t="shared" si="5"/>
        <v>5652.8</v>
      </c>
      <c r="AJ10" s="170"/>
      <c r="AK10" s="170">
        <v>3</v>
      </c>
      <c r="AL10" s="170">
        <v>3</v>
      </c>
      <c r="AM10" s="170">
        <v>3</v>
      </c>
      <c r="AN10" s="170"/>
      <c r="AO10" s="170">
        <v>3</v>
      </c>
      <c r="AP10" s="170">
        <v>4445</v>
      </c>
      <c r="AQ10" s="170">
        <v>485.125</v>
      </c>
      <c r="AR10" s="170">
        <v>557</v>
      </c>
      <c r="AS10" s="170">
        <v>261</v>
      </c>
      <c r="AT10" s="170">
        <v>60</v>
      </c>
      <c r="AU10" s="170">
        <f t="shared" si="6"/>
        <v>6835</v>
      </c>
      <c r="AV10" s="170">
        <v>6835</v>
      </c>
      <c r="AW10" s="170"/>
      <c r="AX10" s="170">
        <v>2613</v>
      </c>
      <c r="AY10" s="170">
        <v>227</v>
      </c>
      <c r="AZ10" s="170">
        <v>911</v>
      </c>
      <c r="BA10" s="170">
        <v>890</v>
      </c>
      <c r="BB10" s="170">
        <v>48</v>
      </c>
      <c r="BC10" s="170">
        <v>9</v>
      </c>
      <c r="BD10" s="170">
        <v>267</v>
      </c>
      <c r="BE10" s="170">
        <v>108</v>
      </c>
      <c r="BF10" s="170"/>
      <c r="BG10" s="170">
        <v>10710</v>
      </c>
      <c r="BH10" s="170">
        <v>4905</v>
      </c>
      <c r="BI10" s="170">
        <v>135</v>
      </c>
      <c r="BJ10" s="115" t="str">
        <f t="shared" si="7"/>
        <v>0</v>
      </c>
      <c r="BK10" s="115" t="str">
        <f t="shared" si="8"/>
        <v>0</v>
      </c>
      <c r="BL10" s="115" t="str">
        <f t="shared" si="9"/>
        <v>0</v>
      </c>
      <c r="BM10" s="115">
        <f t="shared" si="10"/>
        <v>1</v>
      </c>
      <c r="BN10" s="115">
        <f t="shared" si="11"/>
        <v>5652.8</v>
      </c>
      <c r="BO10" s="115">
        <f t="shared" si="12"/>
        <v>3346.7</v>
      </c>
      <c r="BP10" s="115" t="str">
        <f t="shared" si="13"/>
        <v>0</v>
      </c>
      <c r="BQ10" s="115" t="str">
        <f t="shared" si="14"/>
        <v>0</v>
      </c>
      <c r="BR10" s="115" t="str">
        <f t="shared" si="15"/>
        <v>0</v>
      </c>
      <c r="BS10" s="115"/>
      <c r="BT10" s="115">
        <v>2</v>
      </c>
      <c r="BU10" s="115">
        <f t="shared" ref="BU10:BU24" si="30">BA10</f>
        <v>890</v>
      </c>
      <c r="BV10" s="115">
        <v>3804</v>
      </c>
      <c r="BW10" s="115"/>
      <c r="BX10" s="115"/>
      <c r="BY10" s="275">
        <v>1731.4</v>
      </c>
      <c r="BZ10" s="253">
        <v>774.3</v>
      </c>
      <c r="CA10" s="205">
        <v>2513</v>
      </c>
      <c r="CB10" s="282">
        <f t="shared" si="16"/>
        <v>1585</v>
      </c>
      <c r="CC10" s="209">
        <f t="shared" si="17"/>
        <v>1</v>
      </c>
      <c r="CD10" s="235">
        <f t="shared" si="18"/>
        <v>6835</v>
      </c>
      <c r="CE10" s="209" t="str">
        <f t="shared" si="19"/>
        <v>0</v>
      </c>
      <c r="CF10" s="235">
        <f t="shared" si="20"/>
        <v>0</v>
      </c>
      <c r="CG10" s="235">
        <f t="shared" si="21"/>
        <v>1</v>
      </c>
      <c r="CH10" s="235">
        <f t="shared" si="22"/>
        <v>6835</v>
      </c>
      <c r="CI10" s="156">
        <v>46</v>
      </c>
      <c r="CJ10" s="284" t="str">
        <f t="shared" si="23"/>
        <v>0</v>
      </c>
      <c r="CK10" s="284" t="str">
        <f t="shared" si="24"/>
        <v>0</v>
      </c>
      <c r="CL10" s="243">
        <f t="shared" si="25"/>
        <v>5.3814039060288703</v>
      </c>
      <c r="CM10" s="216" t="str">
        <f t="shared" si="26"/>
        <v>0</v>
      </c>
      <c r="CN10" s="216" t="str">
        <f t="shared" si="27"/>
        <v>0</v>
      </c>
      <c r="CO10" s="243">
        <f t="shared" si="28"/>
        <v>5.3814039060288703</v>
      </c>
      <c r="CP10" s="306">
        <v>1</v>
      </c>
      <c r="CQ10" s="306">
        <v>0</v>
      </c>
      <c r="CR10" s="306">
        <v>0</v>
      </c>
      <c r="CS10" s="306">
        <v>0</v>
      </c>
      <c r="CT10" s="306">
        <v>1</v>
      </c>
      <c r="CU10" s="306">
        <v>0</v>
      </c>
      <c r="CV10" s="306">
        <v>0</v>
      </c>
      <c r="CW10" s="306">
        <v>0</v>
      </c>
      <c r="CX10" s="306">
        <v>0</v>
      </c>
      <c r="CY10" s="306">
        <v>108</v>
      </c>
      <c r="CZ10" s="306">
        <f t="shared" si="29"/>
        <v>101</v>
      </c>
      <c r="DA10" s="306">
        <v>7</v>
      </c>
      <c r="DB10" s="306">
        <v>72</v>
      </c>
      <c r="DC10" s="306">
        <v>58</v>
      </c>
      <c r="DD10" s="306">
        <v>66</v>
      </c>
      <c r="DE10" s="306">
        <v>75</v>
      </c>
      <c r="DF10" s="306">
        <v>61</v>
      </c>
      <c r="DG10" s="306">
        <v>62</v>
      </c>
      <c r="DH10" s="306">
        <v>79</v>
      </c>
      <c r="DI10" s="306">
        <v>3</v>
      </c>
      <c r="DJ10" s="306">
        <v>2</v>
      </c>
      <c r="DK10" s="306">
        <v>5</v>
      </c>
      <c r="DL10" s="306">
        <v>3</v>
      </c>
      <c r="DM10" s="306">
        <v>2</v>
      </c>
      <c r="DN10" s="306">
        <v>5</v>
      </c>
      <c r="DO10" s="306">
        <v>3</v>
      </c>
      <c r="DP10" s="306">
        <v>108</v>
      </c>
      <c r="DQ10" s="306">
        <v>108</v>
      </c>
    </row>
    <row r="11" spans="1:121" x14ac:dyDescent="0.2">
      <c r="A11" s="149" t="s">
        <v>197</v>
      </c>
      <c r="B11" s="169">
        <v>5</v>
      </c>
      <c r="C11" s="12" t="s">
        <v>202</v>
      </c>
      <c r="D11" s="200">
        <v>1977</v>
      </c>
      <c r="E11" s="11"/>
      <c r="F11" s="169">
        <v>84</v>
      </c>
      <c r="G11" s="35">
        <v>1</v>
      </c>
      <c r="H11" s="201">
        <v>9</v>
      </c>
      <c r="I11" s="201" t="s">
        <v>22</v>
      </c>
      <c r="J11" s="115">
        <v>22436</v>
      </c>
      <c r="K11" s="115">
        <v>932</v>
      </c>
      <c r="L11" s="157"/>
      <c r="M11" s="115">
        <v>878</v>
      </c>
      <c r="N11" s="115">
        <v>108</v>
      </c>
      <c r="O11" s="115">
        <v>231</v>
      </c>
      <c r="P11" s="115">
        <v>109</v>
      </c>
      <c r="Q11" s="115">
        <v>203</v>
      </c>
      <c r="R11" s="228">
        <f>5623.39-0.7-1.5+2.2</f>
        <v>5623.39</v>
      </c>
      <c r="S11" s="230">
        <v>3349.4</v>
      </c>
      <c r="T11" s="115">
        <f t="shared" si="0"/>
        <v>100</v>
      </c>
      <c r="U11" s="203">
        <f t="shared" si="1"/>
        <v>5194.1900000000005</v>
      </c>
      <c r="V11" s="180">
        <f t="shared" si="2"/>
        <v>3083.3</v>
      </c>
      <c r="W11" s="115">
        <v>8</v>
      </c>
      <c r="X11" s="207">
        <v>429.2</v>
      </c>
      <c r="Y11" s="207">
        <v>266.10000000000002</v>
      </c>
      <c r="Z11" s="204"/>
      <c r="AA11" s="207"/>
      <c r="AB11" s="207"/>
      <c r="AC11" s="207">
        <f t="shared" si="3"/>
        <v>0</v>
      </c>
      <c r="AD11" s="248">
        <f t="shared" si="4"/>
        <v>0</v>
      </c>
      <c r="AE11" s="275"/>
      <c r="AF11" s="248"/>
      <c r="AG11" s="207"/>
      <c r="AH11" s="207"/>
      <c r="AI11" s="207">
        <f t="shared" si="5"/>
        <v>5623.39</v>
      </c>
      <c r="AJ11" s="170"/>
      <c r="AK11" s="170">
        <v>3</v>
      </c>
      <c r="AL11" s="170">
        <v>3</v>
      </c>
      <c r="AM11" s="170">
        <v>3</v>
      </c>
      <c r="AN11" s="170"/>
      <c r="AO11" s="170">
        <v>3</v>
      </c>
      <c r="AP11" s="170">
        <v>4445</v>
      </c>
      <c r="AQ11" s="170"/>
      <c r="AR11" s="170">
        <v>350</v>
      </c>
      <c r="AS11" s="170">
        <v>251</v>
      </c>
      <c r="AT11" s="170">
        <v>60</v>
      </c>
      <c r="AU11" s="170">
        <f t="shared" si="6"/>
        <v>6835</v>
      </c>
      <c r="AV11" s="170">
        <v>6835</v>
      </c>
      <c r="AW11" s="170"/>
      <c r="AX11" s="170">
        <v>2613</v>
      </c>
      <c r="AY11" s="170">
        <v>224</v>
      </c>
      <c r="AZ11" s="170">
        <v>905</v>
      </c>
      <c r="BA11" s="170">
        <v>878</v>
      </c>
      <c r="BB11" s="170">
        <v>48</v>
      </c>
      <c r="BC11" s="170">
        <v>9</v>
      </c>
      <c r="BD11" s="170">
        <v>267</v>
      </c>
      <c r="BE11" s="170">
        <v>108</v>
      </c>
      <c r="BF11" s="170"/>
      <c r="BG11" s="170">
        <v>10710</v>
      </c>
      <c r="BH11" s="170">
        <v>4905</v>
      </c>
      <c r="BI11" s="170">
        <v>135</v>
      </c>
      <c r="BJ11" s="115" t="str">
        <f t="shared" si="7"/>
        <v>0</v>
      </c>
      <c r="BK11" s="115" t="str">
        <f t="shared" si="8"/>
        <v>0</v>
      </c>
      <c r="BL11" s="115" t="str">
        <f t="shared" si="9"/>
        <v>0</v>
      </c>
      <c r="BM11" s="115">
        <f t="shared" si="10"/>
        <v>1</v>
      </c>
      <c r="BN11" s="115">
        <f t="shared" si="11"/>
        <v>5623.39</v>
      </c>
      <c r="BO11" s="115">
        <f t="shared" si="12"/>
        <v>3349.4</v>
      </c>
      <c r="BP11" s="115" t="str">
        <f t="shared" si="13"/>
        <v>0</v>
      </c>
      <c r="BQ11" s="115" t="str">
        <f t="shared" si="14"/>
        <v>0</v>
      </c>
      <c r="BR11" s="115" t="str">
        <f t="shared" si="15"/>
        <v>0</v>
      </c>
      <c r="BS11" s="115"/>
      <c r="BT11" s="115">
        <v>2</v>
      </c>
      <c r="BU11" s="115">
        <f t="shared" si="30"/>
        <v>878</v>
      </c>
      <c r="BV11" s="115">
        <v>3804</v>
      </c>
      <c r="BW11" s="115"/>
      <c r="BX11" s="115"/>
      <c r="BY11" s="275">
        <v>1668.6</v>
      </c>
      <c r="BZ11" s="253">
        <v>742.9</v>
      </c>
      <c r="CA11" s="205">
        <v>2504</v>
      </c>
      <c r="CB11" s="282">
        <f t="shared" si="16"/>
        <v>1572</v>
      </c>
      <c r="CC11" s="209">
        <f t="shared" si="17"/>
        <v>1</v>
      </c>
      <c r="CD11" s="235">
        <f t="shared" si="18"/>
        <v>6835</v>
      </c>
      <c r="CE11" s="209" t="str">
        <f t="shared" si="19"/>
        <v>0</v>
      </c>
      <c r="CF11" s="235">
        <f t="shared" si="20"/>
        <v>0</v>
      </c>
      <c r="CG11" s="235">
        <f t="shared" si="21"/>
        <v>1</v>
      </c>
      <c r="CH11" s="235">
        <f t="shared" si="22"/>
        <v>6835</v>
      </c>
      <c r="CI11" s="156">
        <v>47</v>
      </c>
      <c r="CJ11" s="284" t="str">
        <f t="shared" si="23"/>
        <v>0</v>
      </c>
      <c r="CK11" s="284" t="str">
        <f t="shared" si="24"/>
        <v>0</v>
      </c>
      <c r="CL11" s="243">
        <f t="shared" si="25"/>
        <v>7.6324067866536023</v>
      </c>
      <c r="CM11" s="216" t="str">
        <f t="shared" si="26"/>
        <v>0</v>
      </c>
      <c r="CN11" s="216" t="str">
        <f t="shared" si="27"/>
        <v>0</v>
      </c>
      <c r="CO11" s="243">
        <f t="shared" si="28"/>
        <v>7.6324067866536023</v>
      </c>
      <c r="CP11" s="306">
        <v>1</v>
      </c>
      <c r="CQ11" s="306">
        <v>0</v>
      </c>
      <c r="CR11" s="306">
        <v>0</v>
      </c>
      <c r="CS11" s="306">
        <v>0</v>
      </c>
      <c r="CT11" s="306">
        <v>2</v>
      </c>
      <c r="CU11" s="306">
        <v>0</v>
      </c>
      <c r="CV11" s="306">
        <v>0</v>
      </c>
      <c r="CW11" s="306">
        <v>0</v>
      </c>
      <c r="CX11" s="306">
        <v>0</v>
      </c>
      <c r="CY11" s="306">
        <v>108</v>
      </c>
      <c r="CZ11" s="306">
        <f t="shared" si="29"/>
        <v>98</v>
      </c>
      <c r="DA11" s="306">
        <v>10</v>
      </c>
      <c r="DB11" s="306">
        <v>71</v>
      </c>
      <c r="DC11" s="306">
        <v>48</v>
      </c>
      <c r="DD11" s="306">
        <v>78</v>
      </c>
      <c r="DE11" s="306">
        <v>63</v>
      </c>
      <c r="DF11" s="306">
        <v>54</v>
      </c>
      <c r="DG11" s="306">
        <v>71</v>
      </c>
      <c r="DH11" s="306">
        <v>70</v>
      </c>
      <c r="DI11" s="306">
        <v>6</v>
      </c>
      <c r="DJ11" s="306">
        <v>5</v>
      </c>
      <c r="DK11" s="306">
        <v>10</v>
      </c>
      <c r="DL11" s="306">
        <v>6</v>
      </c>
      <c r="DM11" s="306">
        <v>5</v>
      </c>
      <c r="DN11" s="306">
        <v>10</v>
      </c>
      <c r="DO11" s="306">
        <v>6</v>
      </c>
      <c r="DP11" s="306">
        <v>108</v>
      </c>
      <c r="DQ11" s="306">
        <v>108</v>
      </c>
    </row>
    <row r="12" spans="1:121" x14ac:dyDescent="0.2">
      <c r="A12" s="326" t="s">
        <v>203</v>
      </c>
      <c r="B12" s="169">
        <v>6</v>
      </c>
      <c r="C12" s="12" t="s">
        <v>204</v>
      </c>
      <c r="D12" s="200">
        <v>1974</v>
      </c>
      <c r="E12" s="11"/>
      <c r="F12" s="169" t="s">
        <v>205</v>
      </c>
      <c r="G12" s="35">
        <v>1</v>
      </c>
      <c r="H12" s="201">
        <v>5</v>
      </c>
      <c r="I12" s="201" t="s">
        <v>22</v>
      </c>
      <c r="J12" s="115">
        <v>15507</v>
      </c>
      <c r="K12" s="115">
        <v>1155</v>
      </c>
      <c r="L12" s="157">
        <v>1294</v>
      </c>
      <c r="M12" s="115"/>
      <c r="N12" s="115">
        <v>89</v>
      </c>
      <c r="O12" s="115">
        <v>219</v>
      </c>
      <c r="P12" s="115">
        <v>89</v>
      </c>
      <c r="Q12" s="115">
        <v>184</v>
      </c>
      <c r="R12" s="228">
        <v>4393.6000000000004</v>
      </c>
      <c r="S12" s="230">
        <v>3026.9</v>
      </c>
      <c r="T12" s="115">
        <f t="shared" si="0"/>
        <v>78</v>
      </c>
      <c r="U12" s="203">
        <f t="shared" si="1"/>
        <v>3834.8</v>
      </c>
      <c r="V12" s="180">
        <f t="shared" si="2"/>
        <v>2680.44</v>
      </c>
      <c r="W12" s="115">
        <v>11</v>
      </c>
      <c r="X12" s="207">
        <v>558.79999999999995</v>
      </c>
      <c r="Y12" s="207">
        <v>346.46</v>
      </c>
      <c r="Z12" s="204"/>
      <c r="AA12" s="207"/>
      <c r="AB12" s="207"/>
      <c r="AC12" s="207">
        <f t="shared" si="3"/>
        <v>0</v>
      </c>
      <c r="AD12" s="248">
        <f t="shared" si="4"/>
        <v>0</v>
      </c>
      <c r="AE12" s="275"/>
      <c r="AF12" s="248"/>
      <c r="AG12" s="207"/>
      <c r="AH12" s="207"/>
      <c r="AI12" s="207">
        <f t="shared" si="5"/>
        <v>4393.6000000000004</v>
      </c>
      <c r="AJ12" s="170"/>
      <c r="AK12" s="170"/>
      <c r="AL12" s="170">
        <v>6</v>
      </c>
      <c r="AM12" s="170"/>
      <c r="AN12" s="170">
        <v>1</v>
      </c>
      <c r="AO12" s="170">
        <v>1</v>
      </c>
      <c r="AP12" s="170">
        <v>2621</v>
      </c>
      <c r="AQ12" s="170"/>
      <c r="AR12" s="170">
        <v>438</v>
      </c>
      <c r="AS12" s="170">
        <v>313</v>
      </c>
      <c r="AT12" s="170">
        <v>108</v>
      </c>
      <c r="AU12" s="170">
        <f t="shared" si="6"/>
        <v>5310</v>
      </c>
      <c r="AV12" s="170"/>
      <c r="AW12" s="170">
        <v>5310</v>
      </c>
      <c r="AX12" s="170">
        <v>2904</v>
      </c>
      <c r="AY12" s="170">
        <v>186</v>
      </c>
      <c r="AZ12" s="170">
        <v>1116</v>
      </c>
      <c r="BA12" s="170">
        <v>1116</v>
      </c>
      <c r="BB12" s="170">
        <v>24</v>
      </c>
      <c r="BC12" s="170">
        <v>12</v>
      </c>
      <c r="BD12" s="170">
        <v>223</v>
      </c>
      <c r="BE12" s="170">
        <v>89</v>
      </c>
      <c r="BF12" s="170"/>
      <c r="BG12" s="170">
        <v>600</v>
      </c>
      <c r="BH12" s="170">
        <v>120</v>
      </c>
      <c r="BI12" s="170"/>
      <c r="BJ12" s="115" t="str">
        <f t="shared" si="7"/>
        <v>0</v>
      </c>
      <c r="BK12" s="115" t="str">
        <f t="shared" si="8"/>
        <v>0</v>
      </c>
      <c r="BL12" s="115" t="str">
        <f t="shared" si="9"/>
        <v>0</v>
      </c>
      <c r="BM12" s="115">
        <f t="shared" si="10"/>
        <v>1</v>
      </c>
      <c r="BN12" s="115">
        <f t="shared" si="11"/>
        <v>4393.6000000000004</v>
      </c>
      <c r="BO12" s="115">
        <f t="shared" si="12"/>
        <v>3026.9</v>
      </c>
      <c r="BP12" s="115" t="str">
        <f t="shared" si="13"/>
        <v>0</v>
      </c>
      <c r="BQ12" s="115" t="str">
        <f t="shared" si="14"/>
        <v>0</v>
      </c>
      <c r="BR12" s="115" t="str">
        <f t="shared" si="15"/>
        <v>0</v>
      </c>
      <c r="BS12" s="115"/>
      <c r="BT12" s="115">
        <v>3</v>
      </c>
      <c r="BU12" s="115">
        <f t="shared" si="30"/>
        <v>1116</v>
      </c>
      <c r="BV12" s="115">
        <v>3422</v>
      </c>
      <c r="BW12" s="115"/>
      <c r="BX12" s="115"/>
      <c r="BY12" s="275">
        <v>1535.4</v>
      </c>
      <c r="BZ12" s="254">
        <v>408.5</v>
      </c>
      <c r="CA12" s="205">
        <v>2753</v>
      </c>
      <c r="CB12" s="282">
        <f t="shared" si="16"/>
        <v>1598</v>
      </c>
      <c r="CC12" s="209" t="str">
        <f t="shared" si="17"/>
        <v>0</v>
      </c>
      <c r="CD12" s="235">
        <f t="shared" si="18"/>
        <v>0</v>
      </c>
      <c r="CE12" s="209">
        <f t="shared" si="19"/>
        <v>1</v>
      </c>
      <c r="CF12" s="235">
        <f t="shared" si="20"/>
        <v>5310</v>
      </c>
      <c r="CG12" s="235">
        <f t="shared" si="21"/>
        <v>1</v>
      </c>
      <c r="CH12" s="235">
        <f t="shared" si="22"/>
        <v>5310</v>
      </c>
      <c r="CI12" s="156">
        <v>52</v>
      </c>
      <c r="CJ12" s="284" t="str">
        <f t="shared" si="23"/>
        <v>0</v>
      </c>
      <c r="CK12" s="284" t="str">
        <f t="shared" si="24"/>
        <v>0</v>
      </c>
      <c r="CL12" s="243">
        <f t="shared" si="25"/>
        <v>12.718499635833938</v>
      </c>
      <c r="CM12" s="216" t="str">
        <f t="shared" si="26"/>
        <v>0</v>
      </c>
      <c r="CN12" s="216" t="str">
        <f t="shared" si="27"/>
        <v>0</v>
      </c>
      <c r="CO12" s="243">
        <f t="shared" si="28"/>
        <v>12.718499635833938</v>
      </c>
      <c r="CP12" s="306">
        <v>1</v>
      </c>
      <c r="CQ12" s="306">
        <v>0</v>
      </c>
      <c r="CR12" s="306">
        <v>0</v>
      </c>
      <c r="CS12" s="306">
        <v>0</v>
      </c>
      <c r="CT12" s="306">
        <v>2</v>
      </c>
      <c r="CU12" s="306">
        <v>0</v>
      </c>
      <c r="CV12" s="306">
        <v>0</v>
      </c>
      <c r="CW12" s="306">
        <v>0</v>
      </c>
      <c r="CX12" s="306">
        <v>0</v>
      </c>
      <c r="CY12" s="306">
        <v>89</v>
      </c>
      <c r="CZ12" s="306">
        <f t="shared" si="29"/>
        <v>81</v>
      </c>
      <c r="DA12" s="306">
        <v>8</v>
      </c>
      <c r="DB12" s="306">
        <v>51</v>
      </c>
      <c r="DC12" s="306">
        <v>33</v>
      </c>
      <c r="DD12" s="306">
        <v>56</v>
      </c>
      <c r="DE12" s="306">
        <v>33</v>
      </c>
      <c r="DF12" s="306">
        <v>39</v>
      </c>
      <c r="DG12" s="306">
        <v>50</v>
      </c>
      <c r="DH12" s="306">
        <v>39</v>
      </c>
      <c r="DI12" s="306">
        <v>2</v>
      </c>
      <c r="DJ12" s="306">
        <v>2</v>
      </c>
      <c r="DK12" s="306">
        <v>5</v>
      </c>
      <c r="DL12" s="306">
        <v>2</v>
      </c>
      <c r="DM12" s="306">
        <v>2</v>
      </c>
      <c r="DN12" s="306">
        <v>5</v>
      </c>
      <c r="DO12" s="306">
        <v>2</v>
      </c>
      <c r="DP12" s="306">
        <v>89</v>
      </c>
      <c r="DQ12" s="306">
        <v>89</v>
      </c>
    </row>
    <row r="13" spans="1:121" x14ac:dyDescent="0.2">
      <c r="A13" s="326" t="s">
        <v>203</v>
      </c>
      <c r="B13" s="169">
        <v>7</v>
      </c>
      <c r="C13" s="12" t="s">
        <v>206</v>
      </c>
      <c r="D13" s="200">
        <v>1947</v>
      </c>
      <c r="E13" s="11"/>
      <c r="F13" s="169" t="s">
        <v>207</v>
      </c>
      <c r="G13" s="35">
        <v>1</v>
      </c>
      <c r="H13" s="201">
        <v>5</v>
      </c>
      <c r="I13" s="201" t="s">
        <v>19</v>
      </c>
      <c r="J13" s="115">
        <v>20244</v>
      </c>
      <c r="K13" s="115">
        <v>2505</v>
      </c>
      <c r="L13" s="157">
        <f>2173.44+554.09</f>
        <v>2727.53</v>
      </c>
      <c r="M13" s="115"/>
      <c r="N13" s="115">
        <v>80</v>
      </c>
      <c r="O13" s="115">
        <v>229</v>
      </c>
      <c r="P13" s="115">
        <v>82</v>
      </c>
      <c r="Q13" s="115">
        <v>140</v>
      </c>
      <c r="R13" s="228">
        <v>7381.15</v>
      </c>
      <c r="S13" s="230">
        <v>4424.7</v>
      </c>
      <c r="T13" s="115">
        <f t="shared" si="0"/>
        <v>59</v>
      </c>
      <c r="U13" s="203">
        <f t="shared" si="1"/>
        <v>5300.95</v>
      </c>
      <c r="V13" s="180">
        <f t="shared" si="2"/>
        <v>3134.97</v>
      </c>
      <c r="W13" s="115">
        <v>21</v>
      </c>
      <c r="X13" s="207">
        <v>2080.1999999999998</v>
      </c>
      <c r="Y13" s="207">
        <v>1289.73</v>
      </c>
      <c r="Z13" s="204"/>
      <c r="AA13" s="207"/>
      <c r="AB13" s="207"/>
      <c r="AC13" s="207">
        <f t="shared" si="3"/>
        <v>787</v>
      </c>
      <c r="AD13" s="248">
        <f t="shared" si="4"/>
        <v>423.6</v>
      </c>
      <c r="AE13" s="275"/>
      <c r="AF13" s="248">
        <v>423.6</v>
      </c>
      <c r="AG13" s="207">
        <v>363.4</v>
      </c>
      <c r="AH13" s="207"/>
      <c r="AI13" s="207">
        <f t="shared" si="5"/>
        <v>8168.15</v>
      </c>
      <c r="AJ13" s="170"/>
      <c r="AK13" s="170"/>
      <c r="AL13" s="170">
        <v>4</v>
      </c>
      <c r="AM13" s="170"/>
      <c r="AN13" s="170"/>
      <c r="AO13" s="170">
        <v>3</v>
      </c>
      <c r="AP13" s="170">
        <v>6223.76</v>
      </c>
      <c r="AQ13" s="170"/>
      <c r="AR13" s="170">
        <v>592</v>
      </c>
      <c r="AS13" s="170">
        <f>152.5+97.84</f>
        <v>250.34</v>
      </c>
      <c r="AT13" s="170">
        <v>95</v>
      </c>
      <c r="AU13" s="170">
        <f t="shared" si="6"/>
        <v>5757</v>
      </c>
      <c r="AV13" s="170"/>
      <c r="AW13" s="170">
        <v>5757</v>
      </c>
      <c r="AX13" s="170"/>
      <c r="AY13" s="170">
        <f>115+32</f>
        <v>147</v>
      </c>
      <c r="AZ13" s="170">
        <v>2304</v>
      </c>
      <c r="BA13" s="170">
        <v>2304</v>
      </c>
      <c r="BB13" s="170">
        <v>15</v>
      </c>
      <c r="BC13" s="170">
        <v>8</v>
      </c>
      <c r="BD13" s="170">
        <f>245+82</f>
        <v>327</v>
      </c>
      <c r="BE13" s="170">
        <v>678</v>
      </c>
      <c r="BF13" s="170">
        <v>1</v>
      </c>
      <c r="BG13" s="170">
        <f>4013+5496</f>
        <v>9509</v>
      </c>
      <c r="BH13" s="170">
        <f>114+3583</f>
        <v>3697</v>
      </c>
      <c r="BI13" s="170"/>
      <c r="BJ13" s="115">
        <f t="shared" si="7"/>
        <v>1</v>
      </c>
      <c r="BK13" s="115">
        <f t="shared" si="8"/>
        <v>7381.15</v>
      </c>
      <c r="BL13" s="115">
        <f t="shared" si="9"/>
        <v>4424.7</v>
      </c>
      <c r="BM13" s="115" t="str">
        <f t="shared" si="10"/>
        <v>0</v>
      </c>
      <c r="BN13" s="115" t="str">
        <f t="shared" si="11"/>
        <v>0</v>
      </c>
      <c r="BO13" s="115" t="str">
        <f t="shared" si="12"/>
        <v>0</v>
      </c>
      <c r="BP13" s="115" t="str">
        <f t="shared" si="13"/>
        <v>0</v>
      </c>
      <c r="BQ13" s="115" t="str">
        <f t="shared" si="14"/>
        <v>0</v>
      </c>
      <c r="BR13" s="115" t="str">
        <f t="shared" si="15"/>
        <v>0</v>
      </c>
      <c r="BS13" s="115"/>
      <c r="BT13" s="115">
        <f>2+1</f>
        <v>3</v>
      </c>
      <c r="BU13" s="115">
        <f t="shared" si="30"/>
        <v>2304</v>
      </c>
      <c r="BV13" s="115">
        <v>3147</v>
      </c>
      <c r="BW13" s="115"/>
      <c r="BX13" s="115">
        <f t="shared" ref="BX13:BX20" si="31">AP13</f>
        <v>6223.76</v>
      </c>
      <c r="BY13" s="275">
        <v>2923.2000000000003</v>
      </c>
      <c r="BZ13" s="253">
        <v>615.4</v>
      </c>
      <c r="CA13" s="205">
        <v>4014</v>
      </c>
      <c r="CB13" s="282">
        <f t="shared" si="16"/>
        <v>1509</v>
      </c>
      <c r="CC13" s="209" t="str">
        <f t="shared" si="17"/>
        <v>0</v>
      </c>
      <c r="CD13" s="235">
        <f t="shared" si="18"/>
        <v>0</v>
      </c>
      <c r="CE13" s="209">
        <f t="shared" si="19"/>
        <v>1</v>
      </c>
      <c r="CF13" s="235">
        <f t="shared" si="20"/>
        <v>5757</v>
      </c>
      <c r="CG13" s="235">
        <f t="shared" si="21"/>
        <v>1</v>
      </c>
      <c r="CH13" s="235">
        <f t="shared" si="22"/>
        <v>5757</v>
      </c>
      <c r="CI13" s="156">
        <v>66</v>
      </c>
      <c r="CJ13" s="284" t="str">
        <f t="shared" si="23"/>
        <v>0</v>
      </c>
      <c r="CK13" s="284" t="str">
        <f t="shared" si="24"/>
        <v>0</v>
      </c>
      <c r="CL13" s="243">
        <f t="shared" si="25"/>
        <v>28.182600272315288</v>
      </c>
      <c r="CM13" s="216" t="str">
        <f t="shared" si="26"/>
        <v>0</v>
      </c>
      <c r="CN13" s="216" t="str">
        <f t="shared" si="27"/>
        <v>0</v>
      </c>
      <c r="CO13" s="243">
        <f t="shared" si="28"/>
        <v>30.653207886730776</v>
      </c>
      <c r="CP13" s="306">
        <v>1</v>
      </c>
      <c r="CQ13" s="306">
        <v>0</v>
      </c>
      <c r="CR13" s="306">
        <v>0</v>
      </c>
      <c r="CS13" s="306">
        <v>0</v>
      </c>
      <c r="CT13" s="306">
        <v>1</v>
      </c>
      <c r="CU13" s="306">
        <v>0</v>
      </c>
      <c r="CV13" s="306">
        <v>0</v>
      </c>
      <c r="CW13" s="306">
        <v>0</v>
      </c>
      <c r="CX13" s="306">
        <v>0</v>
      </c>
      <c r="CY13" s="306">
        <v>80</v>
      </c>
      <c r="CZ13" s="306">
        <f t="shared" si="29"/>
        <v>63</v>
      </c>
      <c r="DA13" s="306">
        <v>17</v>
      </c>
      <c r="DB13" s="306">
        <v>42</v>
      </c>
      <c r="DC13" s="306">
        <v>15</v>
      </c>
      <c r="DD13" s="306">
        <v>74</v>
      </c>
      <c r="DE13" s="306">
        <v>20</v>
      </c>
      <c r="DF13" s="306">
        <v>16</v>
      </c>
      <c r="DG13" s="306">
        <v>59</v>
      </c>
      <c r="DH13" s="306">
        <v>35</v>
      </c>
      <c r="DI13" s="306">
        <v>10</v>
      </c>
      <c r="DJ13" s="306">
        <v>10</v>
      </c>
      <c r="DK13" s="306">
        <v>1</v>
      </c>
      <c r="DL13" s="306">
        <v>10</v>
      </c>
      <c r="DM13" s="306">
        <v>11</v>
      </c>
      <c r="DN13" s="306">
        <v>0</v>
      </c>
      <c r="DO13" s="306">
        <v>11</v>
      </c>
      <c r="DP13" s="306">
        <v>80</v>
      </c>
      <c r="DQ13" s="306">
        <f>80-8</f>
        <v>72</v>
      </c>
    </row>
    <row r="14" spans="1:121" x14ac:dyDescent="0.2">
      <c r="A14" s="149" t="s">
        <v>197</v>
      </c>
      <c r="B14" s="169">
        <v>8</v>
      </c>
      <c r="C14" s="12" t="s">
        <v>211</v>
      </c>
      <c r="D14" s="200">
        <v>1952</v>
      </c>
      <c r="E14" s="11"/>
      <c r="F14" s="169" t="s">
        <v>207</v>
      </c>
      <c r="G14" s="35">
        <v>1</v>
      </c>
      <c r="H14" s="201">
        <v>4</v>
      </c>
      <c r="I14" s="201" t="s">
        <v>19</v>
      </c>
      <c r="J14" s="115">
        <v>22532</v>
      </c>
      <c r="K14" s="115">
        <v>1728</v>
      </c>
      <c r="L14" s="157">
        <v>2043</v>
      </c>
      <c r="M14" s="115"/>
      <c r="N14" s="115">
        <v>77</v>
      </c>
      <c r="O14" s="115">
        <v>177</v>
      </c>
      <c r="P14" s="115">
        <v>77</v>
      </c>
      <c r="Q14" s="115">
        <v>149</v>
      </c>
      <c r="R14" s="228">
        <v>4864.8</v>
      </c>
      <c r="S14" s="230">
        <v>2830.4</v>
      </c>
      <c r="T14" s="115">
        <f t="shared" si="0"/>
        <v>69</v>
      </c>
      <c r="U14" s="203">
        <f t="shared" si="1"/>
        <v>4433.6000000000004</v>
      </c>
      <c r="V14" s="180">
        <f t="shared" si="2"/>
        <v>2563.06</v>
      </c>
      <c r="W14" s="115">
        <v>8</v>
      </c>
      <c r="X14" s="207">
        <v>431.2</v>
      </c>
      <c r="Y14" s="207">
        <v>267.33999999999997</v>
      </c>
      <c r="Z14" s="204"/>
      <c r="AA14" s="207"/>
      <c r="AB14" s="207"/>
      <c r="AC14" s="207">
        <f t="shared" si="3"/>
        <v>0</v>
      </c>
      <c r="AD14" s="248">
        <f t="shared" si="4"/>
        <v>0</v>
      </c>
      <c r="AE14" s="275"/>
      <c r="AF14" s="248"/>
      <c r="AG14" s="207"/>
      <c r="AH14" s="207"/>
      <c r="AI14" s="207">
        <f t="shared" si="5"/>
        <v>4864.8</v>
      </c>
      <c r="AJ14" s="170"/>
      <c r="AK14" s="170"/>
      <c r="AL14" s="170">
        <v>4</v>
      </c>
      <c r="AM14" s="170"/>
      <c r="AN14" s="170"/>
      <c r="AO14" s="170">
        <v>1</v>
      </c>
      <c r="AP14" s="170">
        <v>3209</v>
      </c>
      <c r="AQ14" s="170"/>
      <c r="AR14" s="170">
        <v>585</v>
      </c>
      <c r="AS14" s="170">
        <v>474</v>
      </c>
      <c r="AT14" s="170">
        <v>60</v>
      </c>
      <c r="AU14" s="170">
        <f t="shared" si="6"/>
        <v>3592</v>
      </c>
      <c r="AV14" s="170"/>
      <c r="AW14" s="170">
        <v>3592</v>
      </c>
      <c r="AX14" s="170">
        <v>0</v>
      </c>
      <c r="AY14" s="170">
        <v>131</v>
      </c>
      <c r="AZ14" s="170">
        <v>1696</v>
      </c>
      <c r="BA14" s="170">
        <v>1696</v>
      </c>
      <c r="BB14" s="170">
        <v>12</v>
      </c>
      <c r="BC14" s="170">
        <v>8</v>
      </c>
      <c r="BD14" s="170">
        <v>280</v>
      </c>
      <c r="BE14" s="170">
        <v>400</v>
      </c>
      <c r="BF14" s="170">
        <v>1</v>
      </c>
      <c r="BG14" s="170">
        <v>2616</v>
      </c>
      <c r="BH14" s="170">
        <v>76</v>
      </c>
      <c r="BI14" s="170">
        <v>0</v>
      </c>
      <c r="BJ14" s="115">
        <f t="shared" si="7"/>
        <v>1</v>
      </c>
      <c r="BK14" s="115">
        <f t="shared" si="8"/>
        <v>4864.8</v>
      </c>
      <c r="BL14" s="115">
        <f t="shared" si="9"/>
        <v>2830.4</v>
      </c>
      <c r="BM14" s="115" t="str">
        <f t="shared" si="10"/>
        <v>0</v>
      </c>
      <c r="BN14" s="115" t="str">
        <f t="shared" si="11"/>
        <v>0</v>
      </c>
      <c r="BO14" s="115" t="str">
        <f t="shared" si="12"/>
        <v>0</v>
      </c>
      <c r="BP14" s="115" t="str">
        <f t="shared" si="13"/>
        <v>0</v>
      </c>
      <c r="BQ14" s="115" t="str">
        <f t="shared" si="14"/>
        <v>0</v>
      </c>
      <c r="BR14" s="115" t="str">
        <f t="shared" si="15"/>
        <v>0</v>
      </c>
      <c r="BS14" s="115"/>
      <c r="BT14" s="115">
        <v>2</v>
      </c>
      <c r="BU14" s="115">
        <f t="shared" si="30"/>
        <v>1696</v>
      </c>
      <c r="BV14" s="115">
        <v>2818</v>
      </c>
      <c r="BW14" s="115"/>
      <c r="BX14" s="115">
        <f t="shared" si="31"/>
        <v>3209</v>
      </c>
      <c r="BY14" s="275">
        <v>2094.6</v>
      </c>
      <c r="BZ14" s="253">
        <v>360.4</v>
      </c>
      <c r="CA14" s="205">
        <v>3451</v>
      </c>
      <c r="CB14" s="282">
        <f t="shared" si="16"/>
        <v>1723</v>
      </c>
      <c r="CC14" s="209" t="str">
        <f t="shared" si="17"/>
        <v>0</v>
      </c>
      <c r="CD14" s="235">
        <f t="shared" si="18"/>
        <v>0</v>
      </c>
      <c r="CE14" s="209">
        <f t="shared" si="19"/>
        <v>1</v>
      </c>
      <c r="CF14" s="235">
        <f t="shared" si="20"/>
        <v>3592</v>
      </c>
      <c r="CG14" s="235">
        <f t="shared" si="21"/>
        <v>1</v>
      </c>
      <c r="CH14" s="235">
        <f t="shared" si="22"/>
        <v>3592</v>
      </c>
      <c r="CI14" s="156">
        <v>30</v>
      </c>
      <c r="CJ14" s="284" t="str">
        <f t="shared" si="23"/>
        <v>0</v>
      </c>
      <c r="CK14" s="284" t="str">
        <f t="shared" si="24"/>
        <v>0</v>
      </c>
      <c r="CL14" s="243">
        <f t="shared" si="25"/>
        <v>8.8636737378720607</v>
      </c>
      <c r="CM14" s="216" t="str">
        <f t="shared" si="26"/>
        <v>0</v>
      </c>
      <c r="CN14" s="216" t="str">
        <f t="shared" si="27"/>
        <v>0</v>
      </c>
      <c r="CO14" s="243">
        <f t="shared" si="28"/>
        <v>8.8636737378720607</v>
      </c>
      <c r="CP14" s="306">
        <v>1</v>
      </c>
      <c r="CQ14" s="306">
        <v>0</v>
      </c>
      <c r="CR14" s="306">
        <v>0</v>
      </c>
      <c r="CS14" s="306">
        <v>0</v>
      </c>
      <c r="CT14" s="306">
        <v>1</v>
      </c>
      <c r="CU14" s="306">
        <v>0</v>
      </c>
      <c r="CV14" s="306">
        <v>0</v>
      </c>
      <c r="CW14" s="306">
        <v>0</v>
      </c>
      <c r="CX14" s="306">
        <v>0</v>
      </c>
      <c r="CY14" s="306">
        <v>77</v>
      </c>
      <c r="CZ14" s="306">
        <f t="shared" si="29"/>
        <v>72</v>
      </c>
      <c r="DA14" s="306">
        <v>5</v>
      </c>
      <c r="DB14" s="306">
        <v>47</v>
      </c>
      <c r="DC14" s="306">
        <v>29</v>
      </c>
      <c r="DD14" s="306">
        <v>47</v>
      </c>
      <c r="DE14" s="306">
        <v>39</v>
      </c>
      <c r="DF14" s="306">
        <v>31</v>
      </c>
      <c r="DG14" s="306">
        <v>45</v>
      </c>
      <c r="DH14" s="306">
        <v>41</v>
      </c>
      <c r="DI14" s="306">
        <v>0</v>
      </c>
      <c r="DJ14" s="306">
        <v>1</v>
      </c>
      <c r="DK14" s="306">
        <v>6</v>
      </c>
      <c r="DL14" s="306">
        <v>1</v>
      </c>
      <c r="DM14" s="306">
        <v>1</v>
      </c>
      <c r="DN14" s="306">
        <v>6</v>
      </c>
      <c r="DO14" s="306">
        <v>1</v>
      </c>
      <c r="DP14" s="306">
        <v>77</v>
      </c>
      <c r="DQ14" s="306">
        <f>77</f>
        <v>77</v>
      </c>
    </row>
    <row r="15" spans="1:121" x14ac:dyDescent="0.2">
      <c r="A15" s="326" t="s">
        <v>203</v>
      </c>
      <c r="B15" s="169">
        <v>9</v>
      </c>
      <c r="C15" s="12" t="s">
        <v>212</v>
      </c>
      <c r="D15" s="200">
        <v>1951</v>
      </c>
      <c r="E15" s="11"/>
      <c r="F15" s="169" t="s">
        <v>207</v>
      </c>
      <c r="G15" s="35">
        <v>1</v>
      </c>
      <c r="H15" s="201">
        <v>4</v>
      </c>
      <c r="I15" s="201" t="s">
        <v>19</v>
      </c>
      <c r="J15" s="115">
        <v>17334</v>
      </c>
      <c r="K15" s="115">
        <v>1054</v>
      </c>
      <c r="L15" s="157">
        <v>1291</v>
      </c>
      <c r="M15" s="115"/>
      <c r="N15" s="115">
        <v>36</v>
      </c>
      <c r="O15" s="115">
        <v>83</v>
      </c>
      <c r="P15" s="115">
        <v>36</v>
      </c>
      <c r="Q15" s="115">
        <v>65</v>
      </c>
      <c r="R15" s="228">
        <v>2167</v>
      </c>
      <c r="S15" s="230">
        <v>1374.8</v>
      </c>
      <c r="T15" s="115">
        <f t="shared" si="0"/>
        <v>34</v>
      </c>
      <c r="U15" s="203">
        <f t="shared" si="1"/>
        <v>2058.7999999999997</v>
      </c>
      <c r="V15" s="180">
        <f t="shared" si="2"/>
        <v>1340.76</v>
      </c>
      <c r="W15" s="115">
        <v>1</v>
      </c>
      <c r="X15" s="207">
        <v>54.9</v>
      </c>
      <c r="Y15" s="207">
        <v>34.04</v>
      </c>
      <c r="Z15" s="115">
        <v>1</v>
      </c>
      <c r="AA15" s="207">
        <v>53.3</v>
      </c>
      <c r="AB15" s="207"/>
      <c r="AC15" s="207">
        <f t="shared" si="3"/>
        <v>1443.8</v>
      </c>
      <c r="AD15" s="248">
        <f t="shared" si="4"/>
        <v>170.8</v>
      </c>
      <c r="AE15" s="275"/>
      <c r="AF15" s="248">
        <v>170.8</v>
      </c>
      <c r="AG15" s="207">
        <v>1273</v>
      </c>
      <c r="AH15" s="207"/>
      <c r="AI15" s="207">
        <f t="shared" si="5"/>
        <v>3610.8</v>
      </c>
      <c r="AJ15" s="170"/>
      <c r="AK15" s="170"/>
      <c r="AL15" s="170">
        <v>3</v>
      </c>
      <c r="AM15" s="170"/>
      <c r="AN15" s="170"/>
      <c r="AO15" s="170">
        <v>1</v>
      </c>
      <c r="AP15" s="170">
        <v>1852</v>
      </c>
      <c r="AQ15" s="170"/>
      <c r="AR15" s="170">
        <v>325</v>
      </c>
      <c r="AS15" s="170">
        <v>478</v>
      </c>
      <c r="AT15" s="170">
        <v>45</v>
      </c>
      <c r="AU15" s="170">
        <f t="shared" si="6"/>
        <v>3069</v>
      </c>
      <c r="AV15" s="170"/>
      <c r="AW15" s="170">
        <v>3069</v>
      </c>
      <c r="AX15" s="170"/>
      <c r="AY15" s="170">
        <v>77</v>
      </c>
      <c r="AZ15" s="170">
        <v>990</v>
      </c>
      <c r="BA15" s="170">
        <v>990</v>
      </c>
      <c r="BB15" s="170">
        <v>9</v>
      </c>
      <c r="BC15" s="170">
        <v>6</v>
      </c>
      <c r="BD15" s="170">
        <v>117</v>
      </c>
      <c r="BE15" s="170">
        <v>225</v>
      </c>
      <c r="BF15" s="170"/>
      <c r="BG15" s="170">
        <v>4517</v>
      </c>
      <c r="BH15" s="170">
        <v>114</v>
      </c>
      <c r="BI15" s="170"/>
      <c r="BJ15" s="115">
        <f t="shared" si="7"/>
        <v>1</v>
      </c>
      <c r="BK15" s="115">
        <f t="shared" si="8"/>
        <v>2167</v>
      </c>
      <c r="BL15" s="115">
        <f t="shared" si="9"/>
        <v>1374.8</v>
      </c>
      <c r="BM15" s="115" t="str">
        <f t="shared" si="10"/>
        <v>0</v>
      </c>
      <c r="BN15" s="115" t="str">
        <f t="shared" si="11"/>
        <v>0</v>
      </c>
      <c r="BO15" s="115" t="str">
        <f t="shared" si="12"/>
        <v>0</v>
      </c>
      <c r="BP15" s="115" t="str">
        <f t="shared" si="13"/>
        <v>0</v>
      </c>
      <c r="BQ15" s="115" t="str">
        <f t="shared" si="14"/>
        <v>0</v>
      </c>
      <c r="BR15" s="115" t="str">
        <f t="shared" si="15"/>
        <v>0</v>
      </c>
      <c r="BS15" s="115"/>
      <c r="BT15" s="115">
        <v>2</v>
      </c>
      <c r="BU15" s="115">
        <f t="shared" si="30"/>
        <v>990</v>
      </c>
      <c r="BV15" s="115">
        <v>2026</v>
      </c>
      <c r="BW15" s="115"/>
      <c r="BX15" s="115">
        <f t="shared" si="31"/>
        <v>1852</v>
      </c>
      <c r="BY15" s="275">
        <v>1367</v>
      </c>
      <c r="BZ15" s="253">
        <v>338.4</v>
      </c>
      <c r="CA15" s="205">
        <v>2327</v>
      </c>
      <c r="CB15" s="282">
        <f t="shared" si="16"/>
        <v>1273</v>
      </c>
      <c r="CC15" s="209" t="str">
        <f t="shared" si="17"/>
        <v>0</v>
      </c>
      <c r="CD15" s="235">
        <f t="shared" si="18"/>
        <v>0</v>
      </c>
      <c r="CE15" s="209">
        <f t="shared" si="19"/>
        <v>1</v>
      </c>
      <c r="CF15" s="235">
        <f t="shared" si="20"/>
        <v>3069</v>
      </c>
      <c r="CG15" s="235">
        <f t="shared" si="21"/>
        <v>1</v>
      </c>
      <c r="CH15" s="235">
        <f t="shared" si="22"/>
        <v>3069</v>
      </c>
      <c r="CI15" s="156">
        <v>31</v>
      </c>
      <c r="CJ15" s="284" t="str">
        <f t="shared" si="23"/>
        <v>0</v>
      </c>
      <c r="CK15" s="284" t="str">
        <f t="shared" si="24"/>
        <v>0</v>
      </c>
      <c r="CL15" s="243">
        <f t="shared" si="25"/>
        <v>2.5334563913244117</v>
      </c>
      <c r="CM15" s="216" t="str">
        <f t="shared" si="26"/>
        <v>0</v>
      </c>
      <c r="CN15" s="216" t="str">
        <f t="shared" si="27"/>
        <v>0</v>
      </c>
      <c r="CO15" s="243">
        <f t="shared" si="28"/>
        <v>6.2506923673424168</v>
      </c>
      <c r="CP15" s="306">
        <v>1</v>
      </c>
      <c r="CQ15" s="306">
        <v>0</v>
      </c>
      <c r="CR15" s="306">
        <v>0</v>
      </c>
      <c r="CS15" s="306">
        <v>0</v>
      </c>
      <c r="CT15" s="306">
        <v>1</v>
      </c>
      <c r="CU15" s="306">
        <v>0</v>
      </c>
      <c r="CV15" s="306">
        <v>0</v>
      </c>
      <c r="CW15" s="306">
        <v>0</v>
      </c>
      <c r="CX15" s="306">
        <v>0</v>
      </c>
      <c r="CY15" s="306">
        <v>36</v>
      </c>
      <c r="CZ15" s="306">
        <f t="shared" si="29"/>
        <v>35</v>
      </c>
      <c r="DA15" s="306">
        <v>1</v>
      </c>
      <c r="DB15" s="306">
        <v>24</v>
      </c>
      <c r="DC15" s="306">
        <v>10</v>
      </c>
      <c r="DD15" s="306">
        <v>26</v>
      </c>
      <c r="DE15" s="306">
        <v>20</v>
      </c>
      <c r="DF15" s="306">
        <v>11</v>
      </c>
      <c r="DG15" s="306">
        <v>24</v>
      </c>
      <c r="DH15" s="306">
        <v>23</v>
      </c>
      <c r="DI15" s="306">
        <v>1</v>
      </c>
      <c r="DJ15" s="306">
        <v>0</v>
      </c>
      <c r="DK15" s="306">
        <v>3</v>
      </c>
      <c r="DL15" s="306">
        <v>0</v>
      </c>
      <c r="DM15" s="306">
        <v>0</v>
      </c>
      <c r="DN15" s="306">
        <v>3</v>
      </c>
      <c r="DO15" s="306">
        <v>0</v>
      </c>
      <c r="DP15" s="306">
        <v>36</v>
      </c>
      <c r="DQ15" s="306">
        <f>36-4</f>
        <v>32</v>
      </c>
    </row>
    <row r="16" spans="1:121" x14ac:dyDescent="0.2">
      <c r="A16" s="149" t="s">
        <v>197</v>
      </c>
      <c r="B16" s="169">
        <v>10</v>
      </c>
      <c r="C16" s="12" t="s">
        <v>213</v>
      </c>
      <c r="D16" s="200">
        <v>1953</v>
      </c>
      <c r="E16" s="11"/>
      <c r="F16" s="169" t="s">
        <v>207</v>
      </c>
      <c r="G16" s="35">
        <v>1</v>
      </c>
      <c r="H16" s="201">
        <v>5</v>
      </c>
      <c r="I16" s="201" t="s">
        <v>19</v>
      </c>
      <c r="J16" s="115">
        <v>39925</v>
      </c>
      <c r="K16" s="115">
        <v>2070</v>
      </c>
      <c r="L16" s="157">
        <v>2579</v>
      </c>
      <c r="M16" s="115"/>
      <c r="N16" s="115">
        <v>84</v>
      </c>
      <c r="O16" s="115">
        <v>236</v>
      </c>
      <c r="P16" s="115">
        <v>87</v>
      </c>
      <c r="Q16" s="115">
        <v>159</v>
      </c>
      <c r="R16" s="228">
        <f>6178.59+1.71-0.05+0.06</f>
        <v>6180.31</v>
      </c>
      <c r="S16" s="230">
        <v>4019.43</v>
      </c>
      <c r="T16" s="115">
        <f t="shared" si="0"/>
        <v>71</v>
      </c>
      <c r="U16" s="203">
        <f t="shared" si="1"/>
        <v>5353.1100000000006</v>
      </c>
      <c r="V16" s="180">
        <f t="shared" si="2"/>
        <v>3506.5699999999997</v>
      </c>
      <c r="W16" s="115">
        <v>13</v>
      </c>
      <c r="X16" s="207">
        <v>827.2</v>
      </c>
      <c r="Y16" s="207">
        <v>512.86</v>
      </c>
      <c r="Z16" s="204"/>
      <c r="AA16" s="207"/>
      <c r="AB16" s="207"/>
      <c r="AC16" s="207">
        <f t="shared" si="3"/>
        <v>2429.3000000000002</v>
      </c>
      <c r="AD16" s="248">
        <f t="shared" si="4"/>
        <v>898.2</v>
      </c>
      <c r="AE16" s="275"/>
      <c r="AF16" s="248">
        <f>898.5+15.6+9.1+10.3+6.6+3+48-92.9</f>
        <v>898.2</v>
      </c>
      <c r="AG16" s="207">
        <f>1438.2+92.9</f>
        <v>1531.1000000000001</v>
      </c>
      <c r="AH16" s="207"/>
      <c r="AI16" s="207">
        <f t="shared" si="5"/>
        <v>8609.61</v>
      </c>
      <c r="AJ16" s="170"/>
      <c r="AK16" s="170"/>
      <c r="AL16" s="170">
        <v>5</v>
      </c>
      <c r="AM16" s="170"/>
      <c r="AN16" s="170"/>
      <c r="AO16" s="170">
        <v>1</v>
      </c>
      <c r="AP16" s="170">
        <v>5387</v>
      </c>
      <c r="AQ16" s="170"/>
      <c r="AR16" s="170">
        <v>380</v>
      </c>
      <c r="AS16" s="170">
        <v>598</v>
      </c>
      <c r="AT16" s="170">
        <v>75</v>
      </c>
      <c r="AU16" s="170">
        <f t="shared" si="6"/>
        <v>4215</v>
      </c>
      <c r="AV16" s="170"/>
      <c r="AW16" s="170">
        <v>4215</v>
      </c>
      <c r="AX16" s="170"/>
      <c r="AY16" s="170">
        <v>132</v>
      </c>
      <c r="AZ16" s="170">
        <v>2025</v>
      </c>
      <c r="BA16" s="170">
        <v>2025</v>
      </c>
      <c r="BB16" s="170">
        <v>22</v>
      </c>
      <c r="BC16" s="170">
        <v>10</v>
      </c>
      <c r="BD16" s="170">
        <v>334</v>
      </c>
      <c r="BE16" s="170">
        <v>595</v>
      </c>
      <c r="BF16" s="170">
        <v>1</v>
      </c>
      <c r="BG16" s="170">
        <v>4868</v>
      </c>
      <c r="BH16" s="170">
        <v>190</v>
      </c>
      <c r="BI16" s="170"/>
      <c r="BJ16" s="115">
        <f t="shared" si="7"/>
        <v>1</v>
      </c>
      <c r="BK16" s="115">
        <f t="shared" si="8"/>
        <v>6180.31</v>
      </c>
      <c r="BL16" s="115">
        <f t="shared" si="9"/>
        <v>4019.43</v>
      </c>
      <c r="BM16" s="115" t="str">
        <f t="shared" si="10"/>
        <v>0</v>
      </c>
      <c r="BN16" s="115" t="str">
        <f t="shared" si="11"/>
        <v>0</v>
      </c>
      <c r="BO16" s="115" t="str">
        <f t="shared" si="12"/>
        <v>0</v>
      </c>
      <c r="BP16" s="115" t="str">
        <f t="shared" si="13"/>
        <v>0</v>
      </c>
      <c r="BQ16" s="115" t="str">
        <f t="shared" si="14"/>
        <v>0</v>
      </c>
      <c r="BR16" s="115" t="str">
        <f t="shared" si="15"/>
        <v>0</v>
      </c>
      <c r="BS16" s="115"/>
      <c r="BT16" s="115">
        <v>3</v>
      </c>
      <c r="BU16" s="115">
        <f t="shared" si="30"/>
        <v>2025</v>
      </c>
      <c r="BV16" s="115">
        <v>3252</v>
      </c>
      <c r="BW16" s="115"/>
      <c r="BX16" s="115">
        <f t="shared" si="31"/>
        <v>5387</v>
      </c>
      <c r="BY16" s="275">
        <v>2722.31</v>
      </c>
      <c r="BZ16" s="253">
        <v>657.13</v>
      </c>
      <c r="CA16" s="205">
        <v>4896</v>
      </c>
      <c r="CB16" s="282">
        <f t="shared" si="16"/>
        <v>2826</v>
      </c>
      <c r="CC16" s="209" t="str">
        <f t="shared" si="17"/>
        <v>0</v>
      </c>
      <c r="CD16" s="235">
        <f t="shared" si="18"/>
        <v>0</v>
      </c>
      <c r="CE16" s="209">
        <f t="shared" si="19"/>
        <v>1</v>
      </c>
      <c r="CF16" s="235">
        <f t="shared" si="20"/>
        <v>4215</v>
      </c>
      <c r="CG16" s="235">
        <f t="shared" si="21"/>
        <v>1</v>
      </c>
      <c r="CH16" s="235">
        <f t="shared" si="22"/>
        <v>4215</v>
      </c>
      <c r="CI16" s="156">
        <v>51</v>
      </c>
      <c r="CJ16" s="284" t="str">
        <f t="shared" si="23"/>
        <v>0</v>
      </c>
      <c r="CK16" s="284" t="str">
        <f t="shared" si="24"/>
        <v>0</v>
      </c>
      <c r="CL16" s="243">
        <f t="shared" si="25"/>
        <v>13.384441880747083</v>
      </c>
      <c r="CM16" s="216" t="str">
        <f t="shared" si="26"/>
        <v>0</v>
      </c>
      <c r="CN16" s="216" t="str">
        <f t="shared" si="27"/>
        <v>0</v>
      </c>
      <c r="CO16" s="243">
        <f t="shared" si="28"/>
        <v>20.040396719479745</v>
      </c>
      <c r="CP16" s="306">
        <v>1</v>
      </c>
      <c r="CQ16" s="306">
        <v>0</v>
      </c>
      <c r="CR16" s="306">
        <v>0</v>
      </c>
      <c r="CS16" s="306">
        <v>0</v>
      </c>
      <c r="CT16" s="306">
        <v>2</v>
      </c>
      <c r="CU16" s="306">
        <v>0</v>
      </c>
      <c r="CV16" s="306">
        <v>0</v>
      </c>
      <c r="CW16" s="306">
        <v>0</v>
      </c>
      <c r="CX16" s="306">
        <v>0</v>
      </c>
      <c r="CY16" s="306">
        <v>87</v>
      </c>
      <c r="CZ16" s="306">
        <f t="shared" si="29"/>
        <v>81</v>
      </c>
      <c r="DA16" s="306">
        <v>6</v>
      </c>
      <c r="DB16" s="306">
        <v>57</v>
      </c>
      <c r="DC16" s="306">
        <v>27</v>
      </c>
      <c r="DD16" s="306">
        <v>60</v>
      </c>
      <c r="DE16" s="306">
        <v>29</v>
      </c>
      <c r="DF16" s="306">
        <v>30</v>
      </c>
      <c r="DG16" s="306">
        <v>59</v>
      </c>
      <c r="DH16" s="306">
        <v>38</v>
      </c>
      <c r="DI16" s="306">
        <v>2</v>
      </c>
      <c r="DJ16" s="306">
        <v>1</v>
      </c>
      <c r="DK16" s="306">
        <v>4</v>
      </c>
      <c r="DL16" s="306">
        <v>2</v>
      </c>
      <c r="DM16" s="306">
        <v>1</v>
      </c>
      <c r="DN16" s="306">
        <v>4</v>
      </c>
      <c r="DO16" s="306">
        <v>2</v>
      </c>
      <c r="DP16" s="306">
        <v>87</v>
      </c>
      <c r="DQ16" s="306">
        <f>87-6</f>
        <v>81</v>
      </c>
    </row>
    <row r="17" spans="1:121" x14ac:dyDescent="0.2">
      <c r="A17" s="326" t="s">
        <v>203</v>
      </c>
      <c r="B17" s="169">
        <v>11</v>
      </c>
      <c r="C17" s="12" t="s">
        <v>214</v>
      </c>
      <c r="D17" s="200">
        <v>1953</v>
      </c>
      <c r="E17" s="11"/>
      <c r="F17" s="169" t="s">
        <v>207</v>
      </c>
      <c r="G17" s="35">
        <v>1</v>
      </c>
      <c r="H17" s="201">
        <v>5</v>
      </c>
      <c r="I17" s="201" t="s">
        <v>19</v>
      </c>
      <c r="J17" s="115">
        <v>39997</v>
      </c>
      <c r="K17" s="115">
        <v>2041</v>
      </c>
      <c r="L17" s="157">
        <v>2491</v>
      </c>
      <c r="M17" s="115"/>
      <c r="N17" s="115">
        <v>89</v>
      </c>
      <c r="O17" s="115">
        <v>250</v>
      </c>
      <c r="P17" s="115">
        <v>90</v>
      </c>
      <c r="Q17" s="115">
        <v>158</v>
      </c>
      <c r="R17" s="228">
        <f>6662.12-0.05+0.06-0.02-0.08-0.1+0.12-0.07-0.07</f>
        <v>6661.91</v>
      </c>
      <c r="S17" s="230">
        <v>4180.8599999999997</v>
      </c>
      <c r="T17" s="115">
        <f t="shared" si="0"/>
        <v>68</v>
      </c>
      <c r="U17" s="203">
        <f t="shared" si="1"/>
        <v>5053.6000000000004</v>
      </c>
      <c r="V17" s="180">
        <f t="shared" si="2"/>
        <v>3183.7099999999996</v>
      </c>
      <c r="W17" s="115">
        <v>21</v>
      </c>
      <c r="X17" s="207">
        <v>1608.31</v>
      </c>
      <c r="Y17" s="207">
        <v>997.15</v>
      </c>
      <c r="Z17" s="204"/>
      <c r="AA17" s="207"/>
      <c r="AB17" s="207"/>
      <c r="AC17" s="207">
        <f t="shared" si="3"/>
        <v>2237.66</v>
      </c>
      <c r="AD17" s="248">
        <f t="shared" si="4"/>
        <v>2237.66</v>
      </c>
      <c r="AE17" s="275"/>
      <c r="AF17" s="275">
        <v>2237.66</v>
      </c>
      <c r="AG17" s="207"/>
      <c r="AH17" s="207"/>
      <c r="AI17" s="207">
        <f t="shared" si="5"/>
        <v>8899.57</v>
      </c>
      <c r="AJ17" s="170"/>
      <c r="AK17" s="170"/>
      <c r="AL17" s="170">
        <v>5</v>
      </c>
      <c r="AM17" s="170"/>
      <c r="AN17" s="170"/>
      <c r="AO17" s="170">
        <v>1</v>
      </c>
      <c r="AP17" s="170">
        <v>4932</v>
      </c>
      <c r="AQ17" s="170"/>
      <c r="AR17" s="170">
        <v>460</v>
      </c>
      <c r="AS17" s="170">
        <v>598</v>
      </c>
      <c r="AT17" s="170">
        <v>75</v>
      </c>
      <c r="AU17" s="170">
        <f t="shared" si="6"/>
        <v>4215</v>
      </c>
      <c r="AV17" s="170"/>
      <c r="AW17" s="170">
        <v>4215</v>
      </c>
      <c r="AX17" s="170"/>
      <c r="AY17" s="170">
        <v>82</v>
      </c>
      <c r="AZ17" s="170">
        <v>2035</v>
      </c>
      <c r="BA17" s="170">
        <v>2035</v>
      </c>
      <c r="BB17" s="170">
        <v>22</v>
      </c>
      <c r="BC17" s="170">
        <v>10</v>
      </c>
      <c r="BD17" s="170">
        <v>340</v>
      </c>
      <c r="BE17" s="170">
        <v>607</v>
      </c>
      <c r="BF17" s="170"/>
      <c r="BG17" s="170">
        <v>4868</v>
      </c>
      <c r="BH17" s="170">
        <v>190</v>
      </c>
      <c r="BI17" s="170"/>
      <c r="BJ17" s="115">
        <f t="shared" si="7"/>
        <v>1</v>
      </c>
      <c r="BK17" s="115">
        <f t="shared" si="8"/>
        <v>6661.91</v>
      </c>
      <c r="BL17" s="115">
        <f t="shared" si="9"/>
        <v>4180.8599999999997</v>
      </c>
      <c r="BM17" s="115" t="str">
        <f t="shared" si="10"/>
        <v>0</v>
      </c>
      <c r="BN17" s="115" t="str">
        <f t="shared" si="11"/>
        <v>0</v>
      </c>
      <c r="BO17" s="115" t="str">
        <f t="shared" si="12"/>
        <v>0</v>
      </c>
      <c r="BP17" s="115" t="str">
        <f t="shared" si="13"/>
        <v>0</v>
      </c>
      <c r="BQ17" s="115" t="str">
        <f t="shared" si="14"/>
        <v>0</v>
      </c>
      <c r="BR17" s="115" t="str">
        <f t="shared" si="15"/>
        <v>0</v>
      </c>
      <c r="BS17" s="115"/>
      <c r="BT17" s="115">
        <v>3</v>
      </c>
      <c r="BU17" s="115">
        <f t="shared" si="30"/>
        <v>2035</v>
      </c>
      <c r="BV17" s="115">
        <v>3478</v>
      </c>
      <c r="BW17" s="115"/>
      <c r="BX17" s="115">
        <f t="shared" si="31"/>
        <v>4932</v>
      </c>
      <c r="BY17" s="275">
        <v>2733.57</v>
      </c>
      <c r="BZ17" s="253">
        <v>657.43</v>
      </c>
      <c r="CA17" s="205">
        <v>4812</v>
      </c>
      <c r="CB17" s="282">
        <f t="shared" si="16"/>
        <v>2771</v>
      </c>
      <c r="CC17" s="209" t="str">
        <f t="shared" si="17"/>
        <v>0</v>
      </c>
      <c r="CD17" s="235">
        <f t="shared" si="18"/>
        <v>0</v>
      </c>
      <c r="CE17" s="209">
        <f t="shared" si="19"/>
        <v>1</v>
      </c>
      <c r="CF17" s="235">
        <f t="shared" si="20"/>
        <v>4215</v>
      </c>
      <c r="CG17" s="235">
        <f t="shared" si="21"/>
        <v>1</v>
      </c>
      <c r="CH17" s="235">
        <f t="shared" si="22"/>
        <v>4215</v>
      </c>
      <c r="CI17" s="156">
        <v>65</v>
      </c>
      <c r="CJ17" s="284" t="str">
        <f t="shared" si="23"/>
        <v>0</v>
      </c>
      <c r="CK17" s="284" t="str">
        <f t="shared" si="24"/>
        <v>0</v>
      </c>
      <c r="CL17" s="243">
        <f t="shared" si="25"/>
        <v>24.141875227975159</v>
      </c>
      <c r="CM17" s="216" t="str">
        <f t="shared" si="26"/>
        <v>0</v>
      </c>
      <c r="CN17" s="216" t="str">
        <f t="shared" si="27"/>
        <v>0</v>
      </c>
      <c r="CO17" s="243">
        <f t="shared" si="28"/>
        <v>43.215233994451417</v>
      </c>
      <c r="CP17" s="306">
        <v>1</v>
      </c>
      <c r="CQ17" s="306">
        <v>0</v>
      </c>
      <c r="CR17" s="306">
        <v>0</v>
      </c>
      <c r="CS17" s="306">
        <v>0</v>
      </c>
      <c r="CT17" s="306">
        <v>2</v>
      </c>
      <c r="CU17" s="306">
        <v>0</v>
      </c>
      <c r="CV17" s="306">
        <v>0</v>
      </c>
      <c r="CW17" s="306">
        <v>0</v>
      </c>
      <c r="CX17" s="306">
        <v>0</v>
      </c>
      <c r="CY17" s="306">
        <v>89</v>
      </c>
      <c r="CZ17" s="306">
        <f t="shared" si="29"/>
        <v>81</v>
      </c>
      <c r="DA17" s="306">
        <v>8</v>
      </c>
      <c r="DB17" s="306">
        <v>49</v>
      </c>
      <c r="DC17" s="306">
        <v>15</v>
      </c>
      <c r="DD17" s="306">
        <v>76</v>
      </c>
      <c r="DE17" s="306">
        <v>16</v>
      </c>
      <c r="DF17" s="306">
        <v>19</v>
      </c>
      <c r="DG17" s="306">
        <v>72</v>
      </c>
      <c r="DH17" s="306">
        <v>24</v>
      </c>
      <c r="DI17" s="306">
        <v>6</v>
      </c>
      <c r="DJ17" s="306">
        <v>4</v>
      </c>
      <c r="DK17" s="306">
        <v>4</v>
      </c>
      <c r="DL17" s="306">
        <v>4</v>
      </c>
      <c r="DM17" s="306">
        <v>4</v>
      </c>
      <c r="DN17" s="306">
        <v>3</v>
      </c>
      <c r="DO17" s="306">
        <v>5</v>
      </c>
      <c r="DP17" s="306">
        <v>89</v>
      </c>
      <c r="DQ17" s="306">
        <f>89-7</f>
        <v>82</v>
      </c>
    </row>
    <row r="18" spans="1:121" x14ac:dyDescent="0.2">
      <c r="A18" s="149" t="s">
        <v>197</v>
      </c>
      <c r="B18" s="169">
        <v>12</v>
      </c>
      <c r="C18" s="12" t="s">
        <v>215</v>
      </c>
      <c r="D18" s="200">
        <v>1953</v>
      </c>
      <c r="E18" s="11"/>
      <c r="F18" s="169" t="s">
        <v>207</v>
      </c>
      <c r="G18" s="35">
        <v>1</v>
      </c>
      <c r="H18" s="201">
        <v>5</v>
      </c>
      <c r="I18" s="201" t="s">
        <v>19</v>
      </c>
      <c r="J18" s="115">
        <v>35611</v>
      </c>
      <c r="K18" s="115">
        <v>2028</v>
      </c>
      <c r="L18" s="157">
        <v>2460</v>
      </c>
      <c r="M18" s="115"/>
      <c r="N18" s="115">
        <f>94-1</f>
        <v>93</v>
      </c>
      <c r="O18" s="115">
        <v>260</v>
      </c>
      <c r="P18" s="115">
        <v>94</v>
      </c>
      <c r="Q18" s="115">
        <v>213</v>
      </c>
      <c r="R18" s="228">
        <f>6954.64-62.2-0.01+0.6-7.7</f>
        <v>6885.3300000000008</v>
      </c>
      <c r="S18" s="230">
        <f>4354.69-45</f>
        <v>4309.6899999999996</v>
      </c>
      <c r="T18" s="115">
        <f t="shared" si="0"/>
        <v>81</v>
      </c>
      <c r="U18" s="203">
        <f t="shared" si="1"/>
        <v>5942.8300000000008</v>
      </c>
      <c r="V18" s="180">
        <f t="shared" si="2"/>
        <v>3725.3399999999997</v>
      </c>
      <c r="W18" s="115">
        <v>12</v>
      </c>
      <c r="X18" s="207">
        <v>942.5</v>
      </c>
      <c r="Y18" s="207">
        <v>584.35</v>
      </c>
      <c r="Z18" s="204"/>
      <c r="AA18" s="207"/>
      <c r="AB18" s="207"/>
      <c r="AC18" s="207">
        <f t="shared" si="3"/>
        <v>700.5</v>
      </c>
      <c r="AD18" s="248">
        <f t="shared" si="4"/>
        <v>135.9</v>
      </c>
      <c r="AE18" s="275"/>
      <c r="AF18" s="248">
        <f>165-29.1</f>
        <v>135.9</v>
      </c>
      <c r="AG18" s="207">
        <f>503.7+60.9</f>
        <v>564.6</v>
      </c>
      <c r="AH18" s="207"/>
      <c r="AI18" s="207">
        <f t="shared" si="5"/>
        <v>7585.8300000000008</v>
      </c>
      <c r="AJ18" s="170"/>
      <c r="AK18" s="170"/>
      <c r="AL18" s="170">
        <v>5</v>
      </c>
      <c r="AM18" s="170"/>
      <c r="AN18" s="170"/>
      <c r="AO18" s="170">
        <v>1</v>
      </c>
      <c r="AP18" s="170">
        <v>5072</v>
      </c>
      <c r="AQ18" s="170"/>
      <c r="AR18" s="170">
        <v>370</v>
      </c>
      <c r="AS18" s="170">
        <v>606</v>
      </c>
      <c r="AT18" s="170">
        <v>75</v>
      </c>
      <c r="AU18" s="170">
        <f t="shared" si="6"/>
        <v>4215</v>
      </c>
      <c r="AV18" s="170"/>
      <c r="AW18" s="170">
        <v>4215</v>
      </c>
      <c r="AX18" s="170"/>
      <c r="AY18" s="170">
        <v>149</v>
      </c>
      <c r="AZ18" s="170">
        <v>2008</v>
      </c>
      <c r="BA18" s="170">
        <v>2008</v>
      </c>
      <c r="BB18" s="170">
        <v>22</v>
      </c>
      <c r="BC18" s="170">
        <v>10</v>
      </c>
      <c r="BD18" s="170">
        <v>340</v>
      </c>
      <c r="BE18" s="170">
        <v>607</v>
      </c>
      <c r="BF18" s="170"/>
      <c r="BG18" s="170">
        <v>4868</v>
      </c>
      <c r="BH18" s="170">
        <v>190</v>
      </c>
      <c r="BI18" s="170"/>
      <c r="BJ18" s="115">
        <f t="shared" si="7"/>
        <v>1</v>
      </c>
      <c r="BK18" s="115">
        <f t="shared" si="8"/>
        <v>6885.3300000000008</v>
      </c>
      <c r="BL18" s="115">
        <f t="shared" si="9"/>
        <v>4309.6899999999996</v>
      </c>
      <c r="BM18" s="115" t="str">
        <f t="shared" si="10"/>
        <v>0</v>
      </c>
      <c r="BN18" s="115" t="str">
        <f t="shared" si="11"/>
        <v>0</v>
      </c>
      <c r="BO18" s="115" t="str">
        <f t="shared" si="12"/>
        <v>0</v>
      </c>
      <c r="BP18" s="115" t="str">
        <f t="shared" si="13"/>
        <v>0</v>
      </c>
      <c r="BQ18" s="115" t="str">
        <f t="shared" si="14"/>
        <v>0</v>
      </c>
      <c r="BR18" s="115" t="str">
        <f t="shared" si="15"/>
        <v>0</v>
      </c>
      <c r="BS18" s="115"/>
      <c r="BT18" s="115">
        <v>2</v>
      </c>
      <c r="BU18" s="115">
        <f t="shared" si="30"/>
        <v>2008</v>
      </c>
      <c r="BV18" s="115">
        <v>3341</v>
      </c>
      <c r="BW18" s="115"/>
      <c r="BX18" s="115">
        <f t="shared" si="31"/>
        <v>5072</v>
      </c>
      <c r="BY18" s="275">
        <v>2684.3</v>
      </c>
      <c r="BZ18" s="253">
        <v>623.5</v>
      </c>
      <c r="CA18" s="205">
        <v>4715</v>
      </c>
      <c r="CB18" s="282">
        <f t="shared" si="16"/>
        <v>2687</v>
      </c>
      <c r="CC18" s="209" t="str">
        <f t="shared" si="17"/>
        <v>0</v>
      </c>
      <c r="CD18" s="235">
        <f t="shared" si="18"/>
        <v>0</v>
      </c>
      <c r="CE18" s="209">
        <f t="shared" si="19"/>
        <v>1</v>
      </c>
      <c r="CF18" s="235">
        <f t="shared" si="20"/>
        <v>4215</v>
      </c>
      <c r="CG18" s="235">
        <f t="shared" si="21"/>
        <v>1</v>
      </c>
      <c r="CH18" s="235">
        <f t="shared" si="22"/>
        <v>4215</v>
      </c>
      <c r="CI18" s="156">
        <v>34</v>
      </c>
      <c r="CJ18" s="284" t="str">
        <f t="shared" si="23"/>
        <v>0</v>
      </c>
      <c r="CK18" s="284" t="str">
        <f t="shared" si="24"/>
        <v>0</v>
      </c>
      <c r="CL18" s="243">
        <f t="shared" si="25"/>
        <v>13.688523280656117</v>
      </c>
      <c r="CM18" s="216" t="str">
        <f t="shared" si="26"/>
        <v>0</v>
      </c>
      <c r="CN18" s="216" t="str">
        <f t="shared" si="27"/>
        <v>0</v>
      </c>
      <c r="CO18" s="243">
        <f t="shared" si="28"/>
        <v>14.215979002956827</v>
      </c>
      <c r="CP18" s="306">
        <v>1</v>
      </c>
      <c r="CQ18" s="306">
        <v>0</v>
      </c>
      <c r="CR18" s="306">
        <v>0</v>
      </c>
      <c r="CS18" s="306">
        <v>0</v>
      </c>
      <c r="CT18" s="306">
        <v>2</v>
      </c>
      <c r="CU18" s="306">
        <v>0</v>
      </c>
      <c r="CV18" s="306">
        <v>0</v>
      </c>
      <c r="CW18" s="306">
        <v>0</v>
      </c>
      <c r="CX18" s="306">
        <v>0</v>
      </c>
      <c r="CY18" s="306">
        <v>95</v>
      </c>
      <c r="CZ18" s="306">
        <f t="shared" si="29"/>
        <v>91</v>
      </c>
      <c r="DA18" s="306">
        <v>4</v>
      </c>
      <c r="DB18" s="306">
        <v>50</v>
      </c>
      <c r="DC18" s="306">
        <v>24</v>
      </c>
      <c r="DD18" s="306">
        <v>75</v>
      </c>
      <c r="DE18" s="306">
        <v>24</v>
      </c>
      <c r="DF18" s="306">
        <v>26</v>
      </c>
      <c r="DG18" s="306">
        <v>72</v>
      </c>
      <c r="DH18" s="306">
        <v>31</v>
      </c>
      <c r="DI18" s="306">
        <v>0</v>
      </c>
      <c r="DJ18" s="306">
        <v>0</v>
      </c>
      <c r="DK18" s="306">
        <v>6</v>
      </c>
      <c r="DL18" s="306">
        <v>0</v>
      </c>
      <c r="DM18" s="306">
        <v>0</v>
      </c>
      <c r="DN18" s="306">
        <v>6</v>
      </c>
      <c r="DO18" s="306">
        <v>0</v>
      </c>
      <c r="DP18" s="306">
        <v>95</v>
      </c>
      <c r="DQ18" s="306">
        <f>95-3</f>
        <v>92</v>
      </c>
    </row>
    <row r="19" spans="1:121" x14ac:dyDescent="0.2">
      <c r="A19" s="326" t="s">
        <v>203</v>
      </c>
      <c r="B19" s="169">
        <v>13</v>
      </c>
      <c r="C19" s="12" t="s">
        <v>208</v>
      </c>
      <c r="D19" s="200">
        <v>1948</v>
      </c>
      <c r="E19" s="11"/>
      <c r="F19" s="169" t="s">
        <v>207</v>
      </c>
      <c r="G19" s="35">
        <v>1</v>
      </c>
      <c r="H19" s="201">
        <v>5</v>
      </c>
      <c r="I19" s="201" t="s">
        <v>19</v>
      </c>
      <c r="J19" s="115">
        <v>34759</v>
      </c>
      <c r="K19" s="115">
        <v>1895</v>
      </c>
      <c r="L19" s="157">
        <v>2269</v>
      </c>
      <c r="M19" s="115"/>
      <c r="N19" s="115">
        <f>84+1+1+1</f>
        <v>87</v>
      </c>
      <c r="O19" s="115">
        <f>194</f>
        <v>194</v>
      </c>
      <c r="P19" s="115">
        <v>87</v>
      </c>
      <c r="Q19" s="115">
        <v>128</v>
      </c>
      <c r="R19" s="228">
        <f>5895.8+75.5+98.2+57</f>
        <v>6126.5</v>
      </c>
      <c r="S19" s="230">
        <f>3615.9+49.8+72</f>
        <v>3737.7000000000003</v>
      </c>
      <c r="T19" s="115">
        <f t="shared" si="0"/>
        <v>69</v>
      </c>
      <c r="U19" s="203">
        <f t="shared" si="1"/>
        <v>4882.7</v>
      </c>
      <c r="V19" s="180">
        <f t="shared" si="2"/>
        <v>2966.5400000000004</v>
      </c>
      <c r="W19" s="115">
        <v>18</v>
      </c>
      <c r="X19" s="207">
        <v>1243.8</v>
      </c>
      <c r="Y19" s="207">
        <v>771.16</v>
      </c>
      <c r="Z19" s="204"/>
      <c r="AA19" s="207"/>
      <c r="AB19" s="207"/>
      <c r="AC19" s="207">
        <f t="shared" si="3"/>
        <v>1391.8999999999999</v>
      </c>
      <c r="AD19" s="248">
        <f t="shared" si="4"/>
        <v>1391.8999999999999</v>
      </c>
      <c r="AE19" s="275"/>
      <c r="AF19" s="275">
        <f>1362.1+29.8</f>
        <v>1391.8999999999999</v>
      </c>
      <c r="AG19" s="207">
        <f>173.7-75.5-98.2</f>
        <v>0</v>
      </c>
      <c r="AH19" s="207"/>
      <c r="AI19" s="207">
        <f t="shared" si="5"/>
        <v>7518.4</v>
      </c>
      <c r="AJ19" s="170"/>
      <c r="AK19" s="170">
        <v>0</v>
      </c>
      <c r="AL19" s="170">
        <v>5</v>
      </c>
      <c r="AM19" s="170"/>
      <c r="AN19" s="170"/>
      <c r="AO19" s="170">
        <v>1</v>
      </c>
      <c r="AP19" s="170">
        <v>5228</v>
      </c>
      <c r="AQ19" s="170">
        <v>296.375</v>
      </c>
      <c r="AR19" s="170">
        <v>333</v>
      </c>
      <c r="AS19" s="170">
        <v>498</v>
      </c>
      <c r="AT19" s="170">
        <v>75</v>
      </c>
      <c r="AU19" s="170">
        <f t="shared" si="6"/>
        <v>4250</v>
      </c>
      <c r="AV19" s="170"/>
      <c r="AW19" s="170">
        <v>4250</v>
      </c>
      <c r="AX19" s="170">
        <v>0</v>
      </c>
      <c r="AY19" s="170">
        <v>166</v>
      </c>
      <c r="AZ19" s="170">
        <v>2231</v>
      </c>
      <c r="BA19" s="170">
        <v>2231</v>
      </c>
      <c r="BB19" s="170">
        <v>20</v>
      </c>
      <c r="BC19" s="170">
        <v>10</v>
      </c>
      <c r="BD19" s="170">
        <v>290</v>
      </c>
      <c r="BE19" s="170">
        <v>150</v>
      </c>
      <c r="BF19" s="170">
        <v>1</v>
      </c>
      <c r="BG19" s="170">
        <v>4868</v>
      </c>
      <c r="BH19" s="170">
        <v>190</v>
      </c>
      <c r="BI19" s="170">
        <v>0</v>
      </c>
      <c r="BJ19" s="115">
        <f t="shared" si="7"/>
        <v>1</v>
      </c>
      <c r="BK19" s="115">
        <f t="shared" si="8"/>
        <v>6126.5</v>
      </c>
      <c r="BL19" s="115">
        <f t="shared" si="9"/>
        <v>3737.7000000000003</v>
      </c>
      <c r="BM19" s="115" t="str">
        <f t="shared" si="10"/>
        <v>0</v>
      </c>
      <c r="BN19" s="115" t="str">
        <f t="shared" si="11"/>
        <v>0</v>
      </c>
      <c r="BO19" s="115" t="str">
        <f t="shared" si="12"/>
        <v>0</v>
      </c>
      <c r="BP19" s="115" t="str">
        <f t="shared" si="13"/>
        <v>0</v>
      </c>
      <c r="BQ19" s="115" t="str">
        <f t="shared" si="14"/>
        <v>0</v>
      </c>
      <c r="BR19" s="115" t="str">
        <f t="shared" si="15"/>
        <v>0</v>
      </c>
      <c r="BS19" s="209"/>
      <c r="BT19" s="209">
        <v>3</v>
      </c>
      <c r="BU19" s="115">
        <f t="shared" si="30"/>
        <v>2231</v>
      </c>
      <c r="BV19" s="209">
        <v>2811</v>
      </c>
      <c r="BW19" s="115"/>
      <c r="BX19" s="115">
        <f t="shared" si="31"/>
        <v>5228</v>
      </c>
      <c r="BY19" s="275">
        <v>2654.7</v>
      </c>
      <c r="BZ19" s="253">
        <v>758.9</v>
      </c>
      <c r="CA19" s="205">
        <v>3440</v>
      </c>
      <c r="CB19" s="282">
        <f t="shared" si="16"/>
        <v>1545</v>
      </c>
      <c r="CC19" s="209" t="str">
        <f t="shared" si="17"/>
        <v>0</v>
      </c>
      <c r="CD19" s="235">
        <f t="shared" si="18"/>
        <v>0</v>
      </c>
      <c r="CE19" s="209">
        <f t="shared" si="19"/>
        <v>1</v>
      </c>
      <c r="CF19" s="235">
        <f t="shared" si="20"/>
        <v>4250</v>
      </c>
      <c r="CG19" s="235">
        <f t="shared" si="21"/>
        <v>1</v>
      </c>
      <c r="CH19" s="235">
        <f t="shared" si="22"/>
        <v>4250</v>
      </c>
      <c r="CI19" s="156">
        <v>48</v>
      </c>
      <c r="CJ19" s="284" t="str">
        <f t="shared" si="23"/>
        <v>0</v>
      </c>
      <c r="CK19" s="284" t="str">
        <f t="shared" si="24"/>
        <v>0</v>
      </c>
      <c r="CL19" s="243">
        <f t="shared" si="25"/>
        <v>20.301966865257487</v>
      </c>
      <c r="CM19" s="216" t="str">
        <f t="shared" si="26"/>
        <v>0</v>
      </c>
      <c r="CN19" s="216" t="str">
        <f t="shared" si="27"/>
        <v>0</v>
      </c>
      <c r="CO19" s="243">
        <f t="shared" si="28"/>
        <v>35.056660991700362</v>
      </c>
      <c r="CP19" s="306">
        <v>1</v>
      </c>
      <c r="CQ19" s="306">
        <v>0</v>
      </c>
      <c r="CR19" s="306">
        <v>0</v>
      </c>
      <c r="CS19" s="306">
        <v>0</v>
      </c>
      <c r="CT19" s="306">
        <v>1</v>
      </c>
      <c r="CU19" s="306">
        <v>0</v>
      </c>
      <c r="CV19" s="306">
        <v>0</v>
      </c>
      <c r="CW19" s="306">
        <v>0</v>
      </c>
      <c r="CX19" s="306">
        <v>0</v>
      </c>
      <c r="CY19" s="306">
        <v>86</v>
      </c>
      <c r="CZ19" s="306">
        <f t="shared" si="29"/>
        <v>76</v>
      </c>
      <c r="DA19" s="306">
        <v>10</v>
      </c>
      <c r="DB19" s="306">
        <v>52</v>
      </c>
      <c r="DC19" s="306">
        <v>25</v>
      </c>
      <c r="DD19" s="306">
        <v>59</v>
      </c>
      <c r="DE19" s="306">
        <v>38</v>
      </c>
      <c r="DF19" s="306">
        <v>27</v>
      </c>
      <c r="DG19" s="306">
        <v>55</v>
      </c>
      <c r="DH19" s="306">
        <v>44</v>
      </c>
      <c r="DI19" s="306">
        <v>2</v>
      </c>
      <c r="DJ19" s="306">
        <v>2</v>
      </c>
      <c r="DK19" s="306">
        <v>7</v>
      </c>
      <c r="DL19" s="306">
        <v>4</v>
      </c>
      <c r="DM19" s="306">
        <v>2</v>
      </c>
      <c r="DN19" s="306">
        <v>6</v>
      </c>
      <c r="DO19" s="306">
        <v>5</v>
      </c>
      <c r="DP19" s="306">
        <v>86</v>
      </c>
      <c r="DQ19" s="306">
        <f>86-3</f>
        <v>83</v>
      </c>
    </row>
    <row r="20" spans="1:121" x14ac:dyDescent="0.2">
      <c r="A20" s="326" t="s">
        <v>203</v>
      </c>
      <c r="B20" s="169">
        <v>14</v>
      </c>
      <c r="C20" s="12" t="s">
        <v>216</v>
      </c>
      <c r="D20" s="200">
        <v>1954</v>
      </c>
      <c r="E20" s="11"/>
      <c r="F20" s="169" t="s">
        <v>207</v>
      </c>
      <c r="G20" s="35">
        <v>1</v>
      </c>
      <c r="H20" s="201">
        <v>5</v>
      </c>
      <c r="I20" s="201" t="s">
        <v>19</v>
      </c>
      <c r="J20" s="115">
        <v>33241</v>
      </c>
      <c r="K20" s="115">
        <v>2026</v>
      </c>
      <c r="L20" s="157">
        <v>2472</v>
      </c>
      <c r="M20" s="115"/>
      <c r="N20" s="115">
        <v>95</v>
      </c>
      <c r="O20" s="115">
        <v>268</v>
      </c>
      <c r="P20" s="115">
        <v>95</v>
      </c>
      <c r="Q20" s="115">
        <v>189</v>
      </c>
      <c r="R20" s="228">
        <v>6913.02</v>
      </c>
      <c r="S20" s="230">
        <v>4375.87</v>
      </c>
      <c r="T20" s="115">
        <f t="shared" si="0"/>
        <v>76</v>
      </c>
      <c r="U20" s="203">
        <f t="shared" si="1"/>
        <v>5385.92</v>
      </c>
      <c r="V20" s="180">
        <f t="shared" si="2"/>
        <v>3429.0699999999997</v>
      </c>
      <c r="W20" s="115">
        <v>19</v>
      </c>
      <c r="X20" s="207">
        <v>1527.1</v>
      </c>
      <c r="Y20" s="207">
        <v>946.8</v>
      </c>
      <c r="Z20" s="204"/>
      <c r="AA20" s="207"/>
      <c r="AB20" s="207"/>
      <c r="AC20" s="207">
        <f t="shared" si="3"/>
        <v>298.2</v>
      </c>
      <c r="AD20" s="248">
        <f t="shared" si="4"/>
        <v>0</v>
      </c>
      <c r="AE20" s="275"/>
      <c r="AF20" s="275"/>
      <c r="AG20" s="207">
        <v>298.2</v>
      </c>
      <c r="AH20" s="207"/>
      <c r="AI20" s="207">
        <f t="shared" si="5"/>
        <v>7211.22</v>
      </c>
      <c r="AJ20" s="170">
        <v>20</v>
      </c>
      <c r="AK20" s="170"/>
      <c r="AL20" s="170">
        <v>5</v>
      </c>
      <c r="AM20" s="170"/>
      <c r="AN20" s="170"/>
      <c r="AO20" s="170">
        <v>1</v>
      </c>
      <c r="AP20" s="170">
        <v>4917</v>
      </c>
      <c r="AQ20" s="170"/>
      <c r="AR20" s="170">
        <v>380</v>
      </c>
      <c r="AS20" s="170">
        <v>606</v>
      </c>
      <c r="AT20" s="170">
        <v>75</v>
      </c>
      <c r="AU20" s="170">
        <f t="shared" si="6"/>
        <v>4215</v>
      </c>
      <c r="AV20" s="170"/>
      <c r="AW20" s="170">
        <v>4215</v>
      </c>
      <c r="AX20" s="170"/>
      <c r="AY20" s="170">
        <v>149</v>
      </c>
      <c r="AZ20" s="170">
        <v>2018</v>
      </c>
      <c r="BA20" s="170">
        <v>2018</v>
      </c>
      <c r="BB20" s="170">
        <v>22</v>
      </c>
      <c r="BC20" s="170">
        <v>10</v>
      </c>
      <c r="BD20" s="170">
        <v>340</v>
      </c>
      <c r="BE20" s="170">
        <v>607</v>
      </c>
      <c r="BF20" s="170"/>
      <c r="BG20" s="170">
        <v>4868</v>
      </c>
      <c r="BH20" s="170">
        <v>190</v>
      </c>
      <c r="BI20" s="170"/>
      <c r="BJ20" s="115">
        <f t="shared" si="7"/>
        <v>1</v>
      </c>
      <c r="BK20" s="115">
        <f t="shared" si="8"/>
        <v>6913.02</v>
      </c>
      <c r="BL20" s="115">
        <f t="shared" si="9"/>
        <v>4375.87</v>
      </c>
      <c r="BM20" s="115" t="str">
        <f t="shared" si="10"/>
        <v>0</v>
      </c>
      <c r="BN20" s="115" t="str">
        <f t="shared" si="11"/>
        <v>0</v>
      </c>
      <c r="BO20" s="115" t="str">
        <f t="shared" si="12"/>
        <v>0</v>
      </c>
      <c r="BP20" s="115" t="str">
        <f t="shared" si="13"/>
        <v>0</v>
      </c>
      <c r="BQ20" s="115" t="str">
        <f t="shared" si="14"/>
        <v>0</v>
      </c>
      <c r="BR20" s="115" t="str">
        <f t="shared" si="15"/>
        <v>0</v>
      </c>
      <c r="BS20" s="115"/>
      <c r="BT20" s="115">
        <v>1</v>
      </c>
      <c r="BU20" s="115">
        <f t="shared" si="30"/>
        <v>2018</v>
      </c>
      <c r="BV20" s="115">
        <v>3277</v>
      </c>
      <c r="BW20" s="115">
        <v>5</v>
      </c>
      <c r="BX20" s="115">
        <f t="shared" si="31"/>
        <v>4917</v>
      </c>
      <c r="BY20" s="275">
        <v>2612</v>
      </c>
      <c r="BZ20" s="253">
        <v>593.70000000000005</v>
      </c>
      <c r="CA20" s="205">
        <v>4185</v>
      </c>
      <c r="CB20" s="282">
        <f t="shared" si="16"/>
        <v>2159</v>
      </c>
      <c r="CC20" s="209" t="str">
        <f t="shared" si="17"/>
        <v>0</v>
      </c>
      <c r="CD20" s="235">
        <f t="shared" si="18"/>
        <v>0</v>
      </c>
      <c r="CE20" s="209">
        <f t="shared" si="19"/>
        <v>1</v>
      </c>
      <c r="CF20" s="235">
        <f t="shared" si="20"/>
        <v>4215</v>
      </c>
      <c r="CG20" s="235">
        <f t="shared" si="21"/>
        <v>1</v>
      </c>
      <c r="CH20" s="235">
        <f t="shared" si="22"/>
        <v>4215</v>
      </c>
      <c r="CI20" s="156">
        <v>48</v>
      </c>
      <c r="CJ20" s="284" t="str">
        <f t="shared" si="23"/>
        <v>0</v>
      </c>
      <c r="CK20" s="284" t="str">
        <f t="shared" si="24"/>
        <v>0</v>
      </c>
      <c r="CL20" s="243">
        <f t="shared" si="25"/>
        <v>22.090200809487023</v>
      </c>
      <c r="CM20" s="216" t="str">
        <f t="shared" si="26"/>
        <v>0</v>
      </c>
      <c r="CN20" s="216" t="str">
        <f t="shared" si="27"/>
        <v>0</v>
      </c>
      <c r="CO20" s="243">
        <f t="shared" si="28"/>
        <v>21.176721830702707</v>
      </c>
      <c r="CP20" s="306">
        <v>1</v>
      </c>
      <c r="CQ20" s="306">
        <v>0</v>
      </c>
      <c r="CR20" s="306">
        <v>0</v>
      </c>
      <c r="CS20" s="306">
        <v>0</v>
      </c>
      <c r="CT20" s="306">
        <v>1</v>
      </c>
      <c r="CU20" s="306">
        <v>0</v>
      </c>
      <c r="CV20" s="306">
        <v>0</v>
      </c>
      <c r="CW20" s="306">
        <v>0</v>
      </c>
      <c r="CX20" s="306">
        <v>0</v>
      </c>
      <c r="CY20" s="306">
        <v>95</v>
      </c>
      <c r="CZ20" s="306">
        <f t="shared" si="29"/>
        <v>86</v>
      </c>
      <c r="DA20" s="306">
        <v>9</v>
      </c>
      <c r="DB20" s="306">
        <v>56</v>
      </c>
      <c r="DC20" s="306">
        <v>32</v>
      </c>
      <c r="DD20" s="306">
        <v>67</v>
      </c>
      <c r="DE20" s="306">
        <v>32</v>
      </c>
      <c r="DF20" s="306">
        <v>35</v>
      </c>
      <c r="DG20" s="306">
        <v>63</v>
      </c>
      <c r="DH20" s="306">
        <v>41</v>
      </c>
      <c r="DI20" s="306">
        <v>2</v>
      </c>
      <c r="DJ20" s="306">
        <v>1</v>
      </c>
      <c r="DK20" s="306">
        <v>10</v>
      </c>
      <c r="DL20" s="306">
        <v>1</v>
      </c>
      <c r="DM20" s="306">
        <v>1</v>
      </c>
      <c r="DN20" s="306">
        <v>10</v>
      </c>
      <c r="DO20" s="306">
        <v>1</v>
      </c>
      <c r="DP20" s="306">
        <v>95</v>
      </c>
      <c r="DQ20" s="306">
        <f>95-4</f>
        <v>91</v>
      </c>
    </row>
    <row r="21" spans="1:121" x14ac:dyDescent="0.2">
      <c r="A21" s="326" t="s">
        <v>203</v>
      </c>
      <c r="B21" s="169">
        <v>15</v>
      </c>
      <c r="C21" s="12" t="s">
        <v>217</v>
      </c>
      <c r="D21" s="200">
        <v>1968</v>
      </c>
      <c r="E21" s="11"/>
      <c r="F21" s="169" t="s">
        <v>20</v>
      </c>
      <c r="G21" s="35">
        <v>1</v>
      </c>
      <c r="H21" s="201">
        <v>5</v>
      </c>
      <c r="I21" s="201" t="s">
        <v>22</v>
      </c>
      <c r="J21" s="115">
        <v>8942</v>
      </c>
      <c r="K21" s="115">
        <v>666</v>
      </c>
      <c r="L21" s="157">
        <v>758</v>
      </c>
      <c r="M21" s="115"/>
      <c r="N21" s="115">
        <v>59</v>
      </c>
      <c r="O21" s="115">
        <v>113</v>
      </c>
      <c r="P21" s="115">
        <v>59</v>
      </c>
      <c r="Q21" s="115">
        <v>102</v>
      </c>
      <c r="R21" s="228">
        <f>2537.08-0.24-0.01</f>
        <v>2536.83</v>
      </c>
      <c r="S21" s="230">
        <v>1692.05</v>
      </c>
      <c r="T21" s="115">
        <f t="shared" si="0"/>
        <v>52</v>
      </c>
      <c r="U21" s="203">
        <f t="shared" si="1"/>
        <v>2211.54</v>
      </c>
      <c r="V21" s="180">
        <f t="shared" si="2"/>
        <v>1490.37</v>
      </c>
      <c r="W21" s="115">
        <v>7</v>
      </c>
      <c r="X21" s="207">
        <v>325.29000000000002</v>
      </c>
      <c r="Y21" s="207">
        <v>201.68</v>
      </c>
      <c r="Z21" s="204"/>
      <c r="AA21" s="207"/>
      <c r="AB21" s="207"/>
      <c r="AC21" s="207">
        <f t="shared" si="3"/>
        <v>0</v>
      </c>
      <c r="AD21" s="248">
        <f t="shared" si="4"/>
        <v>0</v>
      </c>
      <c r="AE21" s="275"/>
      <c r="AF21" s="275"/>
      <c r="AG21" s="207"/>
      <c r="AH21" s="207"/>
      <c r="AI21" s="207">
        <f t="shared" si="5"/>
        <v>2536.83</v>
      </c>
      <c r="AJ21" s="170"/>
      <c r="AK21" s="170"/>
      <c r="AL21" s="170">
        <v>3</v>
      </c>
      <c r="AM21" s="170"/>
      <c r="AN21" s="170"/>
      <c r="AO21" s="170">
        <v>1</v>
      </c>
      <c r="AP21" s="170">
        <v>1817</v>
      </c>
      <c r="AQ21" s="170"/>
      <c r="AR21" s="170">
        <v>308</v>
      </c>
      <c r="AS21" s="170">
        <v>461</v>
      </c>
      <c r="AT21" s="170">
        <v>54</v>
      </c>
      <c r="AU21" s="170">
        <f t="shared" si="6"/>
        <v>2655</v>
      </c>
      <c r="AV21" s="170"/>
      <c r="AW21" s="170">
        <v>2655</v>
      </c>
      <c r="AX21" s="170">
        <v>1936</v>
      </c>
      <c r="AY21" s="170">
        <v>112</v>
      </c>
      <c r="AZ21" s="170">
        <v>648</v>
      </c>
      <c r="BA21" s="170">
        <v>648</v>
      </c>
      <c r="BB21" s="170">
        <v>12</v>
      </c>
      <c r="BC21" s="170">
        <v>6</v>
      </c>
      <c r="BD21" s="170">
        <v>175</v>
      </c>
      <c r="BE21" s="170">
        <v>59</v>
      </c>
      <c r="BF21" s="170">
        <v>1</v>
      </c>
      <c r="BG21" s="170">
        <v>300</v>
      </c>
      <c r="BH21" s="170">
        <v>60</v>
      </c>
      <c r="BI21" s="170"/>
      <c r="BJ21" s="115" t="str">
        <f t="shared" si="7"/>
        <v>0</v>
      </c>
      <c r="BK21" s="115" t="str">
        <f t="shared" si="8"/>
        <v>0</v>
      </c>
      <c r="BL21" s="115" t="str">
        <f t="shared" si="9"/>
        <v>0</v>
      </c>
      <c r="BM21" s="115">
        <f t="shared" si="10"/>
        <v>1</v>
      </c>
      <c r="BN21" s="115">
        <f t="shared" si="11"/>
        <v>2536.83</v>
      </c>
      <c r="BO21" s="115">
        <f t="shared" si="12"/>
        <v>1692.05</v>
      </c>
      <c r="BP21" s="115" t="str">
        <f t="shared" si="13"/>
        <v>0</v>
      </c>
      <c r="BQ21" s="115" t="str">
        <f t="shared" si="14"/>
        <v>0</v>
      </c>
      <c r="BR21" s="115" t="str">
        <f t="shared" si="15"/>
        <v>0</v>
      </c>
      <c r="BS21" s="115"/>
      <c r="BT21" s="115">
        <v>2</v>
      </c>
      <c r="BU21" s="115">
        <f t="shared" si="30"/>
        <v>648</v>
      </c>
      <c r="BV21" s="115">
        <v>2366</v>
      </c>
      <c r="BW21" s="115"/>
      <c r="BX21" s="115"/>
      <c r="BY21" s="275">
        <v>896.24</v>
      </c>
      <c r="BZ21" s="253">
        <v>206.8</v>
      </c>
      <c r="CA21" s="205">
        <v>1588</v>
      </c>
      <c r="CB21" s="282">
        <f t="shared" si="16"/>
        <v>922</v>
      </c>
      <c r="CC21" s="209" t="str">
        <f t="shared" si="17"/>
        <v>0</v>
      </c>
      <c r="CD21" s="235">
        <f t="shared" si="18"/>
        <v>0</v>
      </c>
      <c r="CE21" s="209">
        <f t="shared" si="19"/>
        <v>1</v>
      </c>
      <c r="CF21" s="235">
        <f t="shared" si="20"/>
        <v>2655</v>
      </c>
      <c r="CG21" s="235">
        <f t="shared" si="21"/>
        <v>1</v>
      </c>
      <c r="CH21" s="235">
        <f t="shared" si="22"/>
        <v>2655</v>
      </c>
      <c r="CI21" s="156">
        <v>54</v>
      </c>
      <c r="CJ21" s="284" t="str">
        <f t="shared" si="23"/>
        <v>0</v>
      </c>
      <c r="CK21" s="284" t="str">
        <f t="shared" si="24"/>
        <v>0</v>
      </c>
      <c r="CL21" s="243">
        <f t="shared" si="25"/>
        <v>12.822696041910575</v>
      </c>
      <c r="CM21" s="216" t="str">
        <f t="shared" si="26"/>
        <v>0</v>
      </c>
      <c r="CN21" s="216" t="str">
        <f t="shared" si="27"/>
        <v>0</v>
      </c>
      <c r="CO21" s="243">
        <f t="shared" si="28"/>
        <v>12.822696041910575</v>
      </c>
      <c r="CP21" s="306">
        <v>1</v>
      </c>
      <c r="CQ21" s="306">
        <v>0</v>
      </c>
      <c r="CR21" s="306">
        <v>0</v>
      </c>
      <c r="CS21" s="306">
        <v>0</v>
      </c>
      <c r="CT21" s="306">
        <v>1</v>
      </c>
      <c r="CU21" s="306">
        <v>0</v>
      </c>
      <c r="CV21" s="306">
        <v>0</v>
      </c>
      <c r="CW21" s="306">
        <v>0</v>
      </c>
      <c r="CX21" s="306">
        <v>0</v>
      </c>
      <c r="CY21" s="306">
        <v>59</v>
      </c>
      <c r="CZ21" s="306">
        <f t="shared" si="29"/>
        <v>53</v>
      </c>
      <c r="DA21" s="306">
        <v>6</v>
      </c>
      <c r="DB21" s="306">
        <v>29</v>
      </c>
      <c r="DC21" s="306">
        <v>23</v>
      </c>
      <c r="DD21" s="306">
        <v>36</v>
      </c>
      <c r="DE21" s="306">
        <v>23</v>
      </c>
      <c r="DF21" s="306">
        <v>27</v>
      </c>
      <c r="DG21" s="306">
        <v>31</v>
      </c>
      <c r="DH21" s="306">
        <v>28</v>
      </c>
      <c r="DI21" s="306">
        <v>2</v>
      </c>
      <c r="DJ21" s="306">
        <v>3</v>
      </c>
      <c r="DK21" s="306">
        <v>7</v>
      </c>
      <c r="DL21" s="306">
        <v>3</v>
      </c>
      <c r="DM21" s="306">
        <v>3</v>
      </c>
      <c r="DN21" s="306">
        <v>7</v>
      </c>
      <c r="DO21" s="306">
        <v>3</v>
      </c>
      <c r="DP21" s="306">
        <v>59</v>
      </c>
      <c r="DQ21" s="306">
        <v>59</v>
      </c>
    </row>
    <row r="22" spans="1:121" x14ac:dyDescent="0.2">
      <c r="A22" s="326" t="s">
        <v>203</v>
      </c>
      <c r="B22" s="169">
        <v>16</v>
      </c>
      <c r="C22" s="12" t="s">
        <v>218</v>
      </c>
      <c r="D22" s="200">
        <v>1966</v>
      </c>
      <c r="E22" s="11"/>
      <c r="F22" s="169" t="s">
        <v>13</v>
      </c>
      <c r="G22" s="35">
        <v>1</v>
      </c>
      <c r="H22" s="201">
        <v>5</v>
      </c>
      <c r="I22" s="201" t="s">
        <v>19</v>
      </c>
      <c r="J22" s="115">
        <v>9977</v>
      </c>
      <c r="K22" s="115">
        <v>749</v>
      </c>
      <c r="L22" s="157">
        <v>813</v>
      </c>
      <c r="M22" s="115"/>
      <c r="N22" s="115">
        <v>49</v>
      </c>
      <c r="O22" s="115">
        <v>92</v>
      </c>
      <c r="P22" s="115">
        <v>49</v>
      </c>
      <c r="Q22" s="115">
        <v>77</v>
      </c>
      <c r="R22" s="228">
        <v>2054.16</v>
      </c>
      <c r="S22" s="230">
        <v>1460.36</v>
      </c>
      <c r="T22" s="115">
        <f t="shared" si="0"/>
        <v>47</v>
      </c>
      <c r="U22" s="203">
        <f t="shared" si="1"/>
        <v>1969.2099999999998</v>
      </c>
      <c r="V22" s="180">
        <f t="shared" si="2"/>
        <v>1400.8899999999999</v>
      </c>
      <c r="W22" s="115">
        <v>2</v>
      </c>
      <c r="X22" s="207">
        <v>84.95</v>
      </c>
      <c r="Y22" s="207">
        <v>59.47</v>
      </c>
      <c r="Z22" s="204"/>
      <c r="AA22" s="207"/>
      <c r="AB22" s="207"/>
      <c r="AC22" s="207">
        <f t="shared" si="3"/>
        <v>738.5</v>
      </c>
      <c r="AD22" s="248">
        <f t="shared" si="4"/>
        <v>0</v>
      </c>
      <c r="AE22" s="248"/>
      <c r="AF22" s="248"/>
      <c r="AG22" s="207">
        <v>738.5</v>
      </c>
      <c r="AH22" s="207"/>
      <c r="AI22" s="207">
        <f t="shared" si="5"/>
        <v>2792.66</v>
      </c>
      <c r="AJ22" s="170"/>
      <c r="AK22" s="170"/>
      <c r="AL22" s="170">
        <v>3</v>
      </c>
      <c r="AM22" s="170"/>
      <c r="AN22" s="170"/>
      <c r="AO22" s="170">
        <v>1</v>
      </c>
      <c r="AP22" s="170">
        <v>1917</v>
      </c>
      <c r="AQ22" s="170"/>
      <c r="AR22" s="170">
        <v>568</v>
      </c>
      <c r="AS22" s="170">
        <v>191</v>
      </c>
      <c r="AT22" s="170">
        <v>54</v>
      </c>
      <c r="AU22" s="170">
        <f t="shared" si="6"/>
        <v>2655</v>
      </c>
      <c r="AV22" s="170"/>
      <c r="AW22" s="170">
        <v>2655</v>
      </c>
      <c r="AX22" s="170"/>
      <c r="AY22" s="170">
        <v>112</v>
      </c>
      <c r="AZ22" s="170">
        <v>698</v>
      </c>
      <c r="BA22" s="170">
        <v>698</v>
      </c>
      <c r="BB22" s="170">
        <v>12</v>
      </c>
      <c r="BC22" s="170">
        <v>6</v>
      </c>
      <c r="BD22" s="170">
        <v>156</v>
      </c>
      <c r="BE22" s="170">
        <v>53</v>
      </c>
      <c r="BF22" s="170"/>
      <c r="BG22" s="170">
        <v>300</v>
      </c>
      <c r="BH22" s="170">
        <v>60</v>
      </c>
      <c r="BI22" s="170"/>
      <c r="BJ22" s="115">
        <f t="shared" si="7"/>
        <v>1</v>
      </c>
      <c r="BK22" s="115">
        <f t="shared" si="8"/>
        <v>2054.16</v>
      </c>
      <c r="BL22" s="115">
        <f t="shared" si="9"/>
        <v>1460.36</v>
      </c>
      <c r="BM22" s="115" t="str">
        <f t="shared" si="10"/>
        <v>0</v>
      </c>
      <c r="BN22" s="115" t="str">
        <f t="shared" si="11"/>
        <v>0</v>
      </c>
      <c r="BO22" s="115" t="str">
        <f t="shared" si="12"/>
        <v>0</v>
      </c>
      <c r="BP22" s="115" t="str">
        <f t="shared" si="13"/>
        <v>0</v>
      </c>
      <c r="BQ22" s="115" t="str">
        <f t="shared" si="14"/>
        <v>0</v>
      </c>
      <c r="BR22" s="115" t="str">
        <f t="shared" si="15"/>
        <v>0</v>
      </c>
      <c r="BS22" s="115"/>
      <c r="BT22" s="115">
        <v>2</v>
      </c>
      <c r="BU22" s="115">
        <f t="shared" si="30"/>
        <v>698</v>
      </c>
      <c r="BV22" s="115">
        <v>2411</v>
      </c>
      <c r="BW22" s="115"/>
      <c r="BX22" s="115">
        <f>AP22</f>
        <v>1917</v>
      </c>
      <c r="BY22" s="275">
        <v>891.89</v>
      </c>
      <c r="BZ22" s="253">
        <v>185.96</v>
      </c>
      <c r="CA22" s="205">
        <v>1835</v>
      </c>
      <c r="CB22" s="282">
        <f t="shared" si="16"/>
        <v>1086</v>
      </c>
      <c r="CC22" s="209" t="str">
        <f t="shared" si="17"/>
        <v>0</v>
      </c>
      <c r="CD22" s="235">
        <f t="shared" si="18"/>
        <v>0</v>
      </c>
      <c r="CE22" s="209">
        <f t="shared" si="19"/>
        <v>1</v>
      </c>
      <c r="CF22" s="235">
        <f t="shared" si="20"/>
        <v>2655</v>
      </c>
      <c r="CG22" s="235">
        <f t="shared" si="21"/>
        <v>1</v>
      </c>
      <c r="CH22" s="235">
        <f t="shared" si="22"/>
        <v>2655</v>
      </c>
      <c r="CI22" s="156">
        <v>50</v>
      </c>
      <c r="CJ22" s="284" t="str">
        <f t="shared" si="23"/>
        <v>0</v>
      </c>
      <c r="CK22" s="284" t="str">
        <f t="shared" si="24"/>
        <v>0</v>
      </c>
      <c r="CL22" s="243">
        <f t="shared" si="25"/>
        <v>4.1355103789383501</v>
      </c>
      <c r="CM22" s="216" t="str">
        <f t="shared" si="26"/>
        <v>0</v>
      </c>
      <c r="CN22" s="216" t="str">
        <f t="shared" si="27"/>
        <v>0</v>
      </c>
      <c r="CO22" s="243">
        <f t="shared" si="28"/>
        <v>3.0419027020833189</v>
      </c>
      <c r="CP22" s="306">
        <v>1</v>
      </c>
      <c r="CQ22" s="306">
        <v>0</v>
      </c>
      <c r="CR22" s="306">
        <v>0</v>
      </c>
      <c r="CS22" s="306">
        <v>0</v>
      </c>
      <c r="CT22" s="306">
        <v>1</v>
      </c>
      <c r="CU22" s="306">
        <v>0</v>
      </c>
      <c r="CV22" s="306">
        <v>0</v>
      </c>
      <c r="CW22" s="306">
        <v>0</v>
      </c>
      <c r="CX22" s="306">
        <v>0</v>
      </c>
      <c r="CY22" s="306">
        <v>52</v>
      </c>
      <c r="CZ22" s="306">
        <f t="shared" si="29"/>
        <v>48</v>
      </c>
      <c r="DA22" s="306">
        <v>4</v>
      </c>
      <c r="DB22" s="306">
        <v>30</v>
      </c>
      <c r="DC22" s="306">
        <v>15</v>
      </c>
      <c r="DD22" s="306">
        <v>34</v>
      </c>
      <c r="DE22" s="306">
        <v>15</v>
      </c>
      <c r="DF22" s="306">
        <v>18</v>
      </c>
      <c r="DG22" s="306">
        <v>31</v>
      </c>
      <c r="DH22" s="306">
        <v>18</v>
      </c>
      <c r="DI22" s="306">
        <v>2</v>
      </c>
      <c r="DJ22" s="306">
        <v>1</v>
      </c>
      <c r="DK22" s="306">
        <v>5</v>
      </c>
      <c r="DL22" s="306">
        <v>1</v>
      </c>
      <c r="DM22" s="306">
        <v>1</v>
      </c>
      <c r="DN22" s="306">
        <v>5</v>
      </c>
      <c r="DO22" s="306">
        <v>1</v>
      </c>
      <c r="DP22" s="306">
        <v>52</v>
      </c>
      <c r="DQ22" s="306">
        <v>52</v>
      </c>
    </row>
    <row r="23" spans="1:121" x14ac:dyDescent="0.2">
      <c r="A23" s="326" t="s">
        <v>203</v>
      </c>
      <c r="B23" s="169">
        <v>17</v>
      </c>
      <c r="C23" s="12" t="s">
        <v>219</v>
      </c>
      <c r="D23" s="200">
        <v>1968</v>
      </c>
      <c r="E23" s="11"/>
      <c r="F23" s="169" t="s">
        <v>20</v>
      </c>
      <c r="G23" s="35">
        <v>1</v>
      </c>
      <c r="H23" s="201">
        <v>5</v>
      </c>
      <c r="I23" s="201" t="s">
        <v>22</v>
      </c>
      <c r="J23" s="115">
        <v>11293</v>
      </c>
      <c r="K23" s="115">
        <v>841</v>
      </c>
      <c r="L23" s="157">
        <v>985</v>
      </c>
      <c r="M23" s="115"/>
      <c r="N23" s="115">
        <v>80</v>
      </c>
      <c r="O23" s="115">
        <v>140</v>
      </c>
      <c r="P23" s="115">
        <v>80</v>
      </c>
      <c r="Q23" s="115">
        <v>126</v>
      </c>
      <c r="R23" s="228">
        <v>3269.46</v>
      </c>
      <c r="S23" s="230">
        <v>2151.54</v>
      </c>
      <c r="T23" s="115">
        <f t="shared" si="0"/>
        <v>75</v>
      </c>
      <c r="U23" s="203">
        <f t="shared" si="1"/>
        <v>3060.88</v>
      </c>
      <c r="V23" s="180">
        <f t="shared" si="2"/>
        <v>2022.22</v>
      </c>
      <c r="W23" s="115">
        <v>5</v>
      </c>
      <c r="X23" s="207">
        <v>208.58</v>
      </c>
      <c r="Y23" s="207">
        <v>129.32</v>
      </c>
      <c r="Z23" s="204"/>
      <c r="AA23" s="207"/>
      <c r="AB23" s="207"/>
      <c r="AC23" s="207">
        <f t="shared" si="3"/>
        <v>0</v>
      </c>
      <c r="AD23" s="248">
        <f t="shared" si="4"/>
        <v>0</v>
      </c>
      <c r="AE23" s="275"/>
      <c r="AF23" s="275"/>
      <c r="AG23" s="207"/>
      <c r="AH23" s="207"/>
      <c r="AI23" s="207">
        <f t="shared" si="5"/>
        <v>3269.46</v>
      </c>
      <c r="AJ23" s="170"/>
      <c r="AK23" s="170"/>
      <c r="AL23" s="170">
        <v>4</v>
      </c>
      <c r="AM23" s="170"/>
      <c r="AN23" s="170"/>
      <c r="AO23" s="170">
        <v>1</v>
      </c>
      <c r="AP23" s="170">
        <v>2191</v>
      </c>
      <c r="AQ23" s="170"/>
      <c r="AR23" s="170">
        <v>380</v>
      </c>
      <c r="AS23" s="170">
        <v>209</v>
      </c>
      <c r="AT23" s="170">
        <v>72</v>
      </c>
      <c r="AU23" s="170">
        <f t="shared" si="6"/>
        <v>3540</v>
      </c>
      <c r="AV23" s="170"/>
      <c r="AW23" s="170">
        <v>3540</v>
      </c>
      <c r="AX23" s="170">
        <v>1936</v>
      </c>
      <c r="AY23" s="170">
        <v>140</v>
      </c>
      <c r="AZ23" s="170">
        <v>823</v>
      </c>
      <c r="BA23" s="170">
        <v>823</v>
      </c>
      <c r="BB23" s="170">
        <v>16</v>
      </c>
      <c r="BC23" s="170">
        <v>8</v>
      </c>
      <c r="BD23" s="170">
        <v>240</v>
      </c>
      <c r="BE23" s="170">
        <v>80</v>
      </c>
      <c r="BF23" s="170"/>
      <c r="BG23" s="170">
        <v>400</v>
      </c>
      <c r="BH23" s="170">
        <v>80</v>
      </c>
      <c r="BI23" s="170"/>
      <c r="BJ23" s="115" t="str">
        <f t="shared" si="7"/>
        <v>0</v>
      </c>
      <c r="BK23" s="115" t="str">
        <f t="shared" si="8"/>
        <v>0</v>
      </c>
      <c r="BL23" s="115" t="str">
        <f t="shared" si="9"/>
        <v>0</v>
      </c>
      <c r="BM23" s="115">
        <f t="shared" si="10"/>
        <v>1</v>
      </c>
      <c r="BN23" s="115">
        <f t="shared" si="11"/>
        <v>3269.46</v>
      </c>
      <c r="BO23" s="115">
        <f t="shared" si="12"/>
        <v>2151.54</v>
      </c>
      <c r="BP23" s="115" t="str">
        <f t="shared" si="13"/>
        <v>0</v>
      </c>
      <c r="BQ23" s="115" t="str">
        <f t="shared" si="14"/>
        <v>0</v>
      </c>
      <c r="BR23" s="115" t="str">
        <f t="shared" si="15"/>
        <v>0</v>
      </c>
      <c r="BS23" s="115"/>
      <c r="BT23" s="115">
        <v>2</v>
      </c>
      <c r="BU23" s="115">
        <f t="shared" si="30"/>
        <v>823</v>
      </c>
      <c r="BV23" s="115">
        <v>2813</v>
      </c>
      <c r="BW23" s="115"/>
      <c r="BX23" s="115"/>
      <c r="BY23" s="275">
        <v>1102.1400000000001</v>
      </c>
      <c r="BZ23" s="253">
        <v>279.04000000000002</v>
      </c>
      <c r="CA23" s="205">
        <v>1829</v>
      </c>
      <c r="CB23" s="282">
        <f t="shared" si="16"/>
        <v>988</v>
      </c>
      <c r="CC23" s="209" t="str">
        <f t="shared" si="17"/>
        <v>0</v>
      </c>
      <c r="CD23" s="235">
        <f t="shared" si="18"/>
        <v>0</v>
      </c>
      <c r="CE23" s="209">
        <f t="shared" si="19"/>
        <v>1</v>
      </c>
      <c r="CF23" s="235">
        <f t="shared" si="20"/>
        <v>3540</v>
      </c>
      <c r="CG23" s="235">
        <f t="shared" si="21"/>
        <v>1</v>
      </c>
      <c r="CH23" s="235">
        <f t="shared" si="22"/>
        <v>3540</v>
      </c>
      <c r="CI23" s="156">
        <v>53</v>
      </c>
      <c r="CJ23" s="284" t="str">
        <f t="shared" si="23"/>
        <v>0</v>
      </c>
      <c r="CK23" s="284" t="str">
        <f t="shared" si="24"/>
        <v>0</v>
      </c>
      <c r="CL23" s="243">
        <f t="shared" si="25"/>
        <v>6.3796467918249498</v>
      </c>
      <c r="CM23" s="216" t="str">
        <f t="shared" si="26"/>
        <v>0</v>
      </c>
      <c r="CN23" s="216" t="str">
        <f t="shared" si="27"/>
        <v>0</v>
      </c>
      <c r="CO23" s="243">
        <f t="shared" si="28"/>
        <v>6.3796467918249498</v>
      </c>
      <c r="CP23" s="306">
        <v>1</v>
      </c>
      <c r="CQ23" s="306">
        <v>0</v>
      </c>
      <c r="CR23" s="306">
        <v>0</v>
      </c>
      <c r="CS23" s="306">
        <v>0</v>
      </c>
      <c r="CT23" s="306">
        <v>1</v>
      </c>
      <c r="CU23" s="306">
        <v>0</v>
      </c>
      <c r="CV23" s="306">
        <v>0</v>
      </c>
      <c r="CW23" s="306">
        <v>0</v>
      </c>
      <c r="CX23" s="306">
        <v>0</v>
      </c>
      <c r="CY23" s="306">
        <v>80</v>
      </c>
      <c r="CZ23" s="306">
        <f t="shared" si="29"/>
        <v>73</v>
      </c>
      <c r="DA23" s="306">
        <v>7</v>
      </c>
      <c r="DB23" s="306">
        <v>49</v>
      </c>
      <c r="DC23" s="306">
        <v>23</v>
      </c>
      <c r="DD23" s="306">
        <v>57</v>
      </c>
      <c r="DE23" s="306">
        <v>23</v>
      </c>
      <c r="DF23" s="306">
        <v>30</v>
      </c>
      <c r="DG23" s="306">
        <v>50</v>
      </c>
      <c r="DH23" s="306">
        <v>30</v>
      </c>
      <c r="DI23" s="306">
        <v>1</v>
      </c>
      <c r="DJ23" s="306">
        <v>0</v>
      </c>
      <c r="DK23" s="306">
        <v>9</v>
      </c>
      <c r="DL23" s="306">
        <v>0</v>
      </c>
      <c r="DM23" s="306">
        <v>0</v>
      </c>
      <c r="DN23" s="306">
        <v>9</v>
      </c>
      <c r="DO23" s="306">
        <v>0</v>
      </c>
      <c r="DP23" s="306">
        <v>80</v>
      </c>
      <c r="DQ23" s="306">
        <v>80</v>
      </c>
    </row>
    <row r="24" spans="1:121" x14ac:dyDescent="0.2">
      <c r="A24" s="149" t="s">
        <v>197</v>
      </c>
      <c r="B24" s="169">
        <v>18</v>
      </c>
      <c r="C24" s="12" t="s">
        <v>220</v>
      </c>
      <c r="D24" s="200">
        <v>1961</v>
      </c>
      <c r="E24" s="11"/>
      <c r="F24" s="169" t="s">
        <v>13</v>
      </c>
      <c r="G24" s="35">
        <v>1</v>
      </c>
      <c r="H24" s="201">
        <v>5</v>
      </c>
      <c r="I24" s="201" t="s">
        <v>19</v>
      </c>
      <c r="J24" s="115">
        <v>9987</v>
      </c>
      <c r="K24" s="115">
        <v>729</v>
      </c>
      <c r="L24" s="157">
        <v>835</v>
      </c>
      <c r="M24" s="115"/>
      <c r="N24" s="115">
        <v>24</v>
      </c>
      <c r="O24" s="115">
        <v>116</v>
      </c>
      <c r="P24" s="115">
        <v>24</v>
      </c>
      <c r="Q24" s="115">
        <v>69</v>
      </c>
      <c r="R24" s="228">
        <v>1994.17</v>
      </c>
      <c r="S24" s="230">
        <v>1061.05</v>
      </c>
      <c r="T24" s="115">
        <f t="shared" si="0"/>
        <v>24</v>
      </c>
      <c r="U24" s="203">
        <f t="shared" si="1"/>
        <v>1994.17</v>
      </c>
      <c r="V24" s="180">
        <f t="shared" si="2"/>
        <v>1061.05</v>
      </c>
      <c r="W24" s="115">
        <v>0</v>
      </c>
      <c r="X24" s="207">
        <v>0</v>
      </c>
      <c r="Y24" s="207">
        <v>0</v>
      </c>
      <c r="Z24" s="204"/>
      <c r="AA24" s="207"/>
      <c r="AB24" s="207"/>
      <c r="AC24" s="207">
        <f t="shared" si="3"/>
        <v>475.6</v>
      </c>
      <c r="AD24" s="248">
        <f t="shared" si="4"/>
        <v>84.000000000000028</v>
      </c>
      <c r="AE24" s="248"/>
      <c r="AF24" s="248">
        <f>313.16+0.94-230.1</f>
        <v>84.000000000000028</v>
      </c>
      <c r="AG24" s="207">
        <f>161.5+230.1</f>
        <v>391.6</v>
      </c>
      <c r="AH24" s="207"/>
      <c r="AI24" s="207">
        <f t="shared" si="5"/>
        <v>2469.77</v>
      </c>
      <c r="AJ24" s="170"/>
      <c r="AK24" s="170"/>
      <c r="AL24" s="170">
        <v>3</v>
      </c>
      <c r="AM24" s="170"/>
      <c r="AN24" s="170"/>
      <c r="AO24" s="170">
        <v>1</v>
      </c>
      <c r="AP24" s="170">
        <v>1919</v>
      </c>
      <c r="AQ24" s="170"/>
      <c r="AR24" s="170">
        <v>378</v>
      </c>
      <c r="AS24" s="170">
        <v>240</v>
      </c>
      <c r="AT24" s="170">
        <v>54</v>
      </c>
      <c r="AU24" s="170">
        <f t="shared" si="6"/>
        <v>2655</v>
      </c>
      <c r="AV24" s="170"/>
      <c r="AW24" s="170">
        <v>2655</v>
      </c>
      <c r="AX24" s="170"/>
      <c r="AY24" s="170">
        <v>86</v>
      </c>
      <c r="AZ24" s="170">
        <v>698</v>
      </c>
      <c r="BA24" s="170">
        <v>698</v>
      </c>
      <c r="BB24" s="170">
        <v>12</v>
      </c>
      <c r="BC24" s="170">
        <v>6</v>
      </c>
      <c r="BD24" s="170">
        <v>170</v>
      </c>
      <c r="BE24" s="170">
        <v>27</v>
      </c>
      <c r="BF24" s="170"/>
      <c r="BG24" s="170">
        <v>300</v>
      </c>
      <c r="BH24" s="170">
        <v>60</v>
      </c>
      <c r="BI24" s="170"/>
      <c r="BJ24" s="115">
        <f t="shared" si="7"/>
        <v>1</v>
      </c>
      <c r="BK24" s="115">
        <f t="shared" si="8"/>
        <v>1994.17</v>
      </c>
      <c r="BL24" s="115">
        <f t="shared" si="9"/>
        <v>1061.05</v>
      </c>
      <c r="BM24" s="115" t="str">
        <f t="shared" si="10"/>
        <v>0</v>
      </c>
      <c r="BN24" s="115" t="str">
        <f t="shared" si="11"/>
        <v>0</v>
      </c>
      <c r="BO24" s="115" t="str">
        <f t="shared" si="12"/>
        <v>0</v>
      </c>
      <c r="BP24" s="115" t="str">
        <f t="shared" si="13"/>
        <v>0</v>
      </c>
      <c r="BQ24" s="115" t="str">
        <f t="shared" si="14"/>
        <v>0</v>
      </c>
      <c r="BR24" s="115" t="str">
        <f t="shared" si="15"/>
        <v>0</v>
      </c>
      <c r="BS24" s="115"/>
      <c r="BT24" s="115">
        <v>2</v>
      </c>
      <c r="BU24" s="115">
        <f t="shared" si="30"/>
        <v>698</v>
      </c>
      <c r="BV24" s="115">
        <v>2097</v>
      </c>
      <c r="BW24" s="115"/>
      <c r="BX24" s="115">
        <f>AP24</f>
        <v>1919</v>
      </c>
      <c r="BY24" s="275">
        <v>889.92</v>
      </c>
      <c r="BZ24" s="253">
        <v>183.51</v>
      </c>
      <c r="CA24" s="205">
        <v>2811</v>
      </c>
      <c r="CB24" s="282">
        <f t="shared" si="16"/>
        <v>2082</v>
      </c>
      <c r="CC24" s="209" t="str">
        <f t="shared" si="17"/>
        <v>0</v>
      </c>
      <c r="CD24" s="235">
        <f t="shared" si="18"/>
        <v>0</v>
      </c>
      <c r="CE24" s="209">
        <f t="shared" si="19"/>
        <v>1</v>
      </c>
      <c r="CF24" s="235">
        <f t="shared" si="20"/>
        <v>2655</v>
      </c>
      <c r="CG24" s="235">
        <f t="shared" si="21"/>
        <v>1</v>
      </c>
      <c r="CH24" s="235">
        <f t="shared" si="22"/>
        <v>2655</v>
      </c>
      <c r="CI24" s="156">
        <v>44</v>
      </c>
      <c r="CJ24" s="284" t="str">
        <f t="shared" si="23"/>
        <v>0</v>
      </c>
      <c r="CK24" s="284" t="str">
        <f t="shared" si="24"/>
        <v>0</v>
      </c>
      <c r="CL24" s="243">
        <f t="shared" si="25"/>
        <v>0</v>
      </c>
      <c r="CM24" s="216" t="str">
        <f t="shared" si="26"/>
        <v>0</v>
      </c>
      <c r="CN24" s="216" t="str">
        <f t="shared" si="27"/>
        <v>0</v>
      </c>
      <c r="CO24" s="243">
        <f t="shared" si="28"/>
        <v>3.4011264206788496</v>
      </c>
      <c r="CP24" s="306">
        <v>1</v>
      </c>
      <c r="CQ24" s="306">
        <v>0</v>
      </c>
      <c r="CR24" s="306">
        <v>0</v>
      </c>
      <c r="CS24" s="306">
        <v>0</v>
      </c>
      <c r="CT24" s="306">
        <v>1</v>
      </c>
      <c r="CU24" s="306">
        <v>0</v>
      </c>
      <c r="CV24" s="306">
        <v>0</v>
      </c>
      <c r="CW24" s="306">
        <v>0</v>
      </c>
      <c r="CX24" s="306">
        <v>0</v>
      </c>
      <c r="CY24" s="306">
        <v>27</v>
      </c>
      <c r="CZ24" s="306">
        <f t="shared" si="29"/>
        <v>27</v>
      </c>
      <c r="DA24" s="306">
        <v>0</v>
      </c>
      <c r="DB24" s="306">
        <v>17</v>
      </c>
      <c r="DC24" s="306">
        <v>9</v>
      </c>
      <c r="DD24" s="306">
        <v>17</v>
      </c>
      <c r="DE24" s="306">
        <v>9</v>
      </c>
      <c r="DF24" s="306">
        <v>12</v>
      </c>
      <c r="DG24" s="306">
        <v>13</v>
      </c>
      <c r="DH24" s="306">
        <v>13</v>
      </c>
      <c r="DI24" s="306">
        <v>0</v>
      </c>
      <c r="DJ24" s="306">
        <v>0</v>
      </c>
      <c r="DK24" s="306">
        <v>4</v>
      </c>
      <c r="DL24" s="306">
        <v>0</v>
      </c>
      <c r="DM24" s="306">
        <v>0</v>
      </c>
      <c r="DN24" s="306">
        <v>4</v>
      </c>
      <c r="DO24" s="306">
        <v>0</v>
      </c>
      <c r="DP24" s="306">
        <v>27</v>
      </c>
      <c r="DQ24" s="306">
        <v>27</v>
      </c>
    </row>
    <row r="25" spans="1:121" x14ac:dyDescent="0.2">
      <c r="A25" s="149" t="s">
        <v>197</v>
      </c>
      <c r="B25" s="169">
        <v>19</v>
      </c>
      <c r="C25" s="12" t="s">
        <v>209</v>
      </c>
      <c r="D25" s="200">
        <v>1986</v>
      </c>
      <c r="E25" s="11"/>
      <c r="F25" s="206" t="s">
        <v>24</v>
      </c>
      <c r="G25" s="35">
        <v>1</v>
      </c>
      <c r="H25" s="201">
        <v>9</v>
      </c>
      <c r="I25" s="201" t="s">
        <v>22</v>
      </c>
      <c r="J25" s="115">
        <v>19807</v>
      </c>
      <c r="K25" s="115">
        <v>761</v>
      </c>
      <c r="L25" s="157"/>
      <c r="M25" s="115">
        <v>733</v>
      </c>
      <c r="N25" s="115">
        <v>69</v>
      </c>
      <c r="O25" s="115">
        <v>191</v>
      </c>
      <c r="P25" s="115">
        <v>69</v>
      </c>
      <c r="Q25" s="115">
        <v>149</v>
      </c>
      <c r="R25" s="228">
        <v>4475.1000000000004</v>
      </c>
      <c r="S25" s="230">
        <v>2788.5</v>
      </c>
      <c r="T25" s="115">
        <f t="shared" si="0"/>
        <v>64</v>
      </c>
      <c r="U25" s="203">
        <f t="shared" si="1"/>
        <v>4172.9000000000005</v>
      </c>
      <c r="V25" s="180">
        <f t="shared" si="2"/>
        <v>2598.11</v>
      </c>
      <c r="W25" s="115">
        <v>5</v>
      </c>
      <c r="X25" s="207">
        <v>302.2</v>
      </c>
      <c r="Y25" s="207">
        <v>190.39</v>
      </c>
      <c r="Z25" s="204"/>
      <c r="AA25" s="207"/>
      <c r="AB25" s="207"/>
      <c r="AC25" s="207">
        <f t="shared" si="3"/>
        <v>100.7</v>
      </c>
      <c r="AD25" s="248">
        <f t="shared" si="4"/>
        <v>0</v>
      </c>
      <c r="AE25" s="275"/>
      <c r="AF25" s="275"/>
      <c r="AG25" s="207">
        <v>100.7</v>
      </c>
      <c r="AH25" s="207"/>
      <c r="AI25" s="207">
        <f t="shared" si="5"/>
        <v>4575.8</v>
      </c>
      <c r="AJ25" s="170"/>
      <c r="AK25" s="170">
        <v>2</v>
      </c>
      <c r="AL25" s="170">
        <v>2</v>
      </c>
      <c r="AM25" s="170">
        <v>2</v>
      </c>
      <c r="AN25" s="170"/>
      <c r="AO25" s="170">
        <v>2</v>
      </c>
      <c r="AP25" s="170">
        <v>3800</v>
      </c>
      <c r="AQ25" s="170">
        <v>314.75</v>
      </c>
      <c r="AR25" s="170">
        <v>396</v>
      </c>
      <c r="AS25" s="170">
        <v>240</v>
      </c>
      <c r="AT25" s="170">
        <v>150</v>
      </c>
      <c r="AU25" s="170">
        <f t="shared" si="6"/>
        <v>8280</v>
      </c>
      <c r="AV25" s="170"/>
      <c r="AW25" s="170">
        <v>8280</v>
      </c>
      <c r="AX25" s="170">
        <v>1752</v>
      </c>
      <c r="AY25" s="170">
        <v>220</v>
      </c>
      <c r="AZ25" s="170">
        <v>654</v>
      </c>
      <c r="BA25" s="170">
        <v>654</v>
      </c>
      <c r="BB25" s="170">
        <v>36</v>
      </c>
      <c r="BC25" s="170">
        <v>42</v>
      </c>
      <c r="BD25" s="170">
        <v>232</v>
      </c>
      <c r="BE25" s="170">
        <v>424</v>
      </c>
      <c r="BF25" s="170">
        <v>1</v>
      </c>
      <c r="BG25" s="170">
        <v>7600</v>
      </c>
      <c r="BH25" s="170">
        <v>3270</v>
      </c>
      <c r="BI25" s="170">
        <v>90</v>
      </c>
      <c r="BJ25" s="115" t="str">
        <f t="shared" si="7"/>
        <v>0</v>
      </c>
      <c r="BK25" s="115" t="str">
        <f t="shared" si="8"/>
        <v>0</v>
      </c>
      <c r="BL25" s="115" t="str">
        <f t="shared" si="9"/>
        <v>0</v>
      </c>
      <c r="BM25" s="115">
        <f t="shared" si="10"/>
        <v>1</v>
      </c>
      <c r="BN25" s="115">
        <f t="shared" si="11"/>
        <v>4475.1000000000004</v>
      </c>
      <c r="BO25" s="115">
        <f t="shared" si="12"/>
        <v>2788.5</v>
      </c>
      <c r="BP25" s="115" t="str">
        <f t="shared" si="13"/>
        <v>0</v>
      </c>
      <c r="BQ25" s="115" t="str">
        <f t="shared" si="14"/>
        <v>0</v>
      </c>
      <c r="BR25" s="115" t="str">
        <f t="shared" si="15"/>
        <v>0</v>
      </c>
      <c r="BS25" s="209"/>
      <c r="BT25" s="209">
        <v>2</v>
      </c>
      <c r="BU25" s="115"/>
      <c r="BV25" s="209"/>
      <c r="BW25" s="115">
        <v>5</v>
      </c>
      <c r="BX25" s="115"/>
      <c r="BY25" s="275">
        <v>1537.14</v>
      </c>
      <c r="BZ25" s="253">
        <v>769.2</v>
      </c>
      <c r="CA25" s="205">
        <v>2645</v>
      </c>
      <c r="CB25" s="282">
        <f t="shared" si="16"/>
        <v>1884</v>
      </c>
      <c r="CC25" s="209" t="str">
        <f t="shared" si="17"/>
        <v>0</v>
      </c>
      <c r="CD25" s="235">
        <f t="shared" si="18"/>
        <v>0</v>
      </c>
      <c r="CE25" s="209">
        <f t="shared" si="19"/>
        <v>1</v>
      </c>
      <c r="CF25" s="235">
        <f t="shared" si="20"/>
        <v>8280</v>
      </c>
      <c r="CG25" s="235">
        <f t="shared" si="21"/>
        <v>1</v>
      </c>
      <c r="CH25" s="235">
        <f t="shared" si="22"/>
        <v>8280</v>
      </c>
      <c r="CI25" s="156">
        <v>51</v>
      </c>
      <c r="CJ25" s="284" t="str">
        <f t="shared" si="23"/>
        <v>0</v>
      </c>
      <c r="CK25" s="284" t="str">
        <f t="shared" si="24"/>
        <v>0</v>
      </c>
      <c r="CL25" s="243">
        <f t="shared" si="25"/>
        <v>6.7529217224196092</v>
      </c>
      <c r="CM25" s="216" t="str">
        <f t="shared" si="26"/>
        <v>0</v>
      </c>
      <c r="CN25" s="216" t="str">
        <f t="shared" si="27"/>
        <v>0</v>
      </c>
      <c r="CO25" s="243">
        <f t="shared" si="28"/>
        <v>6.6043096289173473</v>
      </c>
      <c r="CP25" s="306">
        <v>1</v>
      </c>
      <c r="CQ25" s="306">
        <v>0</v>
      </c>
      <c r="CR25" s="306">
        <v>0</v>
      </c>
      <c r="CS25" s="306">
        <v>0</v>
      </c>
      <c r="CT25" s="306">
        <v>2</v>
      </c>
      <c r="CU25" s="306">
        <v>0</v>
      </c>
      <c r="CV25" s="306">
        <v>0</v>
      </c>
      <c r="CW25" s="306">
        <v>0</v>
      </c>
      <c r="CX25" s="306">
        <v>0</v>
      </c>
      <c r="CY25" s="306">
        <v>69</v>
      </c>
      <c r="CZ25" s="306">
        <f t="shared" si="29"/>
        <v>65</v>
      </c>
      <c r="DA25" s="306">
        <v>4</v>
      </c>
      <c r="DB25" s="306">
        <v>49</v>
      </c>
      <c r="DC25" s="306">
        <v>41</v>
      </c>
      <c r="DD25" s="306">
        <v>37</v>
      </c>
      <c r="DE25" s="306">
        <v>50</v>
      </c>
      <c r="DF25" s="306">
        <v>46</v>
      </c>
      <c r="DG25" s="306">
        <v>32</v>
      </c>
      <c r="DH25" s="306">
        <v>55</v>
      </c>
      <c r="DI25" s="306">
        <v>2</v>
      </c>
      <c r="DJ25" s="306">
        <v>0</v>
      </c>
      <c r="DK25" s="306">
        <v>5</v>
      </c>
      <c r="DL25" s="306">
        <v>0</v>
      </c>
      <c r="DM25" s="306">
        <v>1</v>
      </c>
      <c r="DN25" s="306">
        <v>3</v>
      </c>
      <c r="DO25" s="306">
        <v>2</v>
      </c>
      <c r="DP25" s="306">
        <v>69</v>
      </c>
      <c r="DQ25" s="306">
        <v>69</v>
      </c>
    </row>
    <row r="26" spans="1:121" x14ac:dyDescent="0.2">
      <c r="A26" s="326" t="s">
        <v>203</v>
      </c>
      <c r="B26" s="169">
        <v>20</v>
      </c>
      <c r="C26" s="12" t="s">
        <v>210</v>
      </c>
      <c r="D26" s="200">
        <v>1992</v>
      </c>
      <c r="E26" s="11"/>
      <c r="F26" s="206" t="s">
        <v>24</v>
      </c>
      <c r="G26" s="35">
        <v>1</v>
      </c>
      <c r="H26" s="201">
        <v>9</v>
      </c>
      <c r="I26" s="201" t="s">
        <v>22</v>
      </c>
      <c r="J26" s="115">
        <v>19293</v>
      </c>
      <c r="K26" s="115">
        <v>1043</v>
      </c>
      <c r="L26" s="157"/>
      <c r="M26" s="115">
        <v>711</v>
      </c>
      <c r="N26" s="115">
        <v>64</v>
      </c>
      <c r="O26" s="115">
        <v>168</v>
      </c>
      <c r="P26" s="115">
        <v>64</v>
      </c>
      <c r="Q26" s="115">
        <v>165</v>
      </c>
      <c r="R26" s="228">
        <v>4076.8</v>
      </c>
      <c r="S26" s="230">
        <v>2494.1</v>
      </c>
      <c r="T26" s="115">
        <f t="shared" si="0"/>
        <v>61</v>
      </c>
      <c r="U26" s="203">
        <f t="shared" si="1"/>
        <v>3877.5</v>
      </c>
      <c r="V26" s="180">
        <f t="shared" si="2"/>
        <v>2374.52</v>
      </c>
      <c r="W26" s="115">
        <v>3</v>
      </c>
      <c r="X26" s="207">
        <v>199.3</v>
      </c>
      <c r="Y26" s="207">
        <v>119.58</v>
      </c>
      <c r="Z26" s="204"/>
      <c r="AA26" s="207"/>
      <c r="AB26" s="207"/>
      <c r="AC26" s="207">
        <f t="shared" si="3"/>
        <v>461.8</v>
      </c>
      <c r="AD26" s="248">
        <f t="shared" si="4"/>
        <v>0</v>
      </c>
      <c r="AE26" s="275"/>
      <c r="AF26" s="248"/>
      <c r="AG26" s="207"/>
      <c r="AH26" s="207">
        <v>461.8</v>
      </c>
      <c r="AI26" s="207">
        <f t="shared" si="5"/>
        <v>4538.6000000000004</v>
      </c>
      <c r="AJ26" s="170"/>
      <c r="AK26" s="170">
        <v>2</v>
      </c>
      <c r="AL26" s="170">
        <v>2</v>
      </c>
      <c r="AM26" s="170">
        <v>2</v>
      </c>
      <c r="AN26" s="170"/>
      <c r="AO26" s="170">
        <v>2</v>
      </c>
      <c r="AP26" s="170">
        <v>3800</v>
      </c>
      <c r="AQ26" s="170">
        <v>884.375</v>
      </c>
      <c r="AR26" s="170">
        <v>405</v>
      </c>
      <c r="AS26" s="170">
        <v>264</v>
      </c>
      <c r="AT26" s="170">
        <v>150</v>
      </c>
      <c r="AU26" s="170">
        <f t="shared" si="6"/>
        <v>8280</v>
      </c>
      <c r="AV26" s="170"/>
      <c r="AW26" s="170">
        <v>8280</v>
      </c>
      <c r="AX26" s="170">
        <v>1752</v>
      </c>
      <c r="AY26" s="170">
        <v>329</v>
      </c>
      <c r="AZ26" s="170">
        <v>709</v>
      </c>
      <c r="BA26" s="170">
        <v>709</v>
      </c>
      <c r="BB26" s="170">
        <v>36</v>
      </c>
      <c r="BC26" s="170">
        <v>42</v>
      </c>
      <c r="BD26" s="170">
        <v>232</v>
      </c>
      <c r="BE26" s="170">
        <v>424</v>
      </c>
      <c r="BF26" s="170">
        <v>1</v>
      </c>
      <c r="BG26" s="170">
        <v>7600</v>
      </c>
      <c r="BH26" s="170">
        <v>3270</v>
      </c>
      <c r="BI26" s="170">
        <v>90</v>
      </c>
      <c r="BJ26" s="115" t="str">
        <f t="shared" si="7"/>
        <v>0</v>
      </c>
      <c r="BK26" s="115" t="str">
        <f t="shared" si="8"/>
        <v>0</v>
      </c>
      <c r="BL26" s="115" t="str">
        <f t="shared" si="9"/>
        <v>0</v>
      </c>
      <c r="BM26" s="115">
        <f t="shared" si="10"/>
        <v>1</v>
      </c>
      <c r="BN26" s="115">
        <f t="shared" si="11"/>
        <v>4076.8</v>
      </c>
      <c r="BO26" s="115">
        <f t="shared" si="12"/>
        <v>2494.1</v>
      </c>
      <c r="BP26" s="115" t="str">
        <f t="shared" si="13"/>
        <v>0</v>
      </c>
      <c r="BQ26" s="115" t="str">
        <f t="shared" si="14"/>
        <v>0</v>
      </c>
      <c r="BR26" s="115" t="str">
        <f t="shared" si="15"/>
        <v>0</v>
      </c>
      <c r="BS26" s="115"/>
      <c r="BT26" s="115">
        <v>2</v>
      </c>
      <c r="BU26" s="115"/>
      <c r="BV26" s="115"/>
      <c r="BW26" s="115"/>
      <c r="BX26" s="115"/>
      <c r="BY26" s="275">
        <v>1416.3999999999999</v>
      </c>
      <c r="BZ26" s="253">
        <v>761.3</v>
      </c>
      <c r="CA26" s="205">
        <v>2422</v>
      </c>
      <c r="CB26" s="282">
        <f t="shared" si="16"/>
        <v>1379</v>
      </c>
      <c r="CC26" s="209" t="str">
        <f t="shared" si="17"/>
        <v>0</v>
      </c>
      <c r="CD26" s="235">
        <f t="shared" si="18"/>
        <v>0</v>
      </c>
      <c r="CE26" s="209">
        <f t="shared" si="19"/>
        <v>1</v>
      </c>
      <c r="CF26" s="235">
        <f t="shared" si="20"/>
        <v>8280</v>
      </c>
      <c r="CG26" s="235">
        <f t="shared" si="21"/>
        <v>1</v>
      </c>
      <c r="CH26" s="235">
        <f t="shared" si="22"/>
        <v>8280</v>
      </c>
      <c r="CI26" s="156">
        <v>53</v>
      </c>
      <c r="CJ26" s="284" t="str">
        <f t="shared" si="23"/>
        <v>0</v>
      </c>
      <c r="CK26" s="284" t="str">
        <f t="shared" si="24"/>
        <v>0</v>
      </c>
      <c r="CL26" s="243">
        <f t="shared" si="25"/>
        <v>4.8886381475667191</v>
      </c>
      <c r="CM26" s="216" t="str">
        <f t="shared" si="26"/>
        <v>0</v>
      </c>
      <c r="CN26" s="216" t="str">
        <f t="shared" si="27"/>
        <v>0</v>
      </c>
      <c r="CO26" s="243">
        <f t="shared" si="28"/>
        <v>4.391221962719781</v>
      </c>
      <c r="CP26" s="306">
        <v>1</v>
      </c>
      <c r="CQ26" s="306">
        <v>0</v>
      </c>
      <c r="CR26" s="306">
        <v>0</v>
      </c>
      <c r="CS26" s="306">
        <v>0</v>
      </c>
      <c r="CT26" s="306">
        <v>2</v>
      </c>
      <c r="CU26" s="306">
        <v>0</v>
      </c>
      <c r="CV26" s="306">
        <v>0</v>
      </c>
      <c r="CW26" s="306">
        <v>0</v>
      </c>
      <c r="CX26" s="306">
        <v>0</v>
      </c>
      <c r="CY26" s="306">
        <v>64</v>
      </c>
      <c r="CZ26" s="306">
        <f t="shared" si="29"/>
        <v>59</v>
      </c>
      <c r="DA26" s="306">
        <v>5</v>
      </c>
      <c r="DB26" s="306">
        <v>43</v>
      </c>
      <c r="DC26" s="306">
        <v>27</v>
      </c>
      <c r="DD26" s="306">
        <v>47</v>
      </c>
      <c r="DE26" s="306">
        <v>40</v>
      </c>
      <c r="DF26" s="306">
        <v>37</v>
      </c>
      <c r="DG26" s="306">
        <v>35</v>
      </c>
      <c r="DH26" s="306">
        <v>52</v>
      </c>
      <c r="DI26" s="306">
        <v>1</v>
      </c>
      <c r="DJ26" s="306">
        <v>1</v>
      </c>
      <c r="DK26" s="306">
        <v>7</v>
      </c>
      <c r="DL26" s="306">
        <v>1</v>
      </c>
      <c r="DM26" s="306">
        <v>1</v>
      </c>
      <c r="DN26" s="306">
        <v>7</v>
      </c>
      <c r="DO26" s="306">
        <v>1</v>
      </c>
      <c r="DP26" s="306">
        <v>64</v>
      </c>
      <c r="DQ26" s="306">
        <v>64</v>
      </c>
    </row>
    <row r="27" spans="1:121" x14ac:dyDescent="0.2">
      <c r="A27" s="149" t="s">
        <v>197</v>
      </c>
      <c r="B27" s="169">
        <v>21</v>
      </c>
      <c r="C27" s="12" t="s">
        <v>221</v>
      </c>
      <c r="D27" s="200">
        <v>1989</v>
      </c>
      <c r="E27" s="11"/>
      <c r="F27" s="206" t="s">
        <v>24</v>
      </c>
      <c r="G27" s="35">
        <v>1</v>
      </c>
      <c r="H27" s="201">
        <v>9</v>
      </c>
      <c r="I27" s="201" t="s">
        <v>22</v>
      </c>
      <c r="J27" s="115">
        <v>29298</v>
      </c>
      <c r="K27" s="115">
        <v>1142</v>
      </c>
      <c r="L27" s="115"/>
      <c r="M27" s="115">
        <v>1074</v>
      </c>
      <c r="N27" s="115">
        <v>105</v>
      </c>
      <c r="O27" s="115">
        <v>285</v>
      </c>
      <c r="P27" s="115">
        <v>105</v>
      </c>
      <c r="Q27" s="115">
        <v>246</v>
      </c>
      <c r="R27" s="228">
        <f>6771.11-4.3-2.8</f>
        <v>6764.0099999999993</v>
      </c>
      <c r="S27" s="230">
        <v>4192.5</v>
      </c>
      <c r="T27" s="115">
        <f t="shared" si="0"/>
        <v>99</v>
      </c>
      <c r="U27" s="203">
        <f t="shared" si="1"/>
        <v>6377.61</v>
      </c>
      <c r="V27" s="180">
        <f t="shared" si="2"/>
        <v>3952.93</v>
      </c>
      <c r="W27" s="115">
        <v>6</v>
      </c>
      <c r="X27" s="207">
        <v>386.4</v>
      </c>
      <c r="Y27" s="207">
        <v>239.57</v>
      </c>
      <c r="Z27" s="204"/>
      <c r="AA27" s="207"/>
      <c r="AB27" s="207"/>
      <c r="AC27" s="207">
        <f t="shared" si="3"/>
        <v>0</v>
      </c>
      <c r="AD27" s="248">
        <f t="shared" si="4"/>
        <v>0</v>
      </c>
      <c r="AE27" s="275"/>
      <c r="AF27" s="275"/>
      <c r="AG27" s="207">
        <f>18.1-18.1</f>
        <v>0</v>
      </c>
      <c r="AH27" s="207"/>
      <c r="AI27" s="207">
        <f t="shared" si="5"/>
        <v>6764.0099999999993</v>
      </c>
      <c r="AJ27" s="170"/>
      <c r="AK27" s="170">
        <v>3</v>
      </c>
      <c r="AL27" s="170">
        <v>3</v>
      </c>
      <c r="AM27" s="170">
        <v>3</v>
      </c>
      <c r="AN27" s="170"/>
      <c r="AO27" s="170">
        <v>3</v>
      </c>
      <c r="AP27" s="170">
        <v>5023</v>
      </c>
      <c r="AQ27" s="170">
        <v>54.625</v>
      </c>
      <c r="AR27" s="170">
        <v>470</v>
      </c>
      <c r="AS27" s="170">
        <v>368</v>
      </c>
      <c r="AT27" s="170">
        <v>225</v>
      </c>
      <c r="AU27" s="170">
        <f t="shared" si="6"/>
        <v>12750</v>
      </c>
      <c r="AV27" s="170"/>
      <c r="AW27" s="170">
        <v>12750</v>
      </c>
      <c r="AX27" s="170">
        <v>2520</v>
      </c>
      <c r="AY27" s="170">
        <v>330</v>
      </c>
      <c r="AZ27" s="170">
        <v>1074</v>
      </c>
      <c r="BA27" s="170">
        <v>887</v>
      </c>
      <c r="BB27" s="170">
        <v>54</v>
      </c>
      <c r="BC27" s="170">
        <v>63</v>
      </c>
      <c r="BD27" s="170">
        <v>348</v>
      </c>
      <c r="BE27" s="170">
        <v>636</v>
      </c>
      <c r="BF27" s="170">
        <v>1</v>
      </c>
      <c r="BG27" s="170">
        <v>11400</v>
      </c>
      <c r="BH27" s="170">
        <v>4905</v>
      </c>
      <c r="BI27" s="170">
        <v>135</v>
      </c>
      <c r="BJ27" s="115" t="str">
        <f t="shared" si="7"/>
        <v>0</v>
      </c>
      <c r="BK27" s="115" t="str">
        <f t="shared" si="8"/>
        <v>0</v>
      </c>
      <c r="BL27" s="115" t="str">
        <f t="shared" si="9"/>
        <v>0</v>
      </c>
      <c r="BM27" s="115">
        <f t="shared" si="10"/>
        <v>1</v>
      </c>
      <c r="BN27" s="115">
        <f t="shared" si="11"/>
        <v>6764.0099999999993</v>
      </c>
      <c r="BO27" s="115">
        <f t="shared" si="12"/>
        <v>4192.5</v>
      </c>
      <c r="BP27" s="115" t="str">
        <f t="shared" si="13"/>
        <v>0</v>
      </c>
      <c r="BQ27" s="115" t="str">
        <f t="shared" si="14"/>
        <v>0</v>
      </c>
      <c r="BR27" s="115" t="str">
        <f t="shared" si="15"/>
        <v>0</v>
      </c>
      <c r="BS27" s="115"/>
      <c r="BT27" s="115">
        <v>2</v>
      </c>
      <c r="BU27" s="115"/>
      <c r="BV27" s="115"/>
      <c r="BW27" s="115"/>
      <c r="BX27" s="115"/>
      <c r="BY27" s="275">
        <v>2097</v>
      </c>
      <c r="BZ27" s="253">
        <v>1105.5</v>
      </c>
      <c r="CA27" s="205">
        <v>2046</v>
      </c>
      <c r="CB27" s="282">
        <f t="shared" si="16"/>
        <v>904</v>
      </c>
      <c r="CC27" s="209" t="str">
        <f t="shared" si="17"/>
        <v>0</v>
      </c>
      <c r="CD27" s="235">
        <f t="shared" si="18"/>
        <v>0</v>
      </c>
      <c r="CE27" s="209">
        <f t="shared" si="19"/>
        <v>1</v>
      </c>
      <c r="CF27" s="235">
        <f t="shared" si="20"/>
        <v>12750</v>
      </c>
      <c r="CG27" s="235">
        <f t="shared" si="21"/>
        <v>1</v>
      </c>
      <c r="CH27" s="235">
        <f t="shared" si="22"/>
        <v>12750</v>
      </c>
      <c r="CI27" s="156">
        <v>46</v>
      </c>
      <c r="CJ27" s="284" t="str">
        <f t="shared" si="23"/>
        <v>0</v>
      </c>
      <c r="CK27" s="284" t="str">
        <f t="shared" si="24"/>
        <v>0</v>
      </c>
      <c r="CL27" s="243">
        <f t="shared" si="25"/>
        <v>5.7125876514079668</v>
      </c>
      <c r="CM27" s="216" t="str">
        <f t="shared" si="26"/>
        <v>0</v>
      </c>
      <c r="CN27" s="216" t="str">
        <f t="shared" si="27"/>
        <v>0</v>
      </c>
      <c r="CO27" s="243">
        <f t="shared" si="28"/>
        <v>5.7125876514079668</v>
      </c>
      <c r="CP27" s="306">
        <v>1</v>
      </c>
      <c r="CQ27" s="306">
        <v>0</v>
      </c>
      <c r="CR27" s="306">
        <v>0</v>
      </c>
      <c r="CS27" s="306">
        <v>0</v>
      </c>
      <c r="CT27" s="306">
        <v>2</v>
      </c>
      <c r="CU27" s="306">
        <v>0</v>
      </c>
      <c r="CV27" s="306">
        <v>0</v>
      </c>
      <c r="CW27" s="306">
        <v>0</v>
      </c>
      <c r="CX27" s="306">
        <v>0</v>
      </c>
      <c r="CY27" s="306">
        <v>105</v>
      </c>
      <c r="CZ27" s="306">
        <f t="shared" si="29"/>
        <v>98</v>
      </c>
      <c r="DA27" s="306">
        <v>7</v>
      </c>
      <c r="DB27" s="306">
        <v>97</v>
      </c>
      <c r="DC27" s="306">
        <v>45</v>
      </c>
      <c r="DD27" s="306">
        <v>82</v>
      </c>
      <c r="DE27" s="306">
        <v>57</v>
      </c>
      <c r="DF27" s="306">
        <v>53</v>
      </c>
      <c r="DG27" s="306">
        <v>73</v>
      </c>
      <c r="DH27" s="306">
        <v>66</v>
      </c>
      <c r="DI27" s="306">
        <v>6</v>
      </c>
      <c r="DJ27" s="306">
        <v>3</v>
      </c>
      <c r="DK27" s="306">
        <v>2</v>
      </c>
      <c r="DL27" s="306">
        <v>4</v>
      </c>
      <c r="DM27" s="306">
        <v>4</v>
      </c>
      <c r="DN27" s="306">
        <v>0</v>
      </c>
      <c r="DO27" s="306">
        <v>6</v>
      </c>
      <c r="DP27" s="306">
        <v>105</v>
      </c>
      <c r="DQ27" s="306">
        <v>105</v>
      </c>
    </row>
    <row r="28" spans="1:121" x14ac:dyDescent="0.2">
      <c r="A28" s="149" t="s">
        <v>197</v>
      </c>
      <c r="B28" s="169">
        <v>22</v>
      </c>
      <c r="C28" s="12" t="s">
        <v>222</v>
      </c>
      <c r="D28" s="200">
        <v>1989</v>
      </c>
      <c r="E28" s="11"/>
      <c r="F28" s="206" t="s">
        <v>24</v>
      </c>
      <c r="G28" s="35">
        <v>1</v>
      </c>
      <c r="H28" s="201">
        <v>9</v>
      </c>
      <c r="I28" s="201" t="s">
        <v>22</v>
      </c>
      <c r="J28" s="115">
        <v>29601</v>
      </c>
      <c r="K28" s="115">
        <v>1143</v>
      </c>
      <c r="L28" s="115"/>
      <c r="M28" s="115">
        <v>1082</v>
      </c>
      <c r="N28" s="115">
        <v>105</v>
      </c>
      <c r="O28" s="115">
        <v>285</v>
      </c>
      <c r="P28" s="115">
        <v>105</v>
      </c>
      <c r="Q28" s="115">
        <v>242</v>
      </c>
      <c r="R28" s="228">
        <f>6714.2+1</f>
        <v>6715.2</v>
      </c>
      <c r="S28" s="230">
        <v>4152.6000000000004</v>
      </c>
      <c r="T28" s="115">
        <f t="shared" si="0"/>
        <v>98</v>
      </c>
      <c r="U28" s="203">
        <f t="shared" si="1"/>
        <v>6276.4</v>
      </c>
      <c r="V28" s="180">
        <f t="shared" si="2"/>
        <v>3885.4300000000003</v>
      </c>
      <c r="W28" s="115">
        <v>7</v>
      </c>
      <c r="X28" s="207">
        <v>438.8</v>
      </c>
      <c r="Y28" s="207">
        <v>267.17</v>
      </c>
      <c r="Z28" s="204"/>
      <c r="AA28" s="207"/>
      <c r="AB28" s="207"/>
      <c r="AC28" s="207">
        <f t="shared" si="3"/>
        <v>0</v>
      </c>
      <c r="AD28" s="248">
        <f t="shared" si="4"/>
        <v>0</v>
      </c>
      <c r="AE28" s="275"/>
      <c r="AF28" s="275"/>
      <c r="AG28" s="207"/>
      <c r="AH28" s="207"/>
      <c r="AI28" s="207">
        <f t="shared" si="5"/>
        <v>6715.2</v>
      </c>
      <c r="AJ28" s="170"/>
      <c r="AK28" s="170">
        <v>3</v>
      </c>
      <c r="AL28" s="170">
        <v>3</v>
      </c>
      <c r="AM28" s="170">
        <v>3</v>
      </c>
      <c r="AN28" s="170"/>
      <c r="AO28" s="170">
        <v>3</v>
      </c>
      <c r="AP28" s="170">
        <v>5023</v>
      </c>
      <c r="AQ28" s="170"/>
      <c r="AR28" s="170">
        <v>425</v>
      </c>
      <c r="AS28" s="170">
        <v>368</v>
      </c>
      <c r="AT28" s="170">
        <v>225</v>
      </c>
      <c r="AU28" s="170">
        <f t="shared" si="6"/>
        <v>12750</v>
      </c>
      <c r="AV28" s="170"/>
      <c r="AW28" s="170">
        <v>12750</v>
      </c>
      <c r="AX28" s="170">
        <v>2520</v>
      </c>
      <c r="AY28" s="170">
        <v>326</v>
      </c>
      <c r="AZ28" s="170">
        <v>1082</v>
      </c>
      <c r="BA28" s="170">
        <v>885</v>
      </c>
      <c r="BB28" s="170">
        <v>54</v>
      </c>
      <c r="BC28" s="170">
        <v>63</v>
      </c>
      <c r="BD28" s="170">
        <v>348</v>
      </c>
      <c r="BE28" s="170">
        <v>636</v>
      </c>
      <c r="BF28" s="170">
        <v>1</v>
      </c>
      <c r="BG28" s="170">
        <v>11400</v>
      </c>
      <c r="BH28" s="170">
        <v>4905</v>
      </c>
      <c r="BI28" s="170">
        <v>135</v>
      </c>
      <c r="BJ28" s="115" t="str">
        <f t="shared" si="7"/>
        <v>0</v>
      </c>
      <c r="BK28" s="115" t="str">
        <f t="shared" si="8"/>
        <v>0</v>
      </c>
      <c r="BL28" s="115" t="str">
        <f t="shared" si="9"/>
        <v>0</v>
      </c>
      <c r="BM28" s="115">
        <f t="shared" si="10"/>
        <v>1</v>
      </c>
      <c r="BN28" s="115">
        <f t="shared" si="11"/>
        <v>6715.2</v>
      </c>
      <c r="BO28" s="115">
        <f t="shared" si="12"/>
        <v>4152.6000000000004</v>
      </c>
      <c r="BP28" s="115" t="str">
        <f t="shared" si="13"/>
        <v>0</v>
      </c>
      <c r="BQ28" s="115" t="str">
        <f t="shared" si="14"/>
        <v>0</v>
      </c>
      <c r="BR28" s="115" t="str">
        <f t="shared" si="15"/>
        <v>0</v>
      </c>
      <c r="BS28" s="115"/>
      <c r="BT28" s="115">
        <v>2</v>
      </c>
      <c r="BU28" s="115"/>
      <c r="BV28" s="115"/>
      <c r="BW28" s="115"/>
      <c r="BX28" s="115"/>
      <c r="BY28" s="275">
        <v>2151.6999999999998</v>
      </c>
      <c r="BZ28" s="253">
        <v>1171.5999999999999</v>
      </c>
      <c r="CA28" s="205">
        <v>1979</v>
      </c>
      <c r="CB28" s="282">
        <f t="shared" si="16"/>
        <v>836</v>
      </c>
      <c r="CC28" s="209" t="str">
        <f t="shared" si="17"/>
        <v>0</v>
      </c>
      <c r="CD28" s="235">
        <f t="shared" si="18"/>
        <v>0</v>
      </c>
      <c r="CE28" s="209">
        <f t="shared" si="19"/>
        <v>1</v>
      </c>
      <c r="CF28" s="235">
        <f t="shared" si="20"/>
        <v>12750</v>
      </c>
      <c r="CG28" s="235">
        <f t="shared" si="21"/>
        <v>1</v>
      </c>
      <c r="CH28" s="235">
        <f t="shared" si="22"/>
        <v>12750</v>
      </c>
      <c r="CI28" s="156">
        <v>45</v>
      </c>
      <c r="CJ28" s="284" t="str">
        <f t="shared" si="23"/>
        <v>0</v>
      </c>
      <c r="CK28" s="284" t="str">
        <f t="shared" si="24"/>
        <v>0</v>
      </c>
      <c r="CL28" s="243">
        <f t="shared" si="25"/>
        <v>6.5344293543006913</v>
      </c>
      <c r="CM28" s="216" t="str">
        <f t="shared" si="26"/>
        <v>0</v>
      </c>
      <c r="CN28" s="216" t="str">
        <f t="shared" si="27"/>
        <v>0</v>
      </c>
      <c r="CO28" s="243">
        <f t="shared" si="28"/>
        <v>6.5344293543006913</v>
      </c>
      <c r="CP28" s="306">
        <v>1</v>
      </c>
      <c r="CQ28" s="306">
        <v>0</v>
      </c>
      <c r="CR28" s="306">
        <v>0</v>
      </c>
      <c r="CS28" s="306">
        <v>0</v>
      </c>
      <c r="CT28" s="306">
        <v>2</v>
      </c>
      <c r="CU28" s="306">
        <v>0</v>
      </c>
      <c r="CV28" s="306">
        <v>0</v>
      </c>
      <c r="CW28" s="306">
        <v>0</v>
      </c>
      <c r="CX28" s="306">
        <v>0</v>
      </c>
      <c r="CY28" s="306">
        <v>105</v>
      </c>
      <c r="CZ28" s="306">
        <f t="shared" si="29"/>
        <v>97</v>
      </c>
      <c r="DA28" s="306">
        <v>8</v>
      </c>
      <c r="DB28" s="306">
        <v>95</v>
      </c>
      <c r="DC28" s="306">
        <v>57</v>
      </c>
      <c r="DD28" s="306">
        <v>65</v>
      </c>
      <c r="DE28" s="306">
        <v>74</v>
      </c>
      <c r="DF28" s="306">
        <v>63</v>
      </c>
      <c r="DG28" s="306">
        <v>57</v>
      </c>
      <c r="DH28" s="306">
        <v>82</v>
      </c>
      <c r="DI28" s="306">
        <v>7</v>
      </c>
      <c r="DJ28" s="306">
        <v>2</v>
      </c>
      <c r="DK28" s="306">
        <v>7</v>
      </c>
      <c r="DL28" s="306">
        <v>3</v>
      </c>
      <c r="DM28" s="306">
        <v>3</v>
      </c>
      <c r="DN28" s="306">
        <v>5</v>
      </c>
      <c r="DO28" s="306">
        <v>5</v>
      </c>
      <c r="DP28" s="306">
        <v>105</v>
      </c>
      <c r="DQ28" s="306">
        <v>105</v>
      </c>
    </row>
    <row r="29" spans="1:121" x14ac:dyDescent="0.2">
      <c r="A29" s="149" t="s">
        <v>197</v>
      </c>
      <c r="B29" s="169">
        <v>23</v>
      </c>
      <c r="C29" s="12" t="s">
        <v>223</v>
      </c>
      <c r="D29" s="200">
        <v>1988</v>
      </c>
      <c r="E29" s="11"/>
      <c r="F29" s="206" t="s">
        <v>24</v>
      </c>
      <c r="G29" s="35">
        <v>1</v>
      </c>
      <c r="H29" s="201">
        <v>9</v>
      </c>
      <c r="I29" s="201" t="s">
        <v>22</v>
      </c>
      <c r="J29" s="115">
        <v>29287</v>
      </c>
      <c r="K29" s="115">
        <v>1141</v>
      </c>
      <c r="L29" s="115"/>
      <c r="M29" s="115">
        <v>1067</v>
      </c>
      <c r="N29" s="115">
        <v>105</v>
      </c>
      <c r="O29" s="115">
        <v>285</v>
      </c>
      <c r="P29" s="115">
        <v>105</v>
      </c>
      <c r="Q29" s="115">
        <v>257</v>
      </c>
      <c r="R29" s="228">
        <v>6737.8</v>
      </c>
      <c r="S29" s="230">
        <v>4168.49</v>
      </c>
      <c r="T29" s="115">
        <f t="shared" si="0"/>
        <v>96</v>
      </c>
      <c r="U29" s="203">
        <f t="shared" si="1"/>
        <v>6142.3</v>
      </c>
      <c r="V29" s="180">
        <f t="shared" si="2"/>
        <v>3846.29</v>
      </c>
      <c r="W29" s="115">
        <v>9</v>
      </c>
      <c r="X29" s="207">
        <v>595.5</v>
      </c>
      <c r="Y29" s="207">
        <v>322.2</v>
      </c>
      <c r="Z29" s="204"/>
      <c r="AA29" s="207"/>
      <c r="AB29" s="207"/>
      <c r="AC29" s="207">
        <f t="shared" si="3"/>
        <v>0</v>
      </c>
      <c r="AD29" s="248">
        <f t="shared" si="4"/>
        <v>0</v>
      </c>
      <c r="AE29" s="275"/>
      <c r="AF29" s="275"/>
      <c r="AG29" s="207"/>
      <c r="AH29" s="207"/>
      <c r="AI29" s="207">
        <f t="shared" si="5"/>
        <v>6737.8</v>
      </c>
      <c r="AJ29" s="170"/>
      <c r="AK29" s="170">
        <v>3</v>
      </c>
      <c r="AL29" s="170">
        <v>3</v>
      </c>
      <c r="AM29" s="170">
        <v>3</v>
      </c>
      <c r="AN29" s="170"/>
      <c r="AO29" s="170">
        <v>3</v>
      </c>
      <c r="AP29" s="170">
        <v>5023</v>
      </c>
      <c r="AQ29" s="170"/>
      <c r="AR29" s="170">
        <v>810</v>
      </c>
      <c r="AS29" s="170">
        <v>368</v>
      </c>
      <c r="AT29" s="170">
        <v>225</v>
      </c>
      <c r="AU29" s="170">
        <f t="shared" si="6"/>
        <v>12750</v>
      </c>
      <c r="AV29" s="170"/>
      <c r="AW29" s="170">
        <v>12750</v>
      </c>
      <c r="AX29" s="170">
        <v>2520</v>
      </c>
      <c r="AY29" s="170">
        <v>322</v>
      </c>
      <c r="AZ29" s="170">
        <v>1067</v>
      </c>
      <c r="BA29" s="170">
        <v>886</v>
      </c>
      <c r="BB29" s="170">
        <v>54</v>
      </c>
      <c r="BC29" s="170">
        <v>63</v>
      </c>
      <c r="BD29" s="170">
        <v>348</v>
      </c>
      <c r="BE29" s="170">
        <v>848</v>
      </c>
      <c r="BF29" s="170">
        <v>1</v>
      </c>
      <c r="BG29" s="170">
        <v>11400</v>
      </c>
      <c r="BH29" s="170">
        <v>4905</v>
      </c>
      <c r="BI29" s="170">
        <v>135</v>
      </c>
      <c r="BJ29" s="115" t="str">
        <f t="shared" si="7"/>
        <v>0</v>
      </c>
      <c r="BK29" s="115" t="str">
        <f t="shared" si="8"/>
        <v>0</v>
      </c>
      <c r="BL29" s="115" t="str">
        <f t="shared" si="9"/>
        <v>0</v>
      </c>
      <c r="BM29" s="115">
        <f t="shared" si="10"/>
        <v>1</v>
      </c>
      <c r="BN29" s="115">
        <f t="shared" si="11"/>
        <v>6737.8</v>
      </c>
      <c r="BO29" s="115">
        <f t="shared" si="12"/>
        <v>4168.49</v>
      </c>
      <c r="BP29" s="115" t="str">
        <f t="shared" si="13"/>
        <v>0</v>
      </c>
      <c r="BQ29" s="115" t="str">
        <f t="shared" si="14"/>
        <v>0</v>
      </c>
      <c r="BR29" s="115" t="str">
        <f t="shared" si="15"/>
        <v>0</v>
      </c>
      <c r="BS29" s="115"/>
      <c r="BT29" s="115">
        <v>3</v>
      </c>
      <c r="BU29" s="115"/>
      <c r="BV29" s="115"/>
      <c r="BW29" s="115"/>
      <c r="BX29" s="115"/>
      <c r="BY29" s="275">
        <v>2171.6</v>
      </c>
      <c r="BZ29" s="253">
        <v>1154.4000000000001</v>
      </c>
      <c r="CA29" s="205">
        <v>1847</v>
      </c>
      <c r="CB29" s="282">
        <f t="shared" si="16"/>
        <v>706</v>
      </c>
      <c r="CC29" s="209" t="str">
        <f t="shared" si="17"/>
        <v>0</v>
      </c>
      <c r="CD29" s="235">
        <f t="shared" si="18"/>
        <v>0</v>
      </c>
      <c r="CE29" s="209">
        <f t="shared" si="19"/>
        <v>1</v>
      </c>
      <c r="CF29" s="235">
        <f t="shared" si="20"/>
        <v>12750</v>
      </c>
      <c r="CG29" s="235">
        <f t="shared" si="21"/>
        <v>1</v>
      </c>
      <c r="CH29" s="235">
        <f t="shared" si="22"/>
        <v>12750</v>
      </c>
      <c r="CI29" s="156">
        <v>55</v>
      </c>
      <c r="CJ29" s="284" t="str">
        <f t="shared" si="23"/>
        <v>0</v>
      </c>
      <c r="CK29" s="284" t="str">
        <f t="shared" si="24"/>
        <v>0</v>
      </c>
      <c r="CL29" s="243">
        <f t="shared" si="25"/>
        <v>8.8381964439431258</v>
      </c>
      <c r="CM29" s="216" t="str">
        <f t="shared" si="26"/>
        <v>0</v>
      </c>
      <c r="CN29" s="216" t="str">
        <f t="shared" si="27"/>
        <v>0</v>
      </c>
      <c r="CO29" s="243">
        <f t="shared" si="28"/>
        <v>8.8381964439431258</v>
      </c>
      <c r="CP29" s="306">
        <v>1</v>
      </c>
      <c r="CQ29" s="306">
        <v>0</v>
      </c>
      <c r="CR29" s="306">
        <v>0</v>
      </c>
      <c r="CS29" s="306">
        <v>0</v>
      </c>
      <c r="CT29" s="306">
        <v>2</v>
      </c>
      <c r="CU29" s="306">
        <v>0</v>
      </c>
      <c r="CV29" s="306">
        <v>0</v>
      </c>
      <c r="CW29" s="306">
        <v>0</v>
      </c>
      <c r="CX29" s="306">
        <v>0</v>
      </c>
      <c r="CY29" s="306">
        <v>105</v>
      </c>
      <c r="CZ29" s="306">
        <f t="shared" si="29"/>
        <v>96</v>
      </c>
      <c r="DA29" s="306">
        <v>9</v>
      </c>
      <c r="DB29" s="306">
        <v>95</v>
      </c>
      <c r="DC29" s="306">
        <v>54</v>
      </c>
      <c r="DD29" s="306">
        <v>67</v>
      </c>
      <c r="DE29" s="306">
        <v>72</v>
      </c>
      <c r="DF29" s="306">
        <v>62</v>
      </c>
      <c r="DG29" s="306">
        <v>57</v>
      </c>
      <c r="DH29" s="306">
        <v>82</v>
      </c>
      <c r="DI29" s="306">
        <v>9</v>
      </c>
      <c r="DJ29" s="306">
        <v>3</v>
      </c>
      <c r="DK29" s="306">
        <v>7</v>
      </c>
      <c r="DL29" s="306">
        <v>4</v>
      </c>
      <c r="DM29" s="306">
        <v>4</v>
      </c>
      <c r="DN29" s="306">
        <v>5</v>
      </c>
      <c r="DO29" s="306">
        <v>6</v>
      </c>
      <c r="DP29" s="306">
        <v>105</v>
      </c>
      <c r="DQ29" s="306">
        <v>105</v>
      </c>
    </row>
    <row r="30" spans="1:121" x14ac:dyDescent="0.2">
      <c r="A30" s="149" t="s">
        <v>197</v>
      </c>
      <c r="B30" s="169">
        <v>24</v>
      </c>
      <c r="C30" s="12" t="s">
        <v>224</v>
      </c>
      <c r="D30" s="200">
        <v>1989</v>
      </c>
      <c r="E30" s="11"/>
      <c r="F30" s="206" t="s">
        <v>24</v>
      </c>
      <c r="G30" s="35">
        <v>1</v>
      </c>
      <c r="H30" s="201">
        <v>9</v>
      </c>
      <c r="I30" s="201" t="s">
        <v>22</v>
      </c>
      <c r="J30" s="115">
        <v>10182</v>
      </c>
      <c r="K30" s="115">
        <v>400</v>
      </c>
      <c r="L30" s="115"/>
      <c r="M30" s="115">
        <v>375</v>
      </c>
      <c r="N30" s="115">
        <v>34</v>
      </c>
      <c r="O30" s="115">
        <v>106</v>
      </c>
      <c r="P30" s="115">
        <v>34</v>
      </c>
      <c r="Q30" s="115">
        <v>85</v>
      </c>
      <c r="R30" s="228">
        <f>2336.5+2.5</f>
        <v>2339</v>
      </c>
      <c r="S30" s="230">
        <v>1496.3</v>
      </c>
      <c r="T30" s="115">
        <f t="shared" si="0"/>
        <v>32</v>
      </c>
      <c r="U30" s="203">
        <f t="shared" si="1"/>
        <v>2234.1999999999998</v>
      </c>
      <c r="V30" s="180">
        <f t="shared" si="2"/>
        <v>1431.32</v>
      </c>
      <c r="W30" s="115">
        <v>2</v>
      </c>
      <c r="X30" s="207">
        <v>104.8</v>
      </c>
      <c r="Y30" s="207">
        <v>64.98</v>
      </c>
      <c r="Z30" s="204"/>
      <c r="AA30" s="207"/>
      <c r="AB30" s="207"/>
      <c r="AC30" s="207">
        <f t="shared" si="3"/>
        <v>100.5</v>
      </c>
      <c r="AD30" s="248">
        <f t="shared" si="4"/>
        <v>0</v>
      </c>
      <c r="AE30" s="275"/>
      <c r="AF30" s="275"/>
      <c r="AG30" s="207">
        <v>100.5</v>
      </c>
      <c r="AH30" s="207"/>
      <c r="AI30" s="207">
        <f t="shared" si="5"/>
        <v>2439.5</v>
      </c>
      <c r="AJ30" s="170"/>
      <c r="AK30" s="170">
        <v>1</v>
      </c>
      <c r="AL30" s="170">
        <v>1</v>
      </c>
      <c r="AM30" s="170">
        <v>1</v>
      </c>
      <c r="AN30" s="170"/>
      <c r="AO30" s="170">
        <v>1</v>
      </c>
      <c r="AP30" s="170">
        <v>1860</v>
      </c>
      <c r="AQ30" s="170"/>
      <c r="AR30" s="170">
        <v>425</v>
      </c>
      <c r="AS30" s="170">
        <v>160</v>
      </c>
      <c r="AT30" s="170">
        <v>75</v>
      </c>
      <c r="AU30" s="170">
        <f t="shared" si="6"/>
        <v>4090</v>
      </c>
      <c r="AV30" s="170"/>
      <c r="AW30" s="170">
        <v>4090</v>
      </c>
      <c r="AX30" s="170">
        <v>840</v>
      </c>
      <c r="AY30" s="170">
        <v>110</v>
      </c>
      <c r="AZ30" s="170">
        <v>375</v>
      </c>
      <c r="BA30" s="170">
        <v>309</v>
      </c>
      <c r="BB30" s="170">
        <v>18</v>
      </c>
      <c r="BC30" s="170">
        <v>21</v>
      </c>
      <c r="BD30" s="170">
        <v>116</v>
      </c>
      <c r="BE30" s="170">
        <v>212</v>
      </c>
      <c r="BF30" s="170">
        <v>1</v>
      </c>
      <c r="BG30" s="170">
        <v>3800</v>
      </c>
      <c r="BH30" s="170">
        <v>1635</v>
      </c>
      <c r="BI30" s="170">
        <v>45</v>
      </c>
      <c r="BJ30" s="115" t="str">
        <f t="shared" si="7"/>
        <v>0</v>
      </c>
      <c r="BK30" s="115" t="str">
        <f t="shared" si="8"/>
        <v>0</v>
      </c>
      <c r="BL30" s="115" t="str">
        <f t="shared" si="9"/>
        <v>0</v>
      </c>
      <c r="BM30" s="115">
        <f t="shared" si="10"/>
        <v>1</v>
      </c>
      <c r="BN30" s="115">
        <f t="shared" si="11"/>
        <v>2339</v>
      </c>
      <c r="BO30" s="115">
        <f t="shared" si="12"/>
        <v>1496.3</v>
      </c>
      <c r="BP30" s="115" t="str">
        <f t="shared" si="13"/>
        <v>0</v>
      </c>
      <c r="BQ30" s="115" t="str">
        <f t="shared" si="14"/>
        <v>0</v>
      </c>
      <c r="BR30" s="115" t="str">
        <f t="shared" si="15"/>
        <v>0</v>
      </c>
      <c r="BS30" s="115"/>
      <c r="BT30" s="115"/>
      <c r="BU30" s="115"/>
      <c r="BV30" s="115"/>
      <c r="BW30" s="115"/>
      <c r="BX30" s="115"/>
      <c r="BY30" s="275">
        <v>762.69999999999993</v>
      </c>
      <c r="BZ30" s="253">
        <v>390.5</v>
      </c>
      <c r="CA30" s="205">
        <v>1041</v>
      </c>
      <c r="CB30" s="282">
        <f t="shared" si="16"/>
        <v>641</v>
      </c>
      <c r="CC30" s="209" t="str">
        <f t="shared" si="17"/>
        <v>0</v>
      </c>
      <c r="CD30" s="235">
        <f t="shared" si="18"/>
        <v>0</v>
      </c>
      <c r="CE30" s="209">
        <f t="shared" si="19"/>
        <v>1</v>
      </c>
      <c r="CF30" s="235">
        <f t="shared" si="20"/>
        <v>4090</v>
      </c>
      <c r="CG30" s="235">
        <f t="shared" si="21"/>
        <v>1</v>
      </c>
      <c r="CH30" s="235">
        <f t="shared" si="22"/>
        <v>4090</v>
      </c>
      <c r="CI30" s="156">
        <v>44</v>
      </c>
      <c r="CJ30" s="284" t="str">
        <f t="shared" si="23"/>
        <v>0</v>
      </c>
      <c r="CK30" s="284" t="str">
        <f t="shared" si="24"/>
        <v>0</v>
      </c>
      <c r="CL30" s="243">
        <f t="shared" si="25"/>
        <v>4.4805472424112871</v>
      </c>
      <c r="CM30" s="216" t="str">
        <f t="shared" si="26"/>
        <v>0</v>
      </c>
      <c r="CN30" s="216" t="str">
        <f t="shared" si="27"/>
        <v>0</v>
      </c>
      <c r="CO30" s="243">
        <f t="shared" si="28"/>
        <v>4.2959622873539658</v>
      </c>
      <c r="CP30" s="306">
        <v>1</v>
      </c>
      <c r="CQ30" s="306">
        <v>0</v>
      </c>
      <c r="CR30" s="306">
        <v>0</v>
      </c>
      <c r="CS30" s="306">
        <v>0</v>
      </c>
      <c r="CT30" s="306">
        <v>2</v>
      </c>
      <c r="CU30" s="306">
        <v>0</v>
      </c>
      <c r="CV30" s="306">
        <v>0</v>
      </c>
      <c r="CW30" s="306">
        <v>0</v>
      </c>
      <c r="CX30" s="306">
        <v>0</v>
      </c>
      <c r="CY30" s="306">
        <v>34</v>
      </c>
      <c r="CZ30" s="306">
        <f t="shared" si="29"/>
        <v>33</v>
      </c>
      <c r="DA30" s="306">
        <v>1</v>
      </c>
      <c r="DB30" s="306">
        <v>27</v>
      </c>
      <c r="DC30" s="306">
        <v>20</v>
      </c>
      <c r="DD30" s="306">
        <v>14</v>
      </c>
      <c r="DE30" s="306">
        <v>20</v>
      </c>
      <c r="DF30" s="306">
        <v>24</v>
      </c>
      <c r="DG30" s="306">
        <v>10</v>
      </c>
      <c r="DH30" s="306">
        <v>24</v>
      </c>
      <c r="DI30" s="306">
        <v>0</v>
      </c>
      <c r="DJ30" s="306">
        <v>0</v>
      </c>
      <c r="DK30" s="306">
        <v>1</v>
      </c>
      <c r="DL30" s="306">
        <v>0</v>
      </c>
      <c r="DM30" s="306">
        <v>0</v>
      </c>
      <c r="DN30" s="306">
        <v>1</v>
      </c>
      <c r="DO30" s="306">
        <v>0</v>
      </c>
      <c r="DP30" s="306">
        <v>34</v>
      </c>
      <c r="DQ30" s="306">
        <v>34</v>
      </c>
    </row>
    <row r="31" spans="1:121" x14ac:dyDescent="0.2">
      <c r="A31" s="326" t="s">
        <v>203</v>
      </c>
      <c r="B31" s="169">
        <v>25</v>
      </c>
      <c r="C31" s="12" t="s">
        <v>225</v>
      </c>
      <c r="D31" s="200">
        <v>1989</v>
      </c>
      <c r="E31" s="11"/>
      <c r="F31" s="206" t="s">
        <v>24</v>
      </c>
      <c r="G31" s="35">
        <v>1</v>
      </c>
      <c r="H31" s="201">
        <v>9</v>
      </c>
      <c r="I31" s="201" t="s">
        <v>22</v>
      </c>
      <c r="J31" s="115">
        <v>10500</v>
      </c>
      <c r="K31" s="115">
        <v>417</v>
      </c>
      <c r="L31" s="115"/>
      <c r="M31" s="115">
        <v>382</v>
      </c>
      <c r="N31" s="115">
        <v>32</v>
      </c>
      <c r="O31" s="115">
        <v>96</v>
      </c>
      <c r="P31" s="115">
        <v>32</v>
      </c>
      <c r="Q31" s="115">
        <v>81</v>
      </c>
      <c r="R31" s="228">
        <v>2147.3000000000002</v>
      </c>
      <c r="S31" s="230">
        <v>1392.8</v>
      </c>
      <c r="T31" s="115">
        <f t="shared" si="0"/>
        <v>19</v>
      </c>
      <c r="U31" s="203">
        <f t="shared" si="1"/>
        <v>1259.2000000000003</v>
      </c>
      <c r="V31" s="180">
        <f t="shared" si="2"/>
        <v>842.17</v>
      </c>
      <c r="W31" s="115">
        <v>13</v>
      </c>
      <c r="X31" s="207">
        <v>888.1</v>
      </c>
      <c r="Y31" s="207">
        <v>550.63</v>
      </c>
      <c r="Z31" s="204"/>
      <c r="AA31" s="207"/>
      <c r="AB31" s="207"/>
      <c r="AC31" s="207">
        <f t="shared" si="3"/>
        <v>0</v>
      </c>
      <c r="AD31" s="248">
        <f t="shared" si="4"/>
        <v>0</v>
      </c>
      <c r="AE31" s="275"/>
      <c r="AF31" s="275"/>
      <c r="AG31" s="207"/>
      <c r="AH31" s="207"/>
      <c r="AI31" s="207">
        <f t="shared" si="5"/>
        <v>2147.3000000000002</v>
      </c>
      <c r="AJ31" s="170"/>
      <c r="AK31" s="170">
        <v>1</v>
      </c>
      <c r="AL31" s="170">
        <v>1</v>
      </c>
      <c r="AM31" s="170">
        <v>1</v>
      </c>
      <c r="AN31" s="170"/>
      <c r="AO31" s="170">
        <v>1</v>
      </c>
      <c r="AP31" s="170">
        <v>1860</v>
      </c>
      <c r="AQ31" s="170"/>
      <c r="AR31" s="170">
        <v>450</v>
      </c>
      <c r="AS31" s="170">
        <v>160</v>
      </c>
      <c r="AT31" s="170">
        <v>75</v>
      </c>
      <c r="AU31" s="170">
        <f t="shared" si="6"/>
        <v>4090</v>
      </c>
      <c r="AV31" s="170"/>
      <c r="AW31" s="170">
        <v>4090</v>
      </c>
      <c r="AX31" s="170">
        <v>840</v>
      </c>
      <c r="AY31" s="170">
        <v>110</v>
      </c>
      <c r="AZ31" s="170">
        <v>382</v>
      </c>
      <c r="BA31" s="170">
        <v>329</v>
      </c>
      <c r="BB31" s="170">
        <v>18</v>
      </c>
      <c r="BC31" s="170">
        <v>21</v>
      </c>
      <c r="BD31" s="170">
        <v>116</v>
      </c>
      <c r="BE31" s="170">
        <v>212</v>
      </c>
      <c r="BF31" s="170">
        <v>1</v>
      </c>
      <c r="BG31" s="170">
        <v>3800</v>
      </c>
      <c r="BH31" s="170">
        <v>1635</v>
      </c>
      <c r="BI31" s="170">
        <v>45</v>
      </c>
      <c r="BJ31" s="115" t="str">
        <f t="shared" si="7"/>
        <v>0</v>
      </c>
      <c r="BK31" s="115" t="str">
        <f t="shared" si="8"/>
        <v>0</v>
      </c>
      <c r="BL31" s="115" t="str">
        <f t="shared" si="9"/>
        <v>0</v>
      </c>
      <c r="BM31" s="115">
        <f t="shared" si="10"/>
        <v>1</v>
      </c>
      <c r="BN31" s="115">
        <f t="shared" si="11"/>
        <v>2147.3000000000002</v>
      </c>
      <c r="BO31" s="115">
        <f t="shared" si="12"/>
        <v>1392.8</v>
      </c>
      <c r="BP31" s="115" t="str">
        <f t="shared" si="13"/>
        <v>0</v>
      </c>
      <c r="BQ31" s="115" t="str">
        <f t="shared" si="14"/>
        <v>0</v>
      </c>
      <c r="BR31" s="115" t="str">
        <f t="shared" si="15"/>
        <v>0</v>
      </c>
      <c r="BS31" s="115"/>
      <c r="BT31" s="115">
        <v>1</v>
      </c>
      <c r="BU31" s="115"/>
      <c r="BV31" s="115"/>
      <c r="BW31" s="115"/>
      <c r="BX31" s="115"/>
      <c r="BY31" s="275">
        <v>738.1</v>
      </c>
      <c r="BZ31" s="253">
        <v>372.3</v>
      </c>
      <c r="CA31" s="205">
        <v>887</v>
      </c>
      <c r="CB31" s="282">
        <f t="shared" si="16"/>
        <v>470</v>
      </c>
      <c r="CC31" s="209" t="str">
        <f t="shared" si="17"/>
        <v>0</v>
      </c>
      <c r="CD31" s="235">
        <f t="shared" si="18"/>
        <v>0</v>
      </c>
      <c r="CE31" s="209">
        <f t="shared" si="19"/>
        <v>1</v>
      </c>
      <c r="CF31" s="235">
        <f t="shared" si="20"/>
        <v>4090</v>
      </c>
      <c r="CG31" s="235">
        <f t="shared" si="21"/>
        <v>1</v>
      </c>
      <c r="CH31" s="235">
        <f t="shared" si="22"/>
        <v>4090</v>
      </c>
      <c r="CI31" s="156">
        <v>54</v>
      </c>
      <c r="CJ31" s="284" t="str">
        <f t="shared" si="23"/>
        <v>0</v>
      </c>
      <c r="CK31" s="284" t="str">
        <f t="shared" si="24"/>
        <v>0</v>
      </c>
      <c r="CL31" s="243">
        <f t="shared" si="25"/>
        <v>41.358915847808873</v>
      </c>
      <c r="CM31" s="216" t="str">
        <f t="shared" si="26"/>
        <v>0</v>
      </c>
      <c r="CN31" s="216" t="str">
        <f t="shared" si="27"/>
        <v>0</v>
      </c>
      <c r="CO31" s="243">
        <f t="shared" si="28"/>
        <v>41.358915847808873</v>
      </c>
      <c r="CP31" s="306">
        <v>1</v>
      </c>
      <c r="CQ31" s="306">
        <v>0</v>
      </c>
      <c r="CR31" s="306">
        <v>0</v>
      </c>
      <c r="CS31" s="306">
        <v>0</v>
      </c>
      <c r="CT31" s="306">
        <v>2</v>
      </c>
      <c r="CU31" s="306">
        <v>0</v>
      </c>
      <c r="CV31" s="306">
        <v>0</v>
      </c>
      <c r="CW31" s="306">
        <v>0</v>
      </c>
      <c r="CX31" s="306">
        <v>0</v>
      </c>
      <c r="CY31" s="306">
        <v>32</v>
      </c>
      <c r="CZ31" s="306">
        <f t="shared" si="29"/>
        <v>19</v>
      </c>
      <c r="DA31" s="306">
        <v>13</v>
      </c>
      <c r="DB31" s="306">
        <v>15</v>
      </c>
      <c r="DC31" s="306">
        <v>12</v>
      </c>
      <c r="DD31" s="306">
        <v>20</v>
      </c>
      <c r="DE31" s="306">
        <v>12</v>
      </c>
      <c r="DF31" s="306">
        <v>14</v>
      </c>
      <c r="DG31" s="306">
        <v>18</v>
      </c>
      <c r="DH31" s="306">
        <v>14</v>
      </c>
      <c r="DI31" s="306">
        <v>5</v>
      </c>
      <c r="DJ31" s="306">
        <v>8</v>
      </c>
      <c r="DK31" s="306">
        <v>5</v>
      </c>
      <c r="DL31" s="306">
        <v>8</v>
      </c>
      <c r="DM31" s="306">
        <v>8</v>
      </c>
      <c r="DN31" s="306">
        <v>5</v>
      </c>
      <c r="DO31" s="306">
        <v>8</v>
      </c>
      <c r="DP31" s="306">
        <v>32</v>
      </c>
      <c r="DQ31" s="306">
        <v>32</v>
      </c>
    </row>
    <row r="32" spans="1:121" x14ac:dyDescent="0.2">
      <c r="A32" s="326" t="s">
        <v>203</v>
      </c>
      <c r="B32" s="169">
        <v>26</v>
      </c>
      <c r="C32" s="12" t="s">
        <v>226</v>
      </c>
      <c r="D32" s="200">
        <v>1952</v>
      </c>
      <c r="E32" s="11"/>
      <c r="F32" s="169" t="s">
        <v>207</v>
      </c>
      <c r="G32" s="35">
        <v>1</v>
      </c>
      <c r="H32" s="201">
        <v>5</v>
      </c>
      <c r="I32" s="201" t="s">
        <v>19</v>
      </c>
      <c r="J32" s="115">
        <v>34583</v>
      </c>
      <c r="K32" s="115">
        <v>1926</v>
      </c>
      <c r="L32" s="157">
        <v>1032</v>
      </c>
      <c r="M32" s="115"/>
      <c r="N32" s="115">
        <f>16+69</f>
        <v>85</v>
      </c>
      <c r="O32" s="115">
        <v>181</v>
      </c>
      <c r="P32" s="115">
        <v>85</v>
      </c>
      <c r="Q32" s="115">
        <v>88</v>
      </c>
      <c r="R32" s="228">
        <f>5810.2-1.5+3</f>
        <v>5811.7</v>
      </c>
      <c r="S32" s="230">
        <v>3182.9</v>
      </c>
      <c r="T32" s="115">
        <f t="shared" si="0"/>
        <v>19</v>
      </c>
      <c r="U32" s="203">
        <f t="shared" si="1"/>
        <v>1458.1999999999998</v>
      </c>
      <c r="V32" s="180">
        <f t="shared" si="2"/>
        <v>483.73</v>
      </c>
      <c r="W32" s="115">
        <v>66</v>
      </c>
      <c r="X32" s="207">
        <v>4353.5</v>
      </c>
      <c r="Y32" s="207">
        <v>2699.17</v>
      </c>
      <c r="Z32" s="204"/>
      <c r="AA32" s="207"/>
      <c r="AB32" s="207"/>
      <c r="AC32" s="207">
        <f t="shared" si="3"/>
        <v>894.2</v>
      </c>
      <c r="AD32" s="248">
        <f t="shared" si="4"/>
        <v>894.2</v>
      </c>
      <c r="AE32" s="275"/>
      <c r="AF32" s="275">
        <f>1212.2-318</f>
        <v>894.2</v>
      </c>
      <c r="AG32" s="207"/>
      <c r="AH32" s="207"/>
      <c r="AI32" s="207">
        <f t="shared" si="5"/>
        <v>6705.9</v>
      </c>
      <c r="AJ32" s="170"/>
      <c r="AK32" s="170"/>
      <c r="AL32" s="170">
        <v>5</v>
      </c>
      <c r="AM32" s="170"/>
      <c r="AN32" s="170"/>
      <c r="AO32" s="170">
        <v>2</v>
      </c>
      <c r="AP32" s="170">
        <v>3069</v>
      </c>
      <c r="AQ32" s="170">
        <v>147.75</v>
      </c>
      <c r="AR32" s="170">
        <v>315</v>
      </c>
      <c r="AS32" s="170">
        <v>356</v>
      </c>
      <c r="AT32" s="170">
        <v>75</v>
      </c>
      <c r="AU32" s="170">
        <f t="shared" si="6"/>
        <v>4215</v>
      </c>
      <c r="AV32" s="170"/>
      <c r="AW32" s="170">
        <v>4215</v>
      </c>
      <c r="AX32" s="170"/>
      <c r="AY32" s="170">
        <v>196</v>
      </c>
      <c r="AZ32" s="170">
        <v>1908</v>
      </c>
      <c r="BA32" s="170">
        <v>1908</v>
      </c>
      <c r="BB32" s="170">
        <v>15</v>
      </c>
      <c r="BC32" s="170">
        <v>13</v>
      </c>
      <c r="BD32" s="170">
        <v>294</v>
      </c>
      <c r="BE32" s="170">
        <v>485</v>
      </c>
      <c r="BF32" s="170"/>
      <c r="BG32" s="170">
        <v>4638</v>
      </c>
      <c r="BH32" s="170">
        <v>133</v>
      </c>
      <c r="BI32" s="170"/>
      <c r="BJ32" s="115">
        <f t="shared" si="7"/>
        <v>1</v>
      </c>
      <c r="BK32" s="115">
        <f t="shared" si="8"/>
        <v>5811.7</v>
      </c>
      <c r="BL32" s="115">
        <f t="shared" si="9"/>
        <v>3182.9</v>
      </c>
      <c r="BM32" s="115" t="str">
        <f t="shared" si="10"/>
        <v>0</v>
      </c>
      <c r="BN32" s="115" t="str">
        <f t="shared" si="11"/>
        <v>0</v>
      </c>
      <c r="BO32" s="115" t="str">
        <f t="shared" si="12"/>
        <v>0</v>
      </c>
      <c r="BP32" s="115" t="str">
        <f t="shared" si="13"/>
        <v>0</v>
      </c>
      <c r="BQ32" s="115" t="str">
        <f t="shared" si="14"/>
        <v>0</v>
      </c>
      <c r="BR32" s="115" t="str">
        <f t="shared" si="15"/>
        <v>0</v>
      </c>
      <c r="BS32" s="115"/>
      <c r="BT32" s="115">
        <v>1</v>
      </c>
      <c r="BU32" s="115">
        <f>BA32</f>
        <v>1908</v>
      </c>
      <c r="BV32" s="115">
        <v>1952</v>
      </c>
      <c r="BW32" s="115"/>
      <c r="BX32" s="115">
        <f>AP32</f>
        <v>3069</v>
      </c>
      <c r="BY32" s="275">
        <v>2770.2</v>
      </c>
      <c r="BZ32" s="253">
        <v>733.8</v>
      </c>
      <c r="CA32" s="205">
        <v>5020</v>
      </c>
      <c r="CB32" s="282">
        <f t="shared" si="16"/>
        <v>3094</v>
      </c>
      <c r="CC32" s="209" t="str">
        <f t="shared" si="17"/>
        <v>0</v>
      </c>
      <c r="CD32" s="235">
        <f t="shared" si="18"/>
        <v>0</v>
      </c>
      <c r="CE32" s="209">
        <f t="shared" si="19"/>
        <v>1</v>
      </c>
      <c r="CF32" s="235">
        <f t="shared" si="20"/>
        <v>4215</v>
      </c>
      <c r="CG32" s="235">
        <f t="shared" si="21"/>
        <v>1</v>
      </c>
      <c r="CH32" s="235">
        <f t="shared" si="22"/>
        <v>4215</v>
      </c>
      <c r="CI32" s="156">
        <v>23</v>
      </c>
      <c r="CJ32" s="284">
        <f t="shared" si="23"/>
        <v>1</v>
      </c>
      <c r="CK32" s="310">
        <f t="shared" si="24"/>
        <v>5811.7</v>
      </c>
      <c r="CL32" s="243">
        <f t="shared" si="25"/>
        <v>74.909234819416</v>
      </c>
      <c r="CM32" s="216">
        <f t="shared" si="26"/>
        <v>1</v>
      </c>
      <c r="CN32" s="216">
        <f t="shared" si="27"/>
        <v>6705.9</v>
      </c>
      <c r="CO32" s="243">
        <f t="shared" si="28"/>
        <v>78.254969504466217</v>
      </c>
      <c r="CP32" s="306">
        <v>1</v>
      </c>
      <c r="CQ32" s="306">
        <v>0</v>
      </c>
      <c r="CR32" s="306">
        <v>0</v>
      </c>
      <c r="CS32" s="306">
        <v>0</v>
      </c>
      <c r="CT32" s="306">
        <v>1</v>
      </c>
      <c r="CU32" s="306">
        <v>0</v>
      </c>
      <c r="CV32" s="306">
        <v>0</v>
      </c>
      <c r="CW32" s="306">
        <v>0</v>
      </c>
      <c r="CX32" s="306">
        <v>0</v>
      </c>
      <c r="CY32" s="306">
        <v>16</v>
      </c>
      <c r="CZ32" s="306">
        <f t="shared" si="29"/>
        <v>14</v>
      </c>
      <c r="DA32" s="306">
        <v>2</v>
      </c>
      <c r="DB32" s="306">
        <v>8</v>
      </c>
      <c r="DC32" s="306">
        <v>7</v>
      </c>
      <c r="DD32" s="306">
        <v>9</v>
      </c>
      <c r="DE32" s="306">
        <v>7</v>
      </c>
      <c r="DF32" s="306">
        <v>7</v>
      </c>
      <c r="DG32" s="306">
        <v>9</v>
      </c>
      <c r="DH32" s="306">
        <v>9</v>
      </c>
      <c r="DI32" s="306">
        <v>0</v>
      </c>
      <c r="DJ32" s="306">
        <v>0</v>
      </c>
      <c r="DK32" s="306">
        <v>1</v>
      </c>
      <c r="DL32" s="306">
        <v>0</v>
      </c>
      <c r="DM32" s="306">
        <v>0</v>
      </c>
      <c r="DN32" s="306">
        <v>1</v>
      </c>
      <c r="DO32" s="306">
        <v>0</v>
      </c>
      <c r="DP32" s="306">
        <v>16</v>
      </c>
      <c r="DQ32" s="306">
        <f>16</f>
        <v>16</v>
      </c>
    </row>
    <row r="33" spans="1:126" x14ac:dyDescent="0.2">
      <c r="A33" s="326" t="s">
        <v>203</v>
      </c>
      <c r="B33" s="169">
        <v>27</v>
      </c>
      <c r="C33" s="12" t="s">
        <v>230</v>
      </c>
      <c r="D33" s="200">
        <v>1988</v>
      </c>
      <c r="E33" s="11"/>
      <c r="F33" s="169" t="s">
        <v>21</v>
      </c>
      <c r="G33" s="35">
        <v>1</v>
      </c>
      <c r="H33" s="201">
        <v>9</v>
      </c>
      <c r="I33" s="201" t="s">
        <v>19</v>
      </c>
      <c r="J33" s="115">
        <v>41865</v>
      </c>
      <c r="K33" s="115">
        <v>2499</v>
      </c>
      <c r="L33" s="157"/>
      <c r="M33" s="115">
        <v>1348</v>
      </c>
      <c r="N33" s="115">
        <v>118</v>
      </c>
      <c r="O33" s="115">
        <v>262</v>
      </c>
      <c r="P33" s="115">
        <v>118</v>
      </c>
      <c r="Q33" s="115">
        <v>237</v>
      </c>
      <c r="R33" s="228">
        <f>6381.8+1.8+1</f>
        <v>6384.6</v>
      </c>
      <c r="S33" s="230">
        <v>3634.8</v>
      </c>
      <c r="T33" s="115">
        <f t="shared" si="0"/>
        <v>115</v>
      </c>
      <c r="U33" s="203">
        <f t="shared" si="1"/>
        <v>6216.7000000000007</v>
      </c>
      <c r="V33" s="180">
        <f t="shared" si="2"/>
        <v>3533.09</v>
      </c>
      <c r="W33" s="115">
        <v>3</v>
      </c>
      <c r="X33" s="207">
        <v>167.9</v>
      </c>
      <c r="Y33" s="207">
        <v>101.71</v>
      </c>
      <c r="Z33" s="204"/>
      <c r="AA33" s="207"/>
      <c r="AB33" s="207"/>
      <c r="AC33" s="207">
        <f t="shared" si="3"/>
        <v>1543.1000000000001</v>
      </c>
      <c r="AD33" s="248">
        <f t="shared" si="4"/>
        <v>127.4</v>
      </c>
      <c r="AE33" s="275"/>
      <c r="AF33" s="248">
        <f>127.4</f>
        <v>127.4</v>
      </c>
      <c r="AG33" s="207">
        <v>1415.7</v>
      </c>
      <c r="AH33" s="207"/>
      <c r="AI33" s="207">
        <f t="shared" si="5"/>
        <v>7927.7000000000007</v>
      </c>
      <c r="AJ33" s="170"/>
      <c r="AK33" s="170">
        <v>4</v>
      </c>
      <c r="AL33" s="170">
        <v>4</v>
      </c>
      <c r="AM33" s="170">
        <v>4</v>
      </c>
      <c r="AN33" s="170"/>
      <c r="AO33" s="170">
        <v>4</v>
      </c>
      <c r="AP33" s="170">
        <v>7548</v>
      </c>
      <c r="AQ33" s="170"/>
      <c r="AR33" s="170">
        <v>325</v>
      </c>
      <c r="AS33" s="170">
        <v>574</v>
      </c>
      <c r="AT33" s="170">
        <v>160</v>
      </c>
      <c r="AU33" s="170">
        <f t="shared" si="6"/>
        <v>16340</v>
      </c>
      <c r="AV33" s="170"/>
      <c r="AW33" s="170">
        <v>16340</v>
      </c>
      <c r="AX33" s="170"/>
      <c r="AY33" s="170">
        <v>495</v>
      </c>
      <c r="AZ33" s="170">
        <v>2234</v>
      </c>
      <c r="BA33" s="170">
        <v>1361</v>
      </c>
      <c r="BB33" s="170">
        <v>20</v>
      </c>
      <c r="BC33" s="170">
        <v>12</v>
      </c>
      <c r="BD33" s="170">
        <v>392</v>
      </c>
      <c r="BE33" s="170">
        <v>700</v>
      </c>
      <c r="BF33" s="170">
        <v>1</v>
      </c>
      <c r="BG33" s="170">
        <v>22800</v>
      </c>
      <c r="BH33" s="170">
        <v>6540</v>
      </c>
      <c r="BI33" s="170">
        <v>180</v>
      </c>
      <c r="BJ33" s="115">
        <f t="shared" si="7"/>
        <v>1</v>
      </c>
      <c r="BK33" s="115">
        <f t="shared" si="8"/>
        <v>6384.6</v>
      </c>
      <c r="BL33" s="115">
        <f t="shared" si="9"/>
        <v>3634.8</v>
      </c>
      <c r="BM33" s="115" t="str">
        <f t="shared" si="10"/>
        <v>0</v>
      </c>
      <c r="BN33" s="115" t="str">
        <f t="shared" si="11"/>
        <v>0</v>
      </c>
      <c r="BO33" s="115" t="str">
        <f t="shared" si="12"/>
        <v>0</v>
      </c>
      <c r="BP33" s="115" t="str">
        <f t="shared" si="13"/>
        <v>0</v>
      </c>
      <c r="BQ33" s="115" t="str">
        <f t="shared" si="14"/>
        <v>0</v>
      </c>
      <c r="BR33" s="115" t="str">
        <f t="shared" si="15"/>
        <v>0</v>
      </c>
      <c r="BS33" s="115"/>
      <c r="BT33" s="115">
        <v>2</v>
      </c>
      <c r="BU33" s="115">
        <f>BA33</f>
        <v>1361</v>
      </c>
      <c r="BV33" s="115">
        <v>6574</v>
      </c>
      <c r="BW33" s="115"/>
      <c r="BX33" s="115">
        <f>AP33</f>
        <v>7548</v>
      </c>
      <c r="BY33" s="275">
        <v>3082.1</v>
      </c>
      <c r="BZ33" s="307">
        <v>1571.3</v>
      </c>
      <c r="CA33" s="205">
        <f>1682+3794</f>
        <v>5476</v>
      </c>
      <c r="CB33" s="282">
        <f t="shared" si="16"/>
        <v>2977</v>
      </c>
      <c r="CC33" s="209" t="str">
        <f t="shared" si="17"/>
        <v>0</v>
      </c>
      <c r="CD33" s="235">
        <f t="shared" si="18"/>
        <v>0</v>
      </c>
      <c r="CE33" s="209">
        <f t="shared" si="19"/>
        <v>1</v>
      </c>
      <c r="CF33" s="235">
        <f t="shared" si="20"/>
        <v>16340</v>
      </c>
      <c r="CG33" s="235">
        <f t="shared" si="21"/>
        <v>1</v>
      </c>
      <c r="CH33" s="235">
        <f t="shared" si="22"/>
        <v>16340</v>
      </c>
      <c r="CI33" s="156">
        <v>74</v>
      </c>
      <c r="CJ33" s="284" t="str">
        <f t="shared" si="23"/>
        <v>0</v>
      </c>
      <c r="CK33" s="284" t="str">
        <f t="shared" si="24"/>
        <v>0</v>
      </c>
      <c r="CL33" s="243">
        <f t="shared" si="25"/>
        <v>2.6297653729286092</v>
      </c>
      <c r="CM33" s="216" t="str">
        <f t="shared" si="26"/>
        <v>0</v>
      </c>
      <c r="CN33" s="216" t="str">
        <f t="shared" si="27"/>
        <v>0</v>
      </c>
      <c r="CO33" s="243">
        <f t="shared" si="28"/>
        <v>3.7249139094567147</v>
      </c>
      <c r="CP33" s="306">
        <v>1</v>
      </c>
      <c r="CQ33" s="306">
        <v>0</v>
      </c>
      <c r="CR33" s="306">
        <v>0</v>
      </c>
      <c r="CS33" s="306">
        <v>0</v>
      </c>
      <c r="CT33" s="306">
        <v>2</v>
      </c>
      <c r="CU33" s="306">
        <v>0</v>
      </c>
      <c r="CV33" s="306">
        <v>0</v>
      </c>
      <c r="CW33" s="306">
        <v>0</v>
      </c>
      <c r="CX33" s="306">
        <v>0</v>
      </c>
      <c r="CY33" s="306">
        <v>118</v>
      </c>
      <c r="CZ33" s="306">
        <f t="shared" si="29"/>
        <v>114</v>
      </c>
      <c r="DA33" s="306">
        <v>4</v>
      </c>
      <c r="DB33" s="306">
        <v>113</v>
      </c>
      <c r="DC33" s="306">
        <v>64</v>
      </c>
      <c r="DD33" s="306">
        <v>85</v>
      </c>
      <c r="DE33" s="306">
        <v>97</v>
      </c>
      <c r="DF33" s="306">
        <v>71</v>
      </c>
      <c r="DG33" s="306">
        <v>71</v>
      </c>
      <c r="DH33" s="306">
        <v>111</v>
      </c>
      <c r="DI33" s="306">
        <v>4</v>
      </c>
      <c r="DJ33" s="306">
        <v>1</v>
      </c>
      <c r="DK33" s="306">
        <v>3</v>
      </c>
      <c r="DL33" s="306">
        <v>1</v>
      </c>
      <c r="DM33" s="306">
        <v>1</v>
      </c>
      <c r="DN33" s="306">
        <v>3</v>
      </c>
      <c r="DO33" s="306">
        <v>1</v>
      </c>
      <c r="DP33" s="306">
        <v>118</v>
      </c>
      <c r="DQ33" s="306">
        <v>118</v>
      </c>
    </row>
    <row r="34" spans="1:126" x14ac:dyDescent="0.2">
      <c r="A34" s="149" t="s">
        <v>197</v>
      </c>
      <c r="B34" s="169">
        <v>28</v>
      </c>
      <c r="C34" s="12" t="s">
        <v>231</v>
      </c>
      <c r="D34" s="200">
        <v>1952</v>
      </c>
      <c r="E34" s="11"/>
      <c r="F34" s="169" t="s">
        <v>207</v>
      </c>
      <c r="G34" s="35">
        <v>1</v>
      </c>
      <c r="H34" s="201">
        <v>5</v>
      </c>
      <c r="I34" s="201" t="s">
        <v>19</v>
      </c>
      <c r="J34" s="115">
        <v>12796</v>
      </c>
      <c r="K34" s="115">
        <v>903</v>
      </c>
      <c r="L34" s="157">
        <v>769</v>
      </c>
      <c r="M34" s="115"/>
      <c r="N34" s="115">
        <v>31</v>
      </c>
      <c r="O34" s="115">
        <v>56</v>
      </c>
      <c r="P34" s="115">
        <v>31</v>
      </c>
      <c r="Q34" s="115">
        <v>40</v>
      </c>
      <c r="R34" s="228">
        <f>2021.1+18.2</f>
        <v>2039.3</v>
      </c>
      <c r="S34" s="230">
        <v>1037.0999999999999</v>
      </c>
      <c r="T34" s="115">
        <f t="shared" si="0"/>
        <v>31</v>
      </c>
      <c r="U34" s="203">
        <f t="shared" si="1"/>
        <v>2039.3</v>
      </c>
      <c r="V34" s="180">
        <f t="shared" si="2"/>
        <v>1037.0999999999999</v>
      </c>
      <c r="W34" s="115">
        <v>0</v>
      </c>
      <c r="X34" s="207">
        <v>0</v>
      </c>
      <c r="Y34" s="207">
        <v>0</v>
      </c>
      <c r="Z34" s="204"/>
      <c r="AA34" s="207"/>
      <c r="AB34" s="207"/>
      <c r="AC34" s="207">
        <f t="shared" si="3"/>
        <v>632.6</v>
      </c>
      <c r="AD34" s="248">
        <f t="shared" si="4"/>
        <v>0</v>
      </c>
      <c r="AE34" s="275"/>
      <c r="AF34" s="248"/>
      <c r="AG34" s="275">
        <v>632.6</v>
      </c>
      <c r="AH34" s="275"/>
      <c r="AI34" s="207">
        <f t="shared" si="5"/>
        <v>2671.9</v>
      </c>
      <c r="AJ34" s="170"/>
      <c r="AK34" s="170"/>
      <c r="AL34" s="170">
        <v>2</v>
      </c>
      <c r="AM34" s="170">
        <v>2</v>
      </c>
      <c r="AN34" s="170"/>
      <c r="AO34" s="170">
        <v>1</v>
      </c>
      <c r="AP34" s="170">
        <v>1907</v>
      </c>
      <c r="AQ34" s="170">
        <v>65.375</v>
      </c>
      <c r="AR34" s="170">
        <v>390</v>
      </c>
      <c r="AS34" s="170">
        <v>324</v>
      </c>
      <c r="AT34" s="170">
        <v>30</v>
      </c>
      <c r="AU34" s="170">
        <f t="shared" si="6"/>
        <v>1746</v>
      </c>
      <c r="AV34" s="170">
        <v>1746</v>
      </c>
      <c r="AW34" s="170"/>
      <c r="AX34" s="170"/>
      <c r="AY34" s="170">
        <v>54</v>
      </c>
      <c r="AZ34" s="170">
        <v>726</v>
      </c>
      <c r="BA34" s="170">
        <v>726</v>
      </c>
      <c r="BB34" s="170">
        <v>8</v>
      </c>
      <c r="BC34" s="170">
        <v>4</v>
      </c>
      <c r="BD34" s="170">
        <v>120</v>
      </c>
      <c r="BE34" s="170">
        <v>192</v>
      </c>
      <c r="BF34" s="170">
        <v>1</v>
      </c>
      <c r="BG34" s="170">
        <v>2029</v>
      </c>
      <c r="BH34" s="170">
        <v>76</v>
      </c>
      <c r="BI34" s="170"/>
      <c r="BJ34" s="115">
        <f t="shared" si="7"/>
        <v>1</v>
      </c>
      <c r="BK34" s="115">
        <f t="shared" si="8"/>
        <v>2039.3</v>
      </c>
      <c r="BL34" s="115">
        <f t="shared" si="9"/>
        <v>1037.0999999999999</v>
      </c>
      <c r="BM34" s="115" t="str">
        <f t="shared" si="10"/>
        <v>0</v>
      </c>
      <c r="BN34" s="115" t="str">
        <f t="shared" si="11"/>
        <v>0</v>
      </c>
      <c r="BO34" s="115" t="str">
        <f t="shared" si="12"/>
        <v>0</v>
      </c>
      <c r="BP34" s="115" t="str">
        <f t="shared" si="13"/>
        <v>0</v>
      </c>
      <c r="BQ34" s="115" t="str">
        <f t="shared" si="14"/>
        <v>0</v>
      </c>
      <c r="BR34" s="115" t="str">
        <f t="shared" si="15"/>
        <v>0</v>
      </c>
      <c r="BS34" s="115"/>
      <c r="BT34" s="115"/>
      <c r="BU34" s="115"/>
      <c r="BV34" s="115"/>
      <c r="BW34" s="115"/>
      <c r="BX34" s="115">
        <f>AP34</f>
        <v>1907</v>
      </c>
      <c r="BY34" s="275">
        <v>962.2</v>
      </c>
      <c r="BZ34" s="253">
        <v>214.8</v>
      </c>
      <c r="CA34" s="205">
        <v>1922</v>
      </c>
      <c r="CB34" s="282">
        <f t="shared" si="16"/>
        <v>1019</v>
      </c>
      <c r="CC34" s="209">
        <f t="shared" si="17"/>
        <v>1</v>
      </c>
      <c r="CD34" s="235">
        <f t="shared" si="18"/>
        <v>1746</v>
      </c>
      <c r="CE34" s="209" t="str">
        <f t="shared" si="19"/>
        <v>0</v>
      </c>
      <c r="CF34" s="235">
        <f t="shared" si="20"/>
        <v>0</v>
      </c>
      <c r="CG34" s="235">
        <f t="shared" si="21"/>
        <v>1</v>
      </c>
      <c r="CH34" s="235">
        <f t="shared" si="22"/>
        <v>1746</v>
      </c>
      <c r="CI34" s="156">
        <v>51</v>
      </c>
      <c r="CJ34" s="284" t="str">
        <f t="shared" si="23"/>
        <v>0</v>
      </c>
      <c r="CK34" s="284" t="str">
        <f t="shared" si="24"/>
        <v>0</v>
      </c>
      <c r="CL34" s="243">
        <f t="shared" si="25"/>
        <v>0</v>
      </c>
      <c r="CM34" s="216" t="str">
        <f t="shared" si="26"/>
        <v>0</v>
      </c>
      <c r="CN34" s="216" t="str">
        <f t="shared" si="27"/>
        <v>0</v>
      </c>
      <c r="CO34" s="243">
        <f t="shared" si="28"/>
        <v>0</v>
      </c>
      <c r="CP34" s="306">
        <v>1</v>
      </c>
      <c r="CQ34" s="306">
        <v>0</v>
      </c>
      <c r="CR34" s="306">
        <v>0</v>
      </c>
      <c r="CS34" s="306">
        <v>0</v>
      </c>
      <c r="CT34" s="306">
        <v>1</v>
      </c>
      <c r="CU34" s="306">
        <v>0</v>
      </c>
      <c r="CV34" s="306">
        <v>0</v>
      </c>
      <c r="CW34" s="306">
        <v>0</v>
      </c>
      <c r="CX34" s="306">
        <v>0</v>
      </c>
      <c r="CY34" s="306">
        <v>31</v>
      </c>
      <c r="CZ34" s="306">
        <f t="shared" si="29"/>
        <v>30</v>
      </c>
      <c r="DA34" s="306">
        <v>1</v>
      </c>
      <c r="DB34" s="306">
        <v>30</v>
      </c>
      <c r="DC34" s="306">
        <v>3</v>
      </c>
      <c r="DD34" s="306">
        <v>29</v>
      </c>
      <c r="DE34" s="306">
        <v>3</v>
      </c>
      <c r="DF34" s="306">
        <v>4</v>
      </c>
      <c r="DG34" s="306">
        <v>28</v>
      </c>
      <c r="DH34" s="306">
        <v>4</v>
      </c>
      <c r="DI34" s="306">
        <v>1</v>
      </c>
      <c r="DJ34" s="306">
        <v>0</v>
      </c>
      <c r="DK34" s="306">
        <v>0</v>
      </c>
      <c r="DL34" s="306">
        <v>0</v>
      </c>
      <c r="DM34" s="306">
        <v>0</v>
      </c>
      <c r="DN34" s="306">
        <v>0</v>
      </c>
      <c r="DO34" s="306">
        <v>0</v>
      </c>
      <c r="DP34" s="306">
        <v>31</v>
      </c>
      <c r="DQ34" s="306">
        <f>31-3</f>
        <v>28</v>
      </c>
    </row>
    <row r="35" spans="1:126" x14ac:dyDescent="0.2">
      <c r="A35" s="326" t="s">
        <v>203</v>
      </c>
      <c r="B35" s="169">
        <v>29</v>
      </c>
      <c r="C35" s="12" t="s">
        <v>232</v>
      </c>
      <c r="D35" s="200">
        <v>1993</v>
      </c>
      <c r="E35" s="11"/>
      <c r="F35" s="169" t="s">
        <v>149</v>
      </c>
      <c r="G35" s="35">
        <v>1</v>
      </c>
      <c r="H35" s="201">
        <v>12</v>
      </c>
      <c r="I35" s="201" t="s">
        <v>19</v>
      </c>
      <c r="J35" s="115">
        <v>27258</v>
      </c>
      <c r="K35" s="115">
        <v>1329</v>
      </c>
      <c r="L35" s="157"/>
      <c r="M35" s="115">
        <v>528</v>
      </c>
      <c r="N35" s="115">
        <v>55</v>
      </c>
      <c r="O35" s="115">
        <v>121</v>
      </c>
      <c r="P35" s="115">
        <v>55</v>
      </c>
      <c r="Q35" s="115">
        <v>107</v>
      </c>
      <c r="R35" s="228">
        <f>3213.3+0.1</f>
        <v>3213.4</v>
      </c>
      <c r="S35" s="230">
        <v>1782.4</v>
      </c>
      <c r="T35" s="115">
        <f t="shared" si="0"/>
        <v>53</v>
      </c>
      <c r="U35" s="203">
        <f t="shared" si="1"/>
        <v>3105.9</v>
      </c>
      <c r="V35" s="180">
        <f t="shared" si="2"/>
        <v>1715.75</v>
      </c>
      <c r="W35" s="115">
        <v>2</v>
      </c>
      <c r="X35" s="207">
        <v>107.5</v>
      </c>
      <c r="Y35" s="207">
        <v>66.650000000000006</v>
      </c>
      <c r="Z35" s="204"/>
      <c r="AA35" s="207"/>
      <c r="AB35" s="207"/>
      <c r="AC35" s="207">
        <f t="shared" si="3"/>
        <v>1043.4000000000001</v>
      </c>
      <c r="AD35" s="248">
        <f t="shared" si="4"/>
        <v>493.9</v>
      </c>
      <c r="AE35" s="275"/>
      <c r="AF35" s="248">
        <v>493.9</v>
      </c>
      <c r="AG35" s="207">
        <v>549.5</v>
      </c>
      <c r="AH35" s="207"/>
      <c r="AI35" s="207">
        <f t="shared" si="5"/>
        <v>4256.8</v>
      </c>
      <c r="AJ35" s="170"/>
      <c r="AK35" s="170">
        <v>2</v>
      </c>
      <c r="AL35" s="170">
        <v>1</v>
      </c>
      <c r="AM35" s="170">
        <v>1</v>
      </c>
      <c r="AN35" s="170"/>
      <c r="AO35" s="170">
        <v>1</v>
      </c>
      <c r="AP35" s="170">
        <v>3300</v>
      </c>
      <c r="AQ35" s="170">
        <v>15.25</v>
      </c>
      <c r="AR35" s="170">
        <v>930</v>
      </c>
      <c r="AS35" s="170">
        <v>224</v>
      </c>
      <c r="AT35" s="170">
        <v>39</v>
      </c>
      <c r="AU35" s="170">
        <f t="shared" si="6"/>
        <v>4390</v>
      </c>
      <c r="AV35" s="170"/>
      <c r="AW35" s="170">
        <v>4390</v>
      </c>
      <c r="AX35" s="170"/>
      <c r="AY35" s="170">
        <v>278</v>
      </c>
      <c r="AZ35" s="170">
        <v>1329</v>
      </c>
      <c r="BA35" s="170">
        <v>552</v>
      </c>
      <c r="BB35" s="170">
        <v>12</v>
      </c>
      <c r="BC35" s="170">
        <v>86</v>
      </c>
      <c r="BD35" s="170">
        <v>187</v>
      </c>
      <c r="BE35" s="170">
        <v>341</v>
      </c>
      <c r="BF35" s="170">
        <v>1</v>
      </c>
      <c r="BG35" s="170">
        <v>7600</v>
      </c>
      <c r="BH35" s="170">
        <v>3270</v>
      </c>
      <c r="BI35" s="170">
        <v>120</v>
      </c>
      <c r="BJ35" s="115">
        <f t="shared" si="7"/>
        <v>1</v>
      </c>
      <c r="BK35" s="115">
        <f t="shared" si="8"/>
        <v>3213.4</v>
      </c>
      <c r="BL35" s="115">
        <f t="shared" si="9"/>
        <v>1782.4</v>
      </c>
      <c r="BM35" s="115" t="str">
        <f t="shared" si="10"/>
        <v>0</v>
      </c>
      <c r="BN35" s="115" t="str">
        <f t="shared" si="11"/>
        <v>0</v>
      </c>
      <c r="BO35" s="115" t="str">
        <f t="shared" si="12"/>
        <v>0</v>
      </c>
      <c r="BP35" s="115" t="str">
        <f t="shared" si="13"/>
        <v>0</v>
      </c>
      <c r="BQ35" s="115" t="str">
        <f t="shared" si="14"/>
        <v>0</v>
      </c>
      <c r="BR35" s="115" t="str">
        <f t="shared" si="15"/>
        <v>0</v>
      </c>
      <c r="BS35" s="115"/>
      <c r="BT35" s="115">
        <v>1</v>
      </c>
      <c r="BU35" s="115">
        <f>BA35</f>
        <v>552</v>
      </c>
      <c r="BV35" s="115">
        <v>3668</v>
      </c>
      <c r="BW35" s="115"/>
      <c r="BX35" s="115">
        <f>AP35</f>
        <v>3300</v>
      </c>
      <c r="BY35" s="275">
        <v>1840.4</v>
      </c>
      <c r="BZ35" s="253">
        <v>1160</v>
      </c>
      <c r="CA35" s="205">
        <v>2228</v>
      </c>
      <c r="CB35" s="282">
        <f t="shared" si="16"/>
        <v>899</v>
      </c>
      <c r="CC35" s="209" t="str">
        <f t="shared" si="17"/>
        <v>0</v>
      </c>
      <c r="CD35" s="235">
        <f t="shared" si="18"/>
        <v>0</v>
      </c>
      <c r="CE35" s="209">
        <f t="shared" si="19"/>
        <v>1</v>
      </c>
      <c r="CF35" s="235">
        <f t="shared" si="20"/>
        <v>4390</v>
      </c>
      <c r="CG35" s="235">
        <f t="shared" si="21"/>
        <v>1</v>
      </c>
      <c r="CH35" s="235">
        <f t="shared" si="22"/>
        <v>4390</v>
      </c>
      <c r="CI35" s="156">
        <v>67</v>
      </c>
      <c r="CJ35" s="284" t="str">
        <f t="shared" si="23"/>
        <v>0</v>
      </c>
      <c r="CK35" s="284" t="str">
        <f t="shared" si="24"/>
        <v>0</v>
      </c>
      <c r="CL35" s="243">
        <f t="shared" si="25"/>
        <v>3.3453662787079104</v>
      </c>
      <c r="CM35" s="216" t="str">
        <f t="shared" si="26"/>
        <v>0</v>
      </c>
      <c r="CN35" s="216" t="str">
        <f t="shared" si="27"/>
        <v>0</v>
      </c>
      <c r="CO35" s="243">
        <f t="shared" si="28"/>
        <v>14.127983461755308</v>
      </c>
      <c r="CP35" s="306">
        <v>1</v>
      </c>
      <c r="CQ35" s="306">
        <v>0</v>
      </c>
      <c r="CR35" s="306">
        <v>0</v>
      </c>
      <c r="CS35" s="306">
        <v>0</v>
      </c>
      <c r="CT35" s="306">
        <v>2</v>
      </c>
      <c r="CU35" s="306">
        <v>0</v>
      </c>
      <c r="CV35" s="306">
        <v>0</v>
      </c>
      <c r="CW35" s="306">
        <v>0</v>
      </c>
      <c r="CX35" s="306">
        <v>0</v>
      </c>
      <c r="CY35" s="306">
        <v>55</v>
      </c>
      <c r="CZ35" s="306">
        <f t="shared" si="29"/>
        <v>50</v>
      </c>
      <c r="DA35" s="306">
        <v>5</v>
      </c>
      <c r="DB35" s="306">
        <v>49</v>
      </c>
      <c r="DC35" s="306">
        <v>31</v>
      </c>
      <c r="DD35" s="306">
        <v>29</v>
      </c>
      <c r="DE35" s="306">
        <v>37</v>
      </c>
      <c r="DF35" s="306">
        <v>33</v>
      </c>
      <c r="DG35" s="306">
        <v>26</v>
      </c>
      <c r="DH35" s="306">
        <v>40</v>
      </c>
      <c r="DI35" s="306">
        <v>5</v>
      </c>
      <c r="DJ35" s="306">
        <v>0</v>
      </c>
      <c r="DK35" s="306">
        <v>4</v>
      </c>
      <c r="DL35" s="306">
        <v>0</v>
      </c>
      <c r="DM35" s="306">
        <v>0</v>
      </c>
      <c r="DN35" s="306">
        <v>4</v>
      </c>
      <c r="DO35" s="306">
        <v>0</v>
      </c>
      <c r="DP35" s="306">
        <v>55</v>
      </c>
      <c r="DQ35" s="306">
        <v>55</v>
      </c>
    </row>
    <row r="36" spans="1:126" x14ac:dyDescent="0.2">
      <c r="A36" s="149" t="s">
        <v>197</v>
      </c>
      <c r="B36" s="169">
        <v>30</v>
      </c>
      <c r="C36" s="12" t="s">
        <v>233</v>
      </c>
      <c r="D36" s="200">
        <v>1987</v>
      </c>
      <c r="E36" s="11"/>
      <c r="F36" s="206" t="s">
        <v>24</v>
      </c>
      <c r="G36" s="35">
        <v>1</v>
      </c>
      <c r="H36" s="201">
        <v>9</v>
      </c>
      <c r="I36" s="201" t="s">
        <v>22</v>
      </c>
      <c r="J36" s="115">
        <v>19770</v>
      </c>
      <c r="K36" s="115">
        <v>779</v>
      </c>
      <c r="L36" s="157"/>
      <c r="M36" s="115">
        <v>719</v>
      </c>
      <c r="N36" s="115">
        <v>69</v>
      </c>
      <c r="O36" s="115">
        <v>191</v>
      </c>
      <c r="P36" s="115">
        <v>69</v>
      </c>
      <c r="Q36" s="115">
        <v>168</v>
      </c>
      <c r="R36" s="228">
        <v>4429.8999999999996</v>
      </c>
      <c r="S36" s="230">
        <v>2799.9</v>
      </c>
      <c r="T36" s="115">
        <f t="shared" si="0"/>
        <v>65</v>
      </c>
      <c r="U36" s="203">
        <f t="shared" si="1"/>
        <v>4192.5999999999995</v>
      </c>
      <c r="V36" s="180">
        <f t="shared" si="2"/>
        <v>2652.77</v>
      </c>
      <c r="W36" s="115">
        <v>4</v>
      </c>
      <c r="X36" s="207">
        <v>237.3</v>
      </c>
      <c r="Y36" s="207">
        <v>147.13</v>
      </c>
      <c r="Z36" s="204"/>
      <c r="AA36" s="207"/>
      <c r="AB36" s="207"/>
      <c r="AC36" s="207">
        <f t="shared" si="3"/>
        <v>99.2</v>
      </c>
      <c r="AD36" s="248">
        <f t="shared" si="4"/>
        <v>0</v>
      </c>
      <c r="AE36" s="275"/>
      <c r="AF36" s="248"/>
      <c r="AG36" s="207">
        <v>99.2</v>
      </c>
      <c r="AH36" s="207"/>
      <c r="AI36" s="207">
        <f t="shared" si="5"/>
        <v>4529.0999999999995</v>
      </c>
      <c r="AJ36" s="170"/>
      <c r="AK36" s="170">
        <v>2</v>
      </c>
      <c r="AL36" s="170">
        <v>2</v>
      </c>
      <c r="AM36" s="170">
        <v>2</v>
      </c>
      <c r="AN36" s="170"/>
      <c r="AO36" s="170">
        <v>2</v>
      </c>
      <c r="AP36" s="170">
        <v>3575</v>
      </c>
      <c r="AQ36" s="170">
        <v>92.5</v>
      </c>
      <c r="AR36" s="170">
        <v>395</v>
      </c>
      <c r="AS36" s="170">
        <v>378</v>
      </c>
      <c r="AT36" s="170">
        <v>150</v>
      </c>
      <c r="AU36" s="170">
        <f t="shared" si="6"/>
        <v>8280</v>
      </c>
      <c r="AV36" s="170"/>
      <c r="AW36" s="170">
        <v>8280</v>
      </c>
      <c r="AX36" s="170">
        <v>1680</v>
      </c>
      <c r="AY36" s="170">
        <v>220</v>
      </c>
      <c r="AZ36" s="170">
        <v>719</v>
      </c>
      <c r="BA36" s="170">
        <v>719</v>
      </c>
      <c r="BB36" s="170">
        <v>36</v>
      </c>
      <c r="BC36" s="170">
        <v>40</v>
      </c>
      <c r="BD36" s="170">
        <v>264</v>
      </c>
      <c r="BE36" s="170">
        <v>476</v>
      </c>
      <c r="BF36" s="170">
        <v>1</v>
      </c>
      <c r="BG36" s="170">
        <v>7600</v>
      </c>
      <c r="BH36" s="170">
        <v>3270</v>
      </c>
      <c r="BI36" s="170">
        <v>90</v>
      </c>
      <c r="BJ36" s="115" t="str">
        <f t="shared" si="7"/>
        <v>0</v>
      </c>
      <c r="BK36" s="115" t="str">
        <f t="shared" si="8"/>
        <v>0</v>
      </c>
      <c r="BL36" s="115" t="str">
        <f t="shared" si="9"/>
        <v>0</v>
      </c>
      <c r="BM36" s="115">
        <f t="shared" si="10"/>
        <v>1</v>
      </c>
      <c r="BN36" s="115">
        <f t="shared" si="11"/>
        <v>4429.8999999999996</v>
      </c>
      <c r="BO36" s="115">
        <f t="shared" si="12"/>
        <v>2799.9</v>
      </c>
      <c r="BP36" s="115" t="str">
        <f t="shared" si="13"/>
        <v>0</v>
      </c>
      <c r="BQ36" s="115" t="str">
        <f t="shared" si="14"/>
        <v>0</v>
      </c>
      <c r="BR36" s="115" t="str">
        <f t="shared" si="15"/>
        <v>0</v>
      </c>
      <c r="BS36" s="115"/>
      <c r="BT36" s="115">
        <v>2</v>
      </c>
      <c r="BU36" s="115"/>
      <c r="BV36" s="115"/>
      <c r="BW36" s="115"/>
      <c r="BX36" s="115"/>
      <c r="BY36" s="275">
        <v>1444.6000000000001</v>
      </c>
      <c r="BZ36" s="253">
        <v>771.8</v>
      </c>
      <c r="CA36" s="205">
        <v>1748</v>
      </c>
      <c r="CB36" s="282">
        <f t="shared" si="16"/>
        <v>969</v>
      </c>
      <c r="CC36" s="209" t="str">
        <f t="shared" si="17"/>
        <v>0</v>
      </c>
      <c r="CD36" s="235">
        <f t="shared" si="18"/>
        <v>0</v>
      </c>
      <c r="CE36" s="209">
        <f t="shared" si="19"/>
        <v>1</v>
      </c>
      <c r="CF36" s="235">
        <f t="shared" si="20"/>
        <v>8280</v>
      </c>
      <c r="CG36" s="235">
        <f t="shared" si="21"/>
        <v>1</v>
      </c>
      <c r="CH36" s="235">
        <f t="shared" si="22"/>
        <v>8280</v>
      </c>
      <c r="CI36" s="156">
        <v>52</v>
      </c>
      <c r="CJ36" s="284" t="str">
        <f t="shared" si="23"/>
        <v>0</v>
      </c>
      <c r="CK36" s="284" t="str">
        <f t="shared" si="24"/>
        <v>0</v>
      </c>
      <c r="CL36" s="243">
        <f t="shared" si="25"/>
        <v>5.3567800627553677</v>
      </c>
      <c r="CM36" s="216" t="str">
        <f t="shared" si="26"/>
        <v>0</v>
      </c>
      <c r="CN36" s="216" t="str">
        <f t="shared" si="27"/>
        <v>0</v>
      </c>
      <c r="CO36" s="243">
        <f t="shared" si="28"/>
        <v>5.2394515466649016</v>
      </c>
      <c r="CP36" s="306">
        <v>1</v>
      </c>
      <c r="CQ36" s="306">
        <v>0</v>
      </c>
      <c r="CR36" s="306">
        <v>0</v>
      </c>
      <c r="CS36" s="306">
        <v>1</v>
      </c>
      <c r="CT36" s="306">
        <v>2</v>
      </c>
      <c r="CU36" s="306">
        <v>0</v>
      </c>
      <c r="CV36" s="306">
        <v>0</v>
      </c>
      <c r="CW36" s="306">
        <v>1</v>
      </c>
      <c r="CX36" s="306">
        <v>0</v>
      </c>
      <c r="CY36" s="306">
        <v>69</v>
      </c>
      <c r="CZ36" s="306">
        <f t="shared" si="29"/>
        <v>67</v>
      </c>
      <c r="DA36" s="306">
        <v>2</v>
      </c>
      <c r="DB36" s="306">
        <v>67</v>
      </c>
      <c r="DC36" s="306">
        <v>36</v>
      </c>
      <c r="DD36" s="306">
        <v>50</v>
      </c>
      <c r="DE36" s="306">
        <v>46</v>
      </c>
      <c r="DF36" s="306">
        <v>45</v>
      </c>
      <c r="DG36" s="306">
        <v>40</v>
      </c>
      <c r="DH36" s="306">
        <v>56</v>
      </c>
      <c r="DI36" s="306">
        <v>1</v>
      </c>
      <c r="DJ36" s="306">
        <v>1</v>
      </c>
      <c r="DK36" s="306">
        <v>1</v>
      </c>
      <c r="DL36" s="306">
        <v>2</v>
      </c>
      <c r="DM36" s="306">
        <v>1</v>
      </c>
      <c r="DN36" s="306">
        <v>1</v>
      </c>
      <c r="DO36" s="306">
        <v>2</v>
      </c>
      <c r="DP36" s="306">
        <v>69</v>
      </c>
      <c r="DQ36" s="306">
        <v>69</v>
      </c>
    </row>
    <row r="37" spans="1:126" x14ac:dyDescent="0.2">
      <c r="A37" s="149" t="s">
        <v>197</v>
      </c>
      <c r="B37" s="169">
        <v>31</v>
      </c>
      <c r="C37" s="12" t="s">
        <v>234</v>
      </c>
      <c r="D37" s="200">
        <v>1952</v>
      </c>
      <c r="E37" s="11"/>
      <c r="F37" s="169" t="s">
        <v>207</v>
      </c>
      <c r="G37" s="35">
        <v>1</v>
      </c>
      <c r="H37" s="201">
        <v>5</v>
      </c>
      <c r="I37" s="201" t="s">
        <v>19</v>
      </c>
      <c r="J37" s="115">
        <v>24904</v>
      </c>
      <c r="K37" s="115">
        <v>1559</v>
      </c>
      <c r="L37" s="157">
        <v>1900</v>
      </c>
      <c r="M37" s="115"/>
      <c r="N37" s="115">
        <v>86</v>
      </c>
      <c r="O37" s="115">
        <v>196</v>
      </c>
      <c r="P37" s="115">
        <v>86</v>
      </c>
      <c r="Q37" s="115">
        <v>141</v>
      </c>
      <c r="R37" s="228">
        <v>5270.44</v>
      </c>
      <c r="S37" s="230">
        <v>3223.2</v>
      </c>
      <c r="T37" s="115">
        <f t="shared" si="0"/>
        <v>70</v>
      </c>
      <c r="U37" s="203">
        <f t="shared" si="1"/>
        <v>4216.1399999999994</v>
      </c>
      <c r="V37" s="180">
        <f t="shared" si="2"/>
        <v>2569.5299999999997</v>
      </c>
      <c r="W37" s="115">
        <v>16</v>
      </c>
      <c r="X37" s="207">
        <v>1054.3</v>
      </c>
      <c r="Y37" s="207">
        <v>653.66999999999996</v>
      </c>
      <c r="Z37" s="204"/>
      <c r="AA37" s="207"/>
      <c r="AB37" s="207"/>
      <c r="AC37" s="207">
        <f t="shared" si="3"/>
        <v>279.3</v>
      </c>
      <c r="AD37" s="248">
        <f t="shared" si="4"/>
        <v>279.3</v>
      </c>
      <c r="AE37" s="275"/>
      <c r="AF37" s="248">
        <v>279.3</v>
      </c>
      <c r="AG37" s="207"/>
      <c r="AH37" s="207"/>
      <c r="AI37" s="207">
        <f t="shared" si="5"/>
        <v>5549.74</v>
      </c>
      <c r="AJ37" s="170"/>
      <c r="AK37" s="170"/>
      <c r="AL37" s="170">
        <v>4</v>
      </c>
      <c r="AM37" s="170"/>
      <c r="AN37" s="170"/>
      <c r="AO37" s="170">
        <v>1</v>
      </c>
      <c r="AP37" s="170">
        <v>3684</v>
      </c>
      <c r="AQ37" s="170">
        <v>824.75</v>
      </c>
      <c r="AR37" s="170">
        <v>340</v>
      </c>
      <c r="AS37" s="170">
        <v>454</v>
      </c>
      <c r="AT37" s="170">
        <v>60</v>
      </c>
      <c r="AU37" s="170">
        <f t="shared" si="6"/>
        <v>3492</v>
      </c>
      <c r="AV37" s="170"/>
      <c r="AW37" s="170">
        <v>3492</v>
      </c>
      <c r="AX37" s="170"/>
      <c r="AY37" s="170">
        <v>122</v>
      </c>
      <c r="AZ37" s="170">
        <v>1535</v>
      </c>
      <c r="BA37" s="170">
        <v>1535</v>
      </c>
      <c r="BB37" s="170">
        <v>16</v>
      </c>
      <c r="BC37" s="170">
        <v>8</v>
      </c>
      <c r="BD37" s="170">
        <v>310</v>
      </c>
      <c r="BE37" s="170">
        <v>529</v>
      </c>
      <c r="BF37" s="170">
        <v>0</v>
      </c>
      <c r="BG37" s="170">
        <v>6023</v>
      </c>
      <c r="BH37" s="170">
        <v>152</v>
      </c>
      <c r="BI37" s="170">
        <v>0</v>
      </c>
      <c r="BJ37" s="115">
        <f t="shared" si="7"/>
        <v>1</v>
      </c>
      <c r="BK37" s="115">
        <f t="shared" si="8"/>
        <v>5270.44</v>
      </c>
      <c r="BL37" s="115">
        <f t="shared" si="9"/>
        <v>3223.2</v>
      </c>
      <c r="BM37" s="115" t="str">
        <f t="shared" si="10"/>
        <v>0</v>
      </c>
      <c r="BN37" s="115" t="str">
        <f t="shared" si="11"/>
        <v>0</v>
      </c>
      <c r="BO37" s="115" t="str">
        <f t="shared" si="12"/>
        <v>0</v>
      </c>
      <c r="BP37" s="115" t="str">
        <f t="shared" si="13"/>
        <v>0</v>
      </c>
      <c r="BQ37" s="115" t="str">
        <f t="shared" si="14"/>
        <v>0</v>
      </c>
      <c r="BR37" s="115" t="str">
        <f t="shared" si="15"/>
        <v>0</v>
      </c>
      <c r="BS37" s="115"/>
      <c r="BT37" s="115">
        <v>2</v>
      </c>
      <c r="BU37" s="115">
        <f>BA37</f>
        <v>1535</v>
      </c>
      <c r="BV37" s="115">
        <v>3166</v>
      </c>
      <c r="BW37" s="115">
        <v>3</v>
      </c>
      <c r="BX37" s="115">
        <f>AP37</f>
        <v>3684</v>
      </c>
      <c r="BY37" s="275">
        <v>1992.7</v>
      </c>
      <c r="BZ37" s="253">
        <v>442.7</v>
      </c>
      <c r="CA37" s="205">
        <f>3770+2896</f>
        <v>6666</v>
      </c>
      <c r="CB37" s="282">
        <f t="shared" si="16"/>
        <v>5107</v>
      </c>
      <c r="CC37" s="209" t="str">
        <f t="shared" si="17"/>
        <v>0</v>
      </c>
      <c r="CD37" s="235">
        <f t="shared" si="18"/>
        <v>0</v>
      </c>
      <c r="CE37" s="209">
        <f t="shared" si="19"/>
        <v>1</v>
      </c>
      <c r="CF37" s="235">
        <f t="shared" si="20"/>
        <v>3492</v>
      </c>
      <c r="CG37" s="235">
        <f t="shared" si="21"/>
        <v>1</v>
      </c>
      <c r="CH37" s="235">
        <f t="shared" si="22"/>
        <v>3492</v>
      </c>
      <c r="CI37" s="156">
        <v>52</v>
      </c>
      <c r="CJ37" s="284" t="str">
        <f t="shared" si="23"/>
        <v>0</v>
      </c>
      <c r="CK37" s="284" t="str">
        <f t="shared" si="24"/>
        <v>0</v>
      </c>
      <c r="CL37" s="243">
        <f t="shared" si="25"/>
        <v>20.004022434559545</v>
      </c>
      <c r="CM37" s="216" t="str">
        <f t="shared" si="26"/>
        <v>0</v>
      </c>
      <c r="CN37" s="216" t="str">
        <f t="shared" si="27"/>
        <v>0</v>
      </c>
      <c r="CO37" s="243">
        <f t="shared" si="28"/>
        <v>24.029954556429669</v>
      </c>
      <c r="CP37" s="306">
        <v>1</v>
      </c>
      <c r="CQ37" s="306">
        <v>0</v>
      </c>
      <c r="CR37" s="306">
        <v>0</v>
      </c>
      <c r="CS37" s="306">
        <v>0</v>
      </c>
      <c r="CT37" s="306">
        <v>1</v>
      </c>
      <c r="CU37" s="306">
        <v>0</v>
      </c>
      <c r="CV37" s="306">
        <v>0</v>
      </c>
      <c r="CW37" s="306">
        <v>0</v>
      </c>
      <c r="CX37" s="306">
        <v>0</v>
      </c>
      <c r="CY37" s="306">
        <v>86</v>
      </c>
      <c r="CZ37" s="306">
        <f t="shared" si="29"/>
        <v>79</v>
      </c>
      <c r="DA37" s="306">
        <v>7</v>
      </c>
      <c r="DB37" s="306">
        <v>49</v>
      </c>
      <c r="DC37" s="306">
        <v>23</v>
      </c>
      <c r="DD37" s="306">
        <v>63</v>
      </c>
      <c r="DE37" s="306">
        <v>24</v>
      </c>
      <c r="DF37" s="306">
        <v>28</v>
      </c>
      <c r="DG37" s="306">
        <v>58</v>
      </c>
      <c r="DH37" s="306">
        <v>30</v>
      </c>
      <c r="DI37" s="306">
        <v>5</v>
      </c>
      <c r="DJ37" s="306">
        <v>2</v>
      </c>
      <c r="DK37" s="306">
        <v>6</v>
      </c>
      <c r="DL37" s="306">
        <v>2</v>
      </c>
      <c r="DM37" s="306">
        <v>2</v>
      </c>
      <c r="DN37" s="306">
        <v>6</v>
      </c>
      <c r="DO37" s="306">
        <v>2</v>
      </c>
      <c r="DP37" s="306">
        <v>86</v>
      </c>
      <c r="DQ37" s="306">
        <f>86-5</f>
        <v>81</v>
      </c>
    </row>
    <row r="38" spans="1:126" x14ac:dyDescent="0.2">
      <c r="A38" s="149" t="s">
        <v>197</v>
      </c>
      <c r="B38" s="169">
        <v>32</v>
      </c>
      <c r="C38" s="12" t="s">
        <v>235</v>
      </c>
      <c r="D38" s="200">
        <v>1984</v>
      </c>
      <c r="E38" s="11"/>
      <c r="F38" s="169">
        <v>84</v>
      </c>
      <c r="G38" s="35">
        <v>1</v>
      </c>
      <c r="H38" s="201">
        <v>9</v>
      </c>
      <c r="I38" s="201" t="s">
        <v>22</v>
      </c>
      <c r="J38" s="115">
        <v>22193</v>
      </c>
      <c r="K38" s="115">
        <v>956</v>
      </c>
      <c r="L38" s="157"/>
      <c r="M38" s="115">
        <v>874</v>
      </c>
      <c r="N38" s="115">
        <v>108</v>
      </c>
      <c r="O38" s="115">
        <v>231</v>
      </c>
      <c r="P38" s="115">
        <v>109</v>
      </c>
      <c r="Q38" s="115">
        <v>244</v>
      </c>
      <c r="R38" s="228">
        <v>5633.2</v>
      </c>
      <c r="S38" s="230">
        <v>3345.9</v>
      </c>
      <c r="T38" s="115">
        <f t="shared" si="0"/>
        <v>103</v>
      </c>
      <c r="U38" s="203">
        <f t="shared" si="1"/>
        <v>5403.0999999999995</v>
      </c>
      <c r="V38" s="180">
        <f t="shared" si="2"/>
        <v>3203.2400000000002</v>
      </c>
      <c r="W38" s="115">
        <v>5</v>
      </c>
      <c r="X38" s="207">
        <v>230.1</v>
      </c>
      <c r="Y38" s="207">
        <v>142.66</v>
      </c>
      <c r="Z38" s="204"/>
      <c r="AA38" s="207"/>
      <c r="AB38" s="207"/>
      <c r="AC38" s="207">
        <f t="shared" si="3"/>
        <v>0</v>
      </c>
      <c r="AD38" s="248">
        <f t="shared" si="4"/>
        <v>0</v>
      </c>
      <c r="AE38" s="275"/>
      <c r="AF38" s="248"/>
      <c r="AG38" s="207"/>
      <c r="AH38" s="207"/>
      <c r="AI38" s="207">
        <f t="shared" si="5"/>
        <v>5633.2</v>
      </c>
      <c r="AJ38" s="170"/>
      <c r="AK38" s="170">
        <v>3</v>
      </c>
      <c r="AL38" s="170">
        <v>3</v>
      </c>
      <c r="AM38" s="170">
        <v>3</v>
      </c>
      <c r="AN38" s="170"/>
      <c r="AO38" s="170">
        <v>4</v>
      </c>
      <c r="AP38" s="170">
        <v>5722</v>
      </c>
      <c r="AQ38" s="170">
        <v>51.125</v>
      </c>
      <c r="AR38" s="170">
        <v>490</v>
      </c>
      <c r="AS38" s="170">
        <v>336</v>
      </c>
      <c r="AT38" s="170">
        <v>108</v>
      </c>
      <c r="AU38" s="170">
        <f t="shared" si="6"/>
        <v>11020</v>
      </c>
      <c r="AV38" s="170"/>
      <c r="AW38" s="170">
        <v>11020</v>
      </c>
      <c r="AX38" s="170">
        <v>2520</v>
      </c>
      <c r="AY38" s="170">
        <v>299</v>
      </c>
      <c r="AZ38" s="170">
        <v>873</v>
      </c>
      <c r="BA38" s="170">
        <v>873</v>
      </c>
      <c r="BB38" s="170">
        <v>54</v>
      </c>
      <c r="BC38" s="170">
        <v>9</v>
      </c>
      <c r="BD38" s="170">
        <v>375</v>
      </c>
      <c r="BE38" s="170">
        <v>717</v>
      </c>
      <c r="BF38" s="170">
        <v>1</v>
      </c>
      <c r="BG38" s="170">
        <v>10710</v>
      </c>
      <c r="BH38" s="170">
        <v>4905</v>
      </c>
      <c r="BI38" s="170">
        <v>135</v>
      </c>
      <c r="BJ38" s="115" t="str">
        <f t="shared" si="7"/>
        <v>0</v>
      </c>
      <c r="BK38" s="115" t="str">
        <f t="shared" si="8"/>
        <v>0</v>
      </c>
      <c r="BL38" s="115" t="str">
        <f t="shared" si="9"/>
        <v>0</v>
      </c>
      <c r="BM38" s="115">
        <f t="shared" si="10"/>
        <v>1</v>
      </c>
      <c r="BN38" s="115">
        <f t="shared" si="11"/>
        <v>5633.2</v>
      </c>
      <c r="BO38" s="115">
        <f t="shared" si="12"/>
        <v>3345.9</v>
      </c>
      <c r="BP38" s="115" t="str">
        <f t="shared" si="13"/>
        <v>0</v>
      </c>
      <c r="BQ38" s="115" t="str">
        <f t="shared" si="14"/>
        <v>0</v>
      </c>
      <c r="BR38" s="115" t="str">
        <f t="shared" si="15"/>
        <v>0</v>
      </c>
      <c r="BS38" s="115"/>
      <c r="BT38" s="115">
        <v>1</v>
      </c>
      <c r="BU38" s="115">
        <f>BA38</f>
        <v>873</v>
      </c>
      <c r="BV38" s="115">
        <v>4936</v>
      </c>
      <c r="BW38" s="115"/>
      <c r="BX38" s="115"/>
      <c r="BY38" s="253">
        <v>1736.14</v>
      </c>
      <c r="BZ38" s="253">
        <v>804.6</v>
      </c>
      <c r="CA38" s="205">
        <v>2520</v>
      </c>
      <c r="CB38" s="282">
        <f t="shared" si="16"/>
        <v>1564</v>
      </c>
      <c r="CC38" s="209" t="str">
        <f t="shared" si="17"/>
        <v>0</v>
      </c>
      <c r="CD38" s="235">
        <f t="shared" si="18"/>
        <v>0</v>
      </c>
      <c r="CE38" s="209">
        <f t="shared" si="19"/>
        <v>1</v>
      </c>
      <c r="CF38" s="235">
        <f t="shared" si="20"/>
        <v>11020</v>
      </c>
      <c r="CG38" s="235">
        <f t="shared" si="21"/>
        <v>1</v>
      </c>
      <c r="CH38" s="235">
        <f t="shared" si="22"/>
        <v>11020</v>
      </c>
      <c r="CI38" s="156">
        <v>43</v>
      </c>
      <c r="CJ38" s="284" t="str">
        <f t="shared" si="23"/>
        <v>0</v>
      </c>
      <c r="CK38" s="284" t="str">
        <f t="shared" si="24"/>
        <v>0</v>
      </c>
      <c r="CL38" s="243">
        <f t="shared" si="25"/>
        <v>4.0847120641908683</v>
      </c>
      <c r="CM38" s="216" t="str">
        <f t="shared" si="26"/>
        <v>0</v>
      </c>
      <c r="CN38" s="216" t="str">
        <f t="shared" si="27"/>
        <v>0</v>
      </c>
      <c r="CO38" s="243">
        <f t="shared" si="28"/>
        <v>4.0847120641908683</v>
      </c>
      <c r="CP38" s="306">
        <v>1</v>
      </c>
      <c r="CQ38" s="306">
        <v>0</v>
      </c>
      <c r="CR38" s="306">
        <v>0</v>
      </c>
      <c r="CS38" s="306">
        <v>0</v>
      </c>
      <c r="CT38" s="306">
        <v>2</v>
      </c>
      <c r="CU38" s="306">
        <v>0</v>
      </c>
      <c r="CV38" s="306">
        <v>0</v>
      </c>
      <c r="CW38" s="306">
        <v>0</v>
      </c>
      <c r="CX38" s="306">
        <v>0</v>
      </c>
      <c r="CY38" s="306">
        <v>108</v>
      </c>
      <c r="CZ38" s="306">
        <f t="shared" si="29"/>
        <v>105</v>
      </c>
      <c r="DA38" s="306">
        <v>3</v>
      </c>
      <c r="DB38" s="306">
        <v>104</v>
      </c>
      <c r="DC38" s="306">
        <v>64</v>
      </c>
      <c r="DD38" s="306">
        <v>54</v>
      </c>
      <c r="DE38" s="306">
        <v>87</v>
      </c>
      <c r="DF38" s="306">
        <v>66</v>
      </c>
      <c r="DG38" s="306">
        <v>50</v>
      </c>
      <c r="DH38" s="306">
        <v>91</v>
      </c>
      <c r="DI38" s="306">
        <v>3</v>
      </c>
      <c r="DJ38" s="306">
        <v>1</v>
      </c>
      <c r="DK38" s="306">
        <v>7</v>
      </c>
      <c r="DL38" s="306">
        <v>1</v>
      </c>
      <c r="DM38" s="306">
        <v>1</v>
      </c>
      <c r="DN38" s="306">
        <v>7</v>
      </c>
      <c r="DO38" s="306">
        <v>1</v>
      </c>
      <c r="DP38" s="306">
        <v>108</v>
      </c>
      <c r="DQ38" s="306">
        <v>108</v>
      </c>
    </row>
    <row r="39" spans="1:126" x14ac:dyDescent="0.2">
      <c r="A39" s="149" t="s">
        <v>197</v>
      </c>
      <c r="B39" s="169">
        <v>33</v>
      </c>
      <c r="C39" s="12" t="s">
        <v>227</v>
      </c>
      <c r="D39" s="200">
        <v>1989</v>
      </c>
      <c r="E39" s="11"/>
      <c r="F39" s="169" t="s">
        <v>21</v>
      </c>
      <c r="G39" s="35">
        <v>1</v>
      </c>
      <c r="H39" s="201">
        <v>9</v>
      </c>
      <c r="I39" s="201" t="s">
        <v>19</v>
      </c>
      <c r="J39" s="115">
        <v>44624</v>
      </c>
      <c r="K39" s="115">
        <v>2983</v>
      </c>
      <c r="L39" s="157"/>
      <c r="M39" s="115">
        <v>1337</v>
      </c>
      <c r="N39" s="115">
        <v>118</v>
      </c>
      <c r="O39" s="115">
        <v>261</v>
      </c>
      <c r="P39" s="115">
        <v>118</v>
      </c>
      <c r="Q39" s="115">
        <v>210</v>
      </c>
      <c r="R39" s="228">
        <v>6449.6</v>
      </c>
      <c r="S39" s="230">
        <v>3683.6</v>
      </c>
      <c r="T39" s="115">
        <f t="shared" ref="T39:T70" si="32">N39-W39-Z39</f>
        <v>113</v>
      </c>
      <c r="U39" s="203">
        <f t="shared" ref="U39:U70" si="33">R39-X39-AA39</f>
        <v>6169.1</v>
      </c>
      <c r="V39" s="180">
        <f t="shared" ref="V39:V70" si="34">S39-Y39-AB39</f>
        <v>3509.7</v>
      </c>
      <c r="W39" s="115">
        <v>5</v>
      </c>
      <c r="X39" s="207">
        <v>280.5</v>
      </c>
      <c r="Y39" s="207">
        <v>173.9</v>
      </c>
      <c r="Z39" s="204"/>
      <c r="AA39" s="207"/>
      <c r="AB39" s="207"/>
      <c r="AC39" s="207">
        <f t="shared" ref="AC39:AC70" si="35">AD39+AG39+AH39</f>
        <v>2049.5</v>
      </c>
      <c r="AD39" s="248">
        <f t="shared" ref="AD39:AD70" si="36">AE39+AF39</f>
        <v>0</v>
      </c>
      <c r="AE39" s="275"/>
      <c r="AF39" s="248"/>
      <c r="AG39" s="207">
        <v>2049.5</v>
      </c>
      <c r="AH39" s="207"/>
      <c r="AI39" s="207">
        <f t="shared" ref="AI39:AI70" si="37">R39+AC39</f>
        <v>8499.1</v>
      </c>
      <c r="AJ39" s="170"/>
      <c r="AK39" s="170">
        <v>4</v>
      </c>
      <c r="AL39" s="170">
        <v>4</v>
      </c>
      <c r="AM39" s="170">
        <v>4</v>
      </c>
      <c r="AN39" s="170"/>
      <c r="AO39" s="170">
        <v>4</v>
      </c>
      <c r="AP39" s="170">
        <v>7542</v>
      </c>
      <c r="AQ39" s="170"/>
      <c r="AR39" s="170">
        <v>500</v>
      </c>
      <c r="AS39" s="170">
        <v>574</v>
      </c>
      <c r="AT39" s="170">
        <v>160</v>
      </c>
      <c r="AU39" s="170">
        <f t="shared" si="6"/>
        <v>16540</v>
      </c>
      <c r="AV39" s="170"/>
      <c r="AW39" s="170">
        <v>16540</v>
      </c>
      <c r="AX39" s="170"/>
      <c r="AY39" s="170">
        <v>324</v>
      </c>
      <c r="AZ39" s="170">
        <v>2585</v>
      </c>
      <c r="BA39" s="170">
        <v>1342</v>
      </c>
      <c r="BB39" s="170">
        <v>20</v>
      </c>
      <c r="BC39" s="170">
        <v>19</v>
      </c>
      <c r="BD39" s="170">
        <v>388</v>
      </c>
      <c r="BE39" s="170">
        <v>670</v>
      </c>
      <c r="BF39" s="170">
        <v>1</v>
      </c>
      <c r="BG39" s="170">
        <v>22800</v>
      </c>
      <c r="BH39" s="170">
        <v>6540</v>
      </c>
      <c r="BI39" s="170">
        <v>180</v>
      </c>
      <c r="BJ39" s="115">
        <f t="shared" ref="BJ39:BJ70" si="38">IF((I39="кир"),G39,"0")</f>
        <v>1</v>
      </c>
      <c r="BK39" s="115">
        <f t="shared" ref="BK39:BK70" si="39">IF((I39="кир"),R39,"0")</f>
        <v>6449.6</v>
      </c>
      <c r="BL39" s="115">
        <f t="shared" ref="BL39:BL70" si="40">IF((I39="кир"),S39,"0")</f>
        <v>3683.6</v>
      </c>
      <c r="BM39" s="115" t="str">
        <f t="shared" ref="BM39:BM70" si="41">IF((I39="пан"),G39,"0")</f>
        <v>0</v>
      </c>
      <c r="BN39" s="115" t="str">
        <f t="shared" ref="BN39:BN70" si="42">IF((I39="пан"),R39,"0")</f>
        <v>0</v>
      </c>
      <c r="BO39" s="115" t="str">
        <f t="shared" ref="BO39:BO70" si="43">IF((I39="пан"),S39,"0")</f>
        <v>0</v>
      </c>
      <c r="BP39" s="115" t="str">
        <f t="shared" ref="BP39:BP70" si="44">IF((I39="смеш"),G39,"0")</f>
        <v>0</v>
      </c>
      <c r="BQ39" s="115" t="str">
        <f t="shared" ref="BQ39:BQ70" si="45">IF((I39="смеш"),R39,"0")</f>
        <v>0</v>
      </c>
      <c r="BR39" s="115" t="str">
        <f t="shared" ref="BR39:BR70" si="46">IF((I39="смеш"),S39,"0")</f>
        <v>0</v>
      </c>
      <c r="BS39" s="115"/>
      <c r="BT39" s="115">
        <v>2</v>
      </c>
      <c r="BU39" s="115">
        <f>BA39</f>
        <v>1342</v>
      </c>
      <c r="BV39" s="115">
        <v>6574</v>
      </c>
      <c r="BW39" s="115"/>
      <c r="BX39" s="115">
        <f>AP39</f>
        <v>7542</v>
      </c>
      <c r="BY39" s="275">
        <v>3155</v>
      </c>
      <c r="BZ39" s="253">
        <v>1677.3</v>
      </c>
      <c r="CA39" s="205">
        <v>4408</v>
      </c>
      <c r="CB39" s="282">
        <f t="shared" ref="CB39:CB70" si="47">CA39-K39</f>
        <v>1425</v>
      </c>
      <c r="CC39" s="209" t="str">
        <f t="shared" si="17"/>
        <v>0</v>
      </c>
      <c r="CD39" s="235">
        <f t="shared" si="18"/>
        <v>0</v>
      </c>
      <c r="CE39" s="209">
        <f t="shared" si="19"/>
        <v>1</v>
      </c>
      <c r="CF39" s="235">
        <f t="shared" si="20"/>
        <v>16540</v>
      </c>
      <c r="CG39" s="235">
        <f t="shared" si="21"/>
        <v>1</v>
      </c>
      <c r="CH39" s="235">
        <f t="shared" si="22"/>
        <v>16540</v>
      </c>
      <c r="CI39" s="156">
        <v>68</v>
      </c>
      <c r="CJ39" s="284" t="str">
        <f t="shared" ref="CJ39:CJ70" si="48">IF((X39/R39*100&gt;=50), G39, "0")</f>
        <v>0</v>
      </c>
      <c r="CK39" s="284" t="str">
        <f t="shared" ref="CK39:CK70" si="49">IF((X39/R39*100&gt;=50), R39, "0")</f>
        <v>0</v>
      </c>
      <c r="CL39" s="243">
        <f t="shared" ref="CL39:CL70" si="50">X39/R39*100</f>
        <v>4.3491069213594642</v>
      </c>
      <c r="CM39" s="216" t="str">
        <f t="shared" ref="CM39:CM70" si="51">IF(((X39+AD39)/AI39*100&gt;=50), G39, "0")</f>
        <v>0</v>
      </c>
      <c r="CN39" s="216" t="str">
        <f t="shared" ref="CN39:CN70" si="52">IF(((X39+AD39)/AI39*100&gt;=50), AI39, "0")</f>
        <v>0</v>
      </c>
      <c r="CO39" s="243">
        <f t="shared" ref="CO39:CO70" si="53">(X39+AD39)/AI39*100</f>
        <v>3.3003494487651635</v>
      </c>
      <c r="CP39" s="306">
        <v>1</v>
      </c>
      <c r="CQ39" s="306">
        <v>0</v>
      </c>
      <c r="CR39" s="306">
        <v>0</v>
      </c>
      <c r="CS39" s="306">
        <v>0</v>
      </c>
      <c r="CT39" s="306">
        <v>2</v>
      </c>
      <c r="CU39" s="306">
        <v>0</v>
      </c>
      <c r="CV39" s="306">
        <v>0</v>
      </c>
      <c r="CW39" s="306">
        <v>0</v>
      </c>
      <c r="CX39" s="306">
        <v>0</v>
      </c>
      <c r="CY39" s="306">
        <v>118</v>
      </c>
      <c r="CZ39" s="306">
        <f t="shared" si="29"/>
        <v>113</v>
      </c>
      <c r="DA39" s="306">
        <v>5</v>
      </c>
      <c r="DB39" s="306">
        <v>109</v>
      </c>
      <c r="DC39" s="306">
        <v>48</v>
      </c>
      <c r="DD39" s="306">
        <v>105</v>
      </c>
      <c r="DE39" s="306">
        <v>76</v>
      </c>
      <c r="DF39" s="306">
        <v>52</v>
      </c>
      <c r="DG39" s="306">
        <v>98</v>
      </c>
      <c r="DH39" s="306">
        <v>83</v>
      </c>
      <c r="DI39" s="306">
        <v>5</v>
      </c>
      <c r="DJ39" s="306">
        <v>1</v>
      </c>
      <c r="DK39" s="306">
        <v>5</v>
      </c>
      <c r="DL39" s="306">
        <v>2</v>
      </c>
      <c r="DM39" s="306">
        <v>1</v>
      </c>
      <c r="DN39" s="306">
        <v>5</v>
      </c>
      <c r="DO39" s="306">
        <v>2</v>
      </c>
      <c r="DP39" s="306">
        <v>118</v>
      </c>
      <c r="DQ39" s="306">
        <v>118</v>
      </c>
    </row>
    <row r="40" spans="1:126" x14ac:dyDescent="0.2">
      <c r="A40" s="149" t="s">
        <v>197</v>
      </c>
      <c r="B40" s="169">
        <v>34</v>
      </c>
      <c r="C40" s="12" t="s">
        <v>236</v>
      </c>
      <c r="D40" s="200">
        <v>1987</v>
      </c>
      <c r="E40" s="11"/>
      <c r="F40" s="206" t="s">
        <v>24</v>
      </c>
      <c r="G40" s="35">
        <v>1</v>
      </c>
      <c r="H40" s="201">
        <v>9</v>
      </c>
      <c r="I40" s="201" t="s">
        <v>22</v>
      </c>
      <c r="J40" s="115">
        <v>19816</v>
      </c>
      <c r="K40" s="115">
        <v>857</v>
      </c>
      <c r="L40" s="157"/>
      <c r="M40" s="115">
        <v>735</v>
      </c>
      <c r="N40" s="115">
        <v>67</v>
      </c>
      <c r="O40" s="115">
        <v>186</v>
      </c>
      <c r="P40" s="115">
        <v>68</v>
      </c>
      <c r="Q40" s="115">
        <v>165</v>
      </c>
      <c r="R40" s="228">
        <f>4365.76+1</f>
        <v>4366.76</v>
      </c>
      <c r="S40" s="230">
        <v>2734.9</v>
      </c>
      <c r="T40" s="115">
        <f t="shared" si="32"/>
        <v>65</v>
      </c>
      <c r="U40" s="203">
        <f t="shared" si="33"/>
        <v>4231.8600000000006</v>
      </c>
      <c r="V40" s="180">
        <f t="shared" si="34"/>
        <v>2651.27</v>
      </c>
      <c r="W40" s="115">
        <v>2</v>
      </c>
      <c r="X40" s="207">
        <v>134.9</v>
      </c>
      <c r="Y40" s="207">
        <v>83.63</v>
      </c>
      <c r="Z40" s="204"/>
      <c r="AA40" s="207"/>
      <c r="AB40" s="207"/>
      <c r="AC40" s="207">
        <f t="shared" si="35"/>
        <v>236</v>
      </c>
      <c r="AD40" s="248">
        <f t="shared" si="36"/>
        <v>236</v>
      </c>
      <c r="AE40" s="275"/>
      <c r="AF40" s="248">
        <f>236</f>
        <v>236</v>
      </c>
      <c r="AG40" s="207"/>
      <c r="AH40" s="207"/>
      <c r="AI40" s="207">
        <f t="shared" si="37"/>
        <v>4602.76</v>
      </c>
      <c r="AJ40" s="170"/>
      <c r="AK40" s="170">
        <v>2</v>
      </c>
      <c r="AL40" s="170">
        <v>2</v>
      </c>
      <c r="AM40" s="170">
        <v>2</v>
      </c>
      <c r="AN40" s="170"/>
      <c r="AO40" s="170">
        <v>2</v>
      </c>
      <c r="AP40" s="170">
        <v>4320</v>
      </c>
      <c r="AQ40" s="170"/>
      <c r="AR40" s="170">
        <v>674</v>
      </c>
      <c r="AS40" s="170">
        <v>280</v>
      </c>
      <c r="AT40" s="170">
        <v>150</v>
      </c>
      <c r="AU40" s="170">
        <f t="shared" si="6"/>
        <v>10400</v>
      </c>
      <c r="AV40" s="170">
        <v>2350</v>
      </c>
      <c r="AW40" s="170">
        <v>8050</v>
      </c>
      <c r="AX40" s="170">
        <v>1680</v>
      </c>
      <c r="AY40" s="170">
        <v>232</v>
      </c>
      <c r="AZ40" s="170">
        <v>725</v>
      </c>
      <c r="BA40" s="170">
        <v>725</v>
      </c>
      <c r="BB40" s="170">
        <v>36</v>
      </c>
      <c r="BC40" s="170">
        <v>40</v>
      </c>
      <c r="BD40" s="170">
        <v>253</v>
      </c>
      <c r="BE40" s="170">
        <v>454</v>
      </c>
      <c r="BF40" s="170">
        <v>1</v>
      </c>
      <c r="BG40" s="170">
        <v>7600</v>
      </c>
      <c r="BH40" s="170">
        <v>3270</v>
      </c>
      <c r="BI40" s="170">
        <v>90</v>
      </c>
      <c r="BJ40" s="115" t="str">
        <f t="shared" si="38"/>
        <v>0</v>
      </c>
      <c r="BK40" s="115" t="str">
        <f t="shared" si="39"/>
        <v>0</v>
      </c>
      <c r="BL40" s="115" t="str">
        <f t="shared" si="40"/>
        <v>0</v>
      </c>
      <c r="BM40" s="115">
        <f t="shared" si="41"/>
        <v>1</v>
      </c>
      <c r="BN40" s="115">
        <f t="shared" si="42"/>
        <v>4366.76</v>
      </c>
      <c r="BO40" s="115">
        <f t="shared" si="43"/>
        <v>2734.9</v>
      </c>
      <c r="BP40" s="115" t="str">
        <f t="shared" si="44"/>
        <v>0</v>
      </c>
      <c r="BQ40" s="115" t="str">
        <f t="shared" si="45"/>
        <v>0</v>
      </c>
      <c r="BR40" s="115" t="str">
        <f t="shared" si="46"/>
        <v>0</v>
      </c>
      <c r="BS40" s="115"/>
      <c r="BT40" s="115">
        <v>2</v>
      </c>
      <c r="BU40" s="115"/>
      <c r="BV40" s="115"/>
      <c r="BW40" s="115"/>
      <c r="BX40" s="115"/>
      <c r="BY40" s="253">
        <v>1589.7</v>
      </c>
      <c r="BZ40" s="253">
        <v>784.1</v>
      </c>
      <c r="CA40" s="205">
        <v>1684</v>
      </c>
      <c r="CB40" s="282">
        <f t="shared" si="47"/>
        <v>827</v>
      </c>
      <c r="CC40" s="209"/>
      <c r="CD40" s="235">
        <f t="shared" si="18"/>
        <v>2350</v>
      </c>
      <c r="CE40" s="209">
        <f t="shared" si="19"/>
        <v>1</v>
      </c>
      <c r="CF40" s="235">
        <f t="shared" si="20"/>
        <v>8050</v>
      </c>
      <c r="CG40" s="235">
        <f t="shared" si="21"/>
        <v>1</v>
      </c>
      <c r="CH40" s="235">
        <f t="shared" si="22"/>
        <v>10400</v>
      </c>
      <c r="CI40" s="156">
        <v>42</v>
      </c>
      <c r="CJ40" s="284" t="str">
        <f t="shared" si="48"/>
        <v>0</v>
      </c>
      <c r="CK40" s="284" t="str">
        <f t="shared" si="49"/>
        <v>0</v>
      </c>
      <c r="CL40" s="243">
        <f t="shared" si="50"/>
        <v>3.0892469473934909</v>
      </c>
      <c r="CM40" s="216" t="str">
        <f t="shared" si="51"/>
        <v>0</v>
      </c>
      <c r="CN40" s="216" t="str">
        <f t="shared" si="52"/>
        <v>0</v>
      </c>
      <c r="CO40" s="243">
        <f t="shared" si="53"/>
        <v>8.058208553128992</v>
      </c>
      <c r="CP40" s="306">
        <v>1</v>
      </c>
      <c r="CQ40" s="306">
        <v>0</v>
      </c>
      <c r="CR40" s="306">
        <v>0</v>
      </c>
      <c r="CS40" s="306">
        <v>0</v>
      </c>
      <c r="CT40" s="306">
        <v>2</v>
      </c>
      <c r="CU40" s="306">
        <v>0</v>
      </c>
      <c r="CV40" s="306">
        <v>0</v>
      </c>
      <c r="CW40" s="306">
        <v>0</v>
      </c>
      <c r="CX40" s="306">
        <v>0</v>
      </c>
      <c r="CY40" s="306">
        <v>67</v>
      </c>
      <c r="CZ40" s="306">
        <f t="shared" si="29"/>
        <v>65</v>
      </c>
      <c r="DA40" s="306">
        <v>2</v>
      </c>
      <c r="DB40" s="306">
        <v>64</v>
      </c>
      <c r="DC40" s="306">
        <v>34</v>
      </c>
      <c r="DD40" s="306">
        <v>45</v>
      </c>
      <c r="DE40" s="306">
        <v>47</v>
      </c>
      <c r="DF40" s="306">
        <v>39</v>
      </c>
      <c r="DG40" s="306">
        <v>38</v>
      </c>
      <c r="DH40" s="306">
        <v>54</v>
      </c>
      <c r="DI40" s="306">
        <v>1</v>
      </c>
      <c r="DJ40" s="306">
        <v>1</v>
      </c>
      <c r="DK40" s="306">
        <v>4</v>
      </c>
      <c r="DL40" s="306">
        <v>1</v>
      </c>
      <c r="DM40" s="306">
        <v>1</v>
      </c>
      <c r="DN40" s="306">
        <v>4</v>
      </c>
      <c r="DO40" s="306">
        <v>1</v>
      </c>
      <c r="DP40" s="306">
        <v>67</v>
      </c>
      <c r="DQ40" s="306">
        <v>67</v>
      </c>
    </row>
    <row r="41" spans="1:126" x14ac:dyDescent="0.2">
      <c r="A41" s="149" t="s">
        <v>197</v>
      </c>
      <c r="B41" s="169">
        <v>35</v>
      </c>
      <c r="C41" s="12" t="s">
        <v>237</v>
      </c>
      <c r="D41" s="200">
        <v>1990</v>
      </c>
      <c r="E41" s="11"/>
      <c r="F41" s="169" t="s">
        <v>149</v>
      </c>
      <c r="G41" s="35">
        <v>1</v>
      </c>
      <c r="H41" s="201">
        <v>12</v>
      </c>
      <c r="I41" s="201" t="s">
        <v>19</v>
      </c>
      <c r="J41" s="115">
        <v>21604</v>
      </c>
      <c r="K41" s="115">
        <v>1049</v>
      </c>
      <c r="L41" s="157"/>
      <c r="M41" s="115">
        <v>547</v>
      </c>
      <c r="N41" s="115">
        <v>55</v>
      </c>
      <c r="O41" s="115">
        <v>121</v>
      </c>
      <c r="P41" s="115">
        <v>55</v>
      </c>
      <c r="Q41" s="115">
        <v>106</v>
      </c>
      <c r="R41" s="228">
        <v>3233.5</v>
      </c>
      <c r="S41" s="230">
        <v>1775.2</v>
      </c>
      <c r="T41" s="115">
        <f t="shared" si="32"/>
        <v>54</v>
      </c>
      <c r="U41" s="203">
        <f t="shared" si="33"/>
        <v>3178.7</v>
      </c>
      <c r="V41" s="180">
        <f t="shared" si="34"/>
        <v>1741.23</v>
      </c>
      <c r="W41" s="115">
        <v>1</v>
      </c>
      <c r="X41" s="207">
        <v>54.8</v>
      </c>
      <c r="Y41" s="207">
        <v>33.97</v>
      </c>
      <c r="Z41" s="204"/>
      <c r="AA41" s="207"/>
      <c r="AB41" s="207"/>
      <c r="AC41" s="207">
        <f t="shared" si="35"/>
        <v>517.1</v>
      </c>
      <c r="AD41" s="248">
        <f t="shared" si="36"/>
        <v>517.1</v>
      </c>
      <c r="AE41" s="275"/>
      <c r="AF41" s="248">
        <f>525.1-8</f>
        <v>517.1</v>
      </c>
      <c r="AG41" s="207"/>
      <c r="AH41" s="207"/>
      <c r="AI41" s="207">
        <f t="shared" si="37"/>
        <v>3750.6</v>
      </c>
      <c r="AJ41" s="170"/>
      <c r="AK41" s="170">
        <v>2</v>
      </c>
      <c r="AL41" s="170">
        <v>1</v>
      </c>
      <c r="AM41" s="170">
        <v>1</v>
      </c>
      <c r="AN41" s="170"/>
      <c r="AO41" s="170">
        <v>1</v>
      </c>
      <c r="AP41" s="170">
        <v>3300</v>
      </c>
      <c r="AQ41" s="170"/>
      <c r="AR41" s="170">
        <v>390</v>
      </c>
      <c r="AS41" s="170">
        <v>332</v>
      </c>
      <c r="AT41" s="170">
        <v>39</v>
      </c>
      <c r="AU41" s="170">
        <f t="shared" si="6"/>
        <v>4390</v>
      </c>
      <c r="AV41" s="170"/>
      <c r="AW41" s="170">
        <v>4390</v>
      </c>
      <c r="AX41" s="170">
        <v>0</v>
      </c>
      <c r="AY41" s="170">
        <v>278</v>
      </c>
      <c r="AZ41" s="170">
        <v>979</v>
      </c>
      <c r="BA41" s="170">
        <v>551</v>
      </c>
      <c r="BB41" s="170">
        <v>1</v>
      </c>
      <c r="BC41" s="170">
        <v>85</v>
      </c>
      <c r="BD41" s="170">
        <v>198</v>
      </c>
      <c r="BE41" s="170">
        <v>341</v>
      </c>
      <c r="BF41" s="170">
        <v>1</v>
      </c>
      <c r="BG41" s="170">
        <v>7600</v>
      </c>
      <c r="BH41" s="170">
        <v>3270</v>
      </c>
      <c r="BI41" s="170">
        <v>120</v>
      </c>
      <c r="BJ41" s="115">
        <f t="shared" si="38"/>
        <v>1</v>
      </c>
      <c r="BK41" s="115">
        <f t="shared" si="39"/>
        <v>3233.5</v>
      </c>
      <c r="BL41" s="115">
        <f t="shared" si="40"/>
        <v>1775.2</v>
      </c>
      <c r="BM41" s="115" t="str">
        <f t="shared" si="41"/>
        <v>0</v>
      </c>
      <c r="BN41" s="115" t="str">
        <f t="shared" si="42"/>
        <v>0</v>
      </c>
      <c r="BO41" s="115" t="str">
        <f t="shared" si="43"/>
        <v>0</v>
      </c>
      <c r="BP41" s="115" t="str">
        <f t="shared" si="44"/>
        <v>0</v>
      </c>
      <c r="BQ41" s="115" t="str">
        <f t="shared" si="45"/>
        <v>0</v>
      </c>
      <c r="BR41" s="115" t="str">
        <f t="shared" si="46"/>
        <v>0</v>
      </c>
      <c r="BS41" s="115"/>
      <c r="BT41" s="115">
        <v>1</v>
      </c>
      <c r="BU41" s="115">
        <f>BA41</f>
        <v>551</v>
      </c>
      <c r="BV41" s="115">
        <v>3668</v>
      </c>
      <c r="BW41" s="115"/>
      <c r="BX41" s="115">
        <f>AP41</f>
        <v>3300</v>
      </c>
      <c r="BY41" s="253">
        <v>1749.8999999999999</v>
      </c>
      <c r="BZ41" s="253">
        <v>1080.0999999999999</v>
      </c>
      <c r="CA41" s="205">
        <v>1805</v>
      </c>
      <c r="CB41" s="282">
        <f t="shared" si="47"/>
        <v>756</v>
      </c>
      <c r="CC41" s="209" t="str">
        <f t="shared" ref="CC41:CC49" si="54">IF(CD41&gt;0,G41,"0")</f>
        <v>0</v>
      </c>
      <c r="CD41" s="235">
        <f t="shared" si="18"/>
        <v>0</v>
      </c>
      <c r="CE41" s="209">
        <f t="shared" si="19"/>
        <v>1</v>
      </c>
      <c r="CF41" s="235">
        <f t="shared" si="20"/>
        <v>4390</v>
      </c>
      <c r="CG41" s="235">
        <f t="shared" si="21"/>
        <v>1</v>
      </c>
      <c r="CH41" s="235">
        <f t="shared" si="22"/>
        <v>4390</v>
      </c>
      <c r="CI41" s="156">
        <v>71</v>
      </c>
      <c r="CJ41" s="284" t="str">
        <f t="shared" si="48"/>
        <v>0</v>
      </c>
      <c r="CK41" s="284" t="str">
        <f t="shared" si="49"/>
        <v>0</v>
      </c>
      <c r="CL41" s="243">
        <f t="shared" si="50"/>
        <v>1.6947580021648367</v>
      </c>
      <c r="CM41" s="216" t="str">
        <f t="shared" si="51"/>
        <v>0</v>
      </c>
      <c r="CN41" s="216" t="str">
        <f t="shared" si="52"/>
        <v>0</v>
      </c>
      <c r="CO41" s="243">
        <f t="shared" si="53"/>
        <v>15.24822695035461</v>
      </c>
      <c r="CP41" s="306">
        <v>1</v>
      </c>
      <c r="CQ41" s="306">
        <v>0</v>
      </c>
      <c r="CR41" s="306">
        <v>0</v>
      </c>
      <c r="CS41" s="306">
        <v>0</v>
      </c>
      <c r="CT41" s="306">
        <v>2</v>
      </c>
      <c r="CU41" s="306">
        <v>0</v>
      </c>
      <c r="CV41" s="306">
        <v>0</v>
      </c>
      <c r="CW41" s="306">
        <v>0</v>
      </c>
      <c r="CX41" s="306">
        <v>0</v>
      </c>
      <c r="CY41" s="306">
        <v>55</v>
      </c>
      <c r="CZ41" s="306">
        <f t="shared" si="29"/>
        <v>54</v>
      </c>
      <c r="DA41" s="306">
        <v>1</v>
      </c>
      <c r="DB41" s="306">
        <v>50</v>
      </c>
      <c r="DC41" s="306">
        <v>23</v>
      </c>
      <c r="DD41" s="306">
        <v>40</v>
      </c>
      <c r="DE41" s="306">
        <v>26</v>
      </c>
      <c r="DF41" s="306">
        <v>28</v>
      </c>
      <c r="DG41" s="306">
        <v>34</v>
      </c>
      <c r="DH41" s="306">
        <v>32</v>
      </c>
      <c r="DI41" s="306">
        <v>1</v>
      </c>
      <c r="DJ41" s="306">
        <v>0</v>
      </c>
      <c r="DK41" s="306">
        <v>0</v>
      </c>
      <c r="DL41" s="306">
        <v>0</v>
      </c>
      <c r="DM41" s="306">
        <v>0</v>
      </c>
      <c r="DN41" s="306">
        <v>0</v>
      </c>
      <c r="DO41" s="306">
        <v>0</v>
      </c>
      <c r="DP41" s="306">
        <v>55</v>
      </c>
      <c r="DQ41" s="306">
        <v>55</v>
      </c>
    </row>
    <row r="42" spans="1:126" x14ac:dyDescent="0.2">
      <c r="A42" s="149" t="s">
        <v>197</v>
      </c>
      <c r="B42" s="169">
        <v>36</v>
      </c>
      <c r="C42" s="12" t="s">
        <v>238</v>
      </c>
      <c r="D42" s="200">
        <v>1986</v>
      </c>
      <c r="E42" s="11"/>
      <c r="F42" s="169">
        <v>84</v>
      </c>
      <c r="G42" s="35">
        <v>1</v>
      </c>
      <c r="H42" s="201">
        <v>9</v>
      </c>
      <c r="I42" s="201" t="s">
        <v>22</v>
      </c>
      <c r="J42" s="115">
        <v>22612</v>
      </c>
      <c r="K42" s="115">
        <v>962</v>
      </c>
      <c r="L42" s="157"/>
      <c r="M42" s="115">
        <v>890</v>
      </c>
      <c r="N42" s="115">
        <v>108</v>
      </c>
      <c r="O42" s="115">
        <v>231</v>
      </c>
      <c r="P42" s="115">
        <v>108</v>
      </c>
      <c r="Q42" s="115">
        <v>218</v>
      </c>
      <c r="R42" s="228">
        <v>5651.1</v>
      </c>
      <c r="S42" s="230">
        <v>3347.1</v>
      </c>
      <c r="T42" s="115">
        <f t="shared" si="32"/>
        <v>103</v>
      </c>
      <c r="U42" s="203">
        <f t="shared" si="33"/>
        <v>5399.39</v>
      </c>
      <c r="V42" s="180">
        <f t="shared" si="34"/>
        <v>3191.04</v>
      </c>
      <c r="W42" s="115">
        <v>5</v>
      </c>
      <c r="X42" s="207">
        <v>251.71</v>
      </c>
      <c r="Y42" s="207">
        <v>156.06</v>
      </c>
      <c r="Z42" s="204"/>
      <c r="AA42" s="207"/>
      <c r="AB42" s="207"/>
      <c r="AC42" s="207">
        <f t="shared" si="35"/>
        <v>0</v>
      </c>
      <c r="AD42" s="248">
        <f t="shared" si="36"/>
        <v>0</v>
      </c>
      <c r="AE42" s="275"/>
      <c r="AF42" s="248"/>
      <c r="AG42" s="207"/>
      <c r="AH42" s="207"/>
      <c r="AI42" s="207">
        <f t="shared" si="37"/>
        <v>5651.1</v>
      </c>
      <c r="AJ42" s="170"/>
      <c r="AK42" s="170">
        <v>3</v>
      </c>
      <c r="AL42" s="170">
        <v>3</v>
      </c>
      <c r="AM42" s="170">
        <v>3</v>
      </c>
      <c r="AN42" s="170"/>
      <c r="AO42" s="170">
        <v>4</v>
      </c>
      <c r="AP42" s="170">
        <v>4358</v>
      </c>
      <c r="AQ42" s="170"/>
      <c r="AR42" s="170">
        <v>910</v>
      </c>
      <c r="AS42" s="170">
        <v>336</v>
      </c>
      <c r="AT42" s="170">
        <v>108</v>
      </c>
      <c r="AU42" s="170">
        <f t="shared" si="6"/>
        <v>12500</v>
      </c>
      <c r="AV42" s="170"/>
      <c r="AW42" s="170">
        <v>12500</v>
      </c>
      <c r="AX42" s="170">
        <v>2520</v>
      </c>
      <c r="AY42" s="170">
        <v>299</v>
      </c>
      <c r="AZ42" s="170">
        <v>883</v>
      </c>
      <c r="BA42" s="170">
        <v>883</v>
      </c>
      <c r="BB42" s="170">
        <v>54</v>
      </c>
      <c r="BC42" s="170">
        <v>9</v>
      </c>
      <c r="BD42" s="170">
        <v>375</v>
      </c>
      <c r="BE42" s="170">
        <v>717</v>
      </c>
      <c r="BF42" s="170">
        <v>1</v>
      </c>
      <c r="BG42" s="170">
        <v>10710</v>
      </c>
      <c r="BH42" s="170">
        <v>4905</v>
      </c>
      <c r="BI42" s="170">
        <v>135</v>
      </c>
      <c r="BJ42" s="115" t="str">
        <f t="shared" si="38"/>
        <v>0</v>
      </c>
      <c r="BK42" s="115" t="str">
        <f t="shared" si="39"/>
        <v>0</v>
      </c>
      <c r="BL42" s="115" t="str">
        <f t="shared" si="40"/>
        <v>0</v>
      </c>
      <c r="BM42" s="115">
        <f t="shared" si="41"/>
        <v>1</v>
      </c>
      <c r="BN42" s="115">
        <f t="shared" si="42"/>
        <v>5651.1</v>
      </c>
      <c r="BO42" s="115">
        <f t="shared" si="43"/>
        <v>3347.1</v>
      </c>
      <c r="BP42" s="115" t="str">
        <f t="shared" si="44"/>
        <v>0</v>
      </c>
      <c r="BQ42" s="115" t="str">
        <f t="shared" si="45"/>
        <v>0</v>
      </c>
      <c r="BR42" s="115" t="str">
        <f t="shared" si="46"/>
        <v>0</v>
      </c>
      <c r="BS42" s="115"/>
      <c r="BT42" s="115">
        <v>2</v>
      </c>
      <c r="BU42" s="115">
        <f>BA42</f>
        <v>883</v>
      </c>
      <c r="BV42" s="115">
        <v>4936</v>
      </c>
      <c r="BW42" s="115"/>
      <c r="BX42" s="115"/>
      <c r="BY42" s="253">
        <v>1607.7</v>
      </c>
      <c r="BZ42" s="253">
        <v>816.9</v>
      </c>
      <c r="CA42" s="205">
        <v>2196</v>
      </c>
      <c r="CB42" s="282">
        <f t="shared" si="47"/>
        <v>1234</v>
      </c>
      <c r="CC42" s="209" t="str">
        <f t="shared" si="54"/>
        <v>0</v>
      </c>
      <c r="CD42" s="235">
        <f t="shared" si="18"/>
        <v>0</v>
      </c>
      <c r="CE42" s="209">
        <f t="shared" si="19"/>
        <v>1</v>
      </c>
      <c r="CF42" s="235">
        <f t="shared" si="20"/>
        <v>12500</v>
      </c>
      <c r="CG42" s="235">
        <f t="shared" si="21"/>
        <v>1</v>
      </c>
      <c r="CH42" s="235">
        <f t="shared" si="22"/>
        <v>12500</v>
      </c>
      <c r="CI42" s="156">
        <v>44</v>
      </c>
      <c r="CJ42" s="284" t="str">
        <f t="shared" si="48"/>
        <v>0</v>
      </c>
      <c r="CK42" s="284" t="str">
        <f t="shared" si="49"/>
        <v>0</v>
      </c>
      <c r="CL42" s="243">
        <f t="shared" si="50"/>
        <v>4.4541770628727146</v>
      </c>
      <c r="CM42" s="216" t="str">
        <f t="shared" si="51"/>
        <v>0</v>
      </c>
      <c r="CN42" s="216" t="str">
        <f t="shared" si="52"/>
        <v>0</v>
      </c>
      <c r="CO42" s="243">
        <f t="shared" si="53"/>
        <v>4.4541770628727146</v>
      </c>
      <c r="CP42" s="306">
        <v>1</v>
      </c>
      <c r="CQ42" s="306">
        <v>0</v>
      </c>
      <c r="CR42" s="306">
        <v>0</v>
      </c>
      <c r="CS42" s="306">
        <v>0</v>
      </c>
      <c r="CT42" s="306">
        <v>2</v>
      </c>
      <c r="CU42" s="306">
        <v>0</v>
      </c>
      <c r="CV42" s="306">
        <v>0</v>
      </c>
      <c r="CW42" s="306">
        <v>0</v>
      </c>
      <c r="CX42" s="306">
        <v>0</v>
      </c>
      <c r="CY42" s="306">
        <v>108</v>
      </c>
      <c r="CZ42" s="306">
        <f t="shared" si="29"/>
        <v>102</v>
      </c>
      <c r="DA42" s="306">
        <v>6</v>
      </c>
      <c r="DB42" s="306">
        <v>102</v>
      </c>
      <c r="DC42" s="306">
        <v>50</v>
      </c>
      <c r="DD42" s="306">
        <v>75</v>
      </c>
      <c r="DE42" s="306">
        <v>67</v>
      </c>
      <c r="DF42" s="306">
        <v>58</v>
      </c>
      <c r="DG42" s="306">
        <v>63</v>
      </c>
      <c r="DH42" s="306">
        <v>79</v>
      </c>
      <c r="DI42" s="306">
        <v>6</v>
      </c>
      <c r="DJ42" s="306">
        <v>2</v>
      </c>
      <c r="DK42" s="306">
        <v>4</v>
      </c>
      <c r="DL42" s="306">
        <v>3</v>
      </c>
      <c r="DM42" s="306">
        <v>2</v>
      </c>
      <c r="DN42" s="306">
        <v>4</v>
      </c>
      <c r="DO42" s="306">
        <v>3</v>
      </c>
      <c r="DP42" s="306">
        <v>108</v>
      </c>
      <c r="DQ42" s="306">
        <v>108</v>
      </c>
    </row>
    <row r="43" spans="1:126" x14ac:dyDescent="0.2">
      <c r="A43" s="326" t="s">
        <v>203</v>
      </c>
      <c r="B43" s="169">
        <v>37</v>
      </c>
      <c r="C43" s="12" t="s">
        <v>239</v>
      </c>
      <c r="D43" s="200">
        <v>1993</v>
      </c>
      <c r="E43" s="11"/>
      <c r="F43" s="169" t="s">
        <v>149</v>
      </c>
      <c r="G43" s="35">
        <v>1</v>
      </c>
      <c r="H43" s="201">
        <v>12</v>
      </c>
      <c r="I43" s="201" t="s">
        <v>19</v>
      </c>
      <c r="J43" s="115">
        <v>24604</v>
      </c>
      <c r="K43" s="115">
        <v>1051</v>
      </c>
      <c r="L43" s="157"/>
      <c r="M43" s="115">
        <v>547</v>
      </c>
      <c r="N43" s="115">
        <v>55</v>
      </c>
      <c r="O43" s="115">
        <v>121</v>
      </c>
      <c r="P43" s="115">
        <v>55</v>
      </c>
      <c r="Q43" s="115">
        <v>98</v>
      </c>
      <c r="R43" s="228">
        <v>3163.2</v>
      </c>
      <c r="S43" s="230">
        <v>1753.2</v>
      </c>
      <c r="T43" s="115">
        <f t="shared" si="32"/>
        <v>53</v>
      </c>
      <c r="U43" s="203">
        <f t="shared" si="33"/>
        <v>3072.5</v>
      </c>
      <c r="V43" s="180">
        <f t="shared" si="34"/>
        <v>1696.97</v>
      </c>
      <c r="W43" s="115">
        <v>2</v>
      </c>
      <c r="X43" s="207">
        <v>90.7</v>
      </c>
      <c r="Y43" s="207">
        <v>56.23</v>
      </c>
      <c r="Z43" s="204"/>
      <c r="AA43" s="207"/>
      <c r="AB43" s="207"/>
      <c r="AC43" s="207">
        <f t="shared" si="35"/>
        <v>554.59999999999991</v>
      </c>
      <c r="AD43" s="248">
        <f t="shared" si="36"/>
        <v>534.29999999999995</v>
      </c>
      <c r="AE43" s="275"/>
      <c r="AF43" s="248">
        <v>534.29999999999995</v>
      </c>
      <c r="AG43" s="207">
        <v>20.3</v>
      </c>
      <c r="AH43" s="207"/>
      <c r="AI43" s="207">
        <f t="shared" si="37"/>
        <v>3717.7999999999997</v>
      </c>
      <c r="AJ43" s="170"/>
      <c r="AK43" s="170">
        <v>2</v>
      </c>
      <c r="AL43" s="170">
        <v>1</v>
      </c>
      <c r="AM43" s="170">
        <v>1</v>
      </c>
      <c r="AN43" s="170"/>
      <c r="AO43" s="170">
        <v>1</v>
      </c>
      <c r="AP43" s="170">
        <v>3300</v>
      </c>
      <c r="AQ43" s="170"/>
      <c r="AR43" s="170">
        <v>905</v>
      </c>
      <c r="AS43" s="170">
        <v>332</v>
      </c>
      <c r="AT43" s="170">
        <v>39</v>
      </c>
      <c r="AU43" s="170">
        <f t="shared" si="6"/>
        <v>4390</v>
      </c>
      <c r="AV43" s="170"/>
      <c r="AW43" s="170">
        <v>4390</v>
      </c>
      <c r="AX43" s="170">
        <v>0</v>
      </c>
      <c r="AY43" s="170">
        <v>278</v>
      </c>
      <c r="AZ43" s="170">
        <v>972</v>
      </c>
      <c r="BA43" s="170">
        <v>549</v>
      </c>
      <c r="BB43" s="170">
        <v>13</v>
      </c>
      <c r="BC43" s="170">
        <v>87</v>
      </c>
      <c r="BD43" s="170">
        <v>198</v>
      </c>
      <c r="BE43" s="170">
        <v>341</v>
      </c>
      <c r="BF43" s="170">
        <v>1</v>
      </c>
      <c r="BG43" s="170">
        <v>7600</v>
      </c>
      <c r="BH43" s="170">
        <v>3270</v>
      </c>
      <c r="BI43" s="170">
        <v>120</v>
      </c>
      <c r="BJ43" s="115">
        <f t="shared" si="38"/>
        <v>1</v>
      </c>
      <c r="BK43" s="115">
        <f t="shared" si="39"/>
        <v>3163.2</v>
      </c>
      <c r="BL43" s="115">
        <f t="shared" si="40"/>
        <v>1753.2</v>
      </c>
      <c r="BM43" s="115" t="str">
        <f t="shared" si="41"/>
        <v>0</v>
      </c>
      <c r="BN43" s="115" t="str">
        <f t="shared" si="42"/>
        <v>0</v>
      </c>
      <c r="BO43" s="115" t="str">
        <f t="shared" si="43"/>
        <v>0</v>
      </c>
      <c r="BP43" s="115" t="str">
        <f t="shared" si="44"/>
        <v>0</v>
      </c>
      <c r="BQ43" s="115" t="str">
        <f t="shared" si="45"/>
        <v>0</v>
      </c>
      <c r="BR43" s="115" t="str">
        <f t="shared" si="46"/>
        <v>0</v>
      </c>
      <c r="BS43" s="115"/>
      <c r="BT43" s="115">
        <v>1</v>
      </c>
      <c r="BU43" s="115">
        <f>BA43</f>
        <v>549</v>
      </c>
      <c r="BV43" s="115">
        <v>3668</v>
      </c>
      <c r="BW43" s="115"/>
      <c r="BX43" s="115">
        <f>AP43</f>
        <v>3300</v>
      </c>
      <c r="BY43" s="253">
        <v>1862.4</v>
      </c>
      <c r="BZ43" s="253">
        <v>1181.5</v>
      </c>
      <c r="CA43" s="205">
        <v>1769</v>
      </c>
      <c r="CB43" s="282">
        <f t="shared" si="47"/>
        <v>718</v>
      </c>
      <c r="CC43" s="209" t="str">
        <f t="shared" si="54"/>
        <v>0</v>
      </c>
      <c r="CD43" s="235">
        <f t="shared" si="18"/>
        <v>0</v>
      </c>
      <c r="CE43" s="209">
        <f t="shared" si="19"/>
        <v>1</v>
      </c>
      <c r="CF43" s="235">
        <f t="shared" si="20"/>
        <v>4390</v>
      </c>
      <c r="CG43" s="235">
        <f t="shared" si="21"/>
        <v>1</v>
      </c>
      <c r="CH43" s="235">
        <f t="shared" si="22"/>
        <v>4390</v>
      </c>
      <c r="CI43" s="156">
        <v>66</v>
      </c>
      <c r="CJ43" s="284" t="str">
        <f t="shared" si="48"/>
        <v>0</v>
      </c>
      <c r="CK43" s="284" t="str">
        <f t="shared" si="49"/>
        <v>0</v>
      </c>
      <c r="CL43" s="243">
        <f t="shared" si="50"/>
        <v>2.8673495194739504</v>
      </c>
      <c r="CM43" s="216" t="str">
        <f t="shared" si="51"/>
        <v>0</v>
      </c>
      <c r="CN43" s="216" t="str">
        <f t="shared" si="52"/>
        <v>0</v>
      </c>
      <c r="CO43" s="243">
        <f t="shared" si="53"/>
        <v>16.811017268276942</v>
      </c>
      <c r="CP43" s="306">
        <v>1</v>
      </c>
      <c r="CQ43" s="306">
        <v>0</v>
      </c>
      <c r="CR43" s="306">
        <v>0</v>
      </c>
      <c r="CS43" s="306">
        <v>0</v>
      </c>
      <c r="CT43" s="306">
        <v>2</v>
      </c>
      <c r="CU43" s="306">
        <v>0</v>
      </c>
      <c r="CV43" s="306">
        <v>0</v>
      </c>
      <c r="CW43" s="306">
        <v>0</v>
      </c>
      <c r="CX43" s="306">
        <v>0</v>
      </c>
      <c r="CY43" s="306">
        <v>55</v>
      </c>
      <c r="CZ43" s="306">
        <f t="shared" si="29"/>
        <v>53</v>
      </c>
      <c r="DA43" s="306">
        <v>2</v>
      </c>
      <c r="DB43" s="306">
        <v>51</v>
      </c>
      <c r="DC43" s="306">
        <v>22</v>
      </c>
      <c r="DD43" s="306">
        <v>39</v>
      </c>
      <c r="DE43" s="306">
        <v>27</v>
      </c>
      <c r="DF43" s="306">
        <v>28</v>
      </c>
      <c r="DG43" s="306">
        <v>32</v>
      </c>
      <c r="DH43" s="306">
        <v>34</v>
      </c>
      <c r="DI43" s="306">
        <v>2</v>
      </c>
      <c r="DJ43" s="306">
        <v>0</v>
      </c>
      <c r="DK43" s="306">
        <v>2</v>
      </c>
      <c r="DL43" s="306">
        <v>0</v>
      </c>
      <c r="DM43" s="306">
        <v>0</v>
      </c>
      <c r="DN43" s="306">
        <v>2</v>
      </c>
      <c r="DO43" s="306">
        <v>0</v>
      </c>
      <c r="DP43" s="306">
        <v>55</v>
      </c>
      <c r="DQ43" s="306">
        <v>55</v>
      </c>
    </row>
    <row r="44" spans="1:126" x14ac:dyDescent="0.2">
      <c r="A44" s="149" t="s">
        <v>197</v>
      </c>
      <c r="B44" s="169">
        <v>38</v>
      </c>
      <c r="C44" s="12" t="s">
        <v>240</v>
      </c>
      <c r="D44" s="200">
        <v>1958</v>
      </c>
      <c r="E44" s="11"/>
      <c r="F44" s="169" t="s">
        <v>207</v>
      </c>
      <c r="G44" s="35">
        <v>1</v>
      </c>
      <c r="H44" s="201">
        <v>5</v>
      </c>
      <c r="I44" s="201" t="s">
        <v>19</v>
      </c>
      <c r="J44" s="115">
        <v>49235</v>
      </c>
      <c r="K44" s="115">
        <v>2979</v>
      </c>
      <c r="L44" s="157">
        <v>3636</v>
      </c>
      <c r="M44" s="115"/>
      <c r="N44" s="115">
        <v>166</v>
      </c>
      <c r="O44" s="115">
        <v>373</v>
      </c>
      <c r="P44" s="115">
        <v>166</v>
      </c>
      <c r="Q44" s="115">
        <v>308</v>
      </c>
      <c r="R44" s="228">
        <f>10263.43+0.11</f>
        <v>10263.540000000001</v>
      </c>
      <c r="S44" s="230">
        <v>5797.41</v>
      </c>
      <c r="T44" s="115">
        <f t="shared" si="32"/>
        <v>157</v>
      </c>
      <c r="U44" s="203">
        <f t="shared" si="33"/>
        <v>9662.43</v>
      </c>
      <c r="V44" s="180">
        <f t="shared" si="34"/>
        <v>5471.97</v>
      </c>
      <c r="W44" s="115">
        <v>8</v>
      </c>
      <c r="X44" s="207">
        <v>524.91</v>
      </c>
      <c r="Y44" s="207">
        <v>325.44</v>
      </c>
      <c r="Z44" s="115">
        <v>1</v>
      </c>
      <c r="AA44" s="207">
        <v>76.2</v>
      </c>
      <c r="AB44" s="207"/>
      <c r="AC44" s="207">
        <f t="shared" si="35"/>
        <v>125.8</v>
      </c>
      <c r="AD44" s="248">
        <f t="shared" si="36"/>
        <v>0</v>
      </c>
      <c r="AE44" s="275"/>
      <c r="AF44" s="248"/>
      <c r="AG44" s="207">
        <v>125.8</v>
      </c>
      <c r="AH44" s="207"/>
      <c r="AI44" s="207">
        <f t="shared" si="37"/>
        <v>10389.34</v>
      </c>
      <c r="AJ44" s="170"/>
      <c r="AK44" s="170"/>
      <c r="AL44" s="170">
        <v>8</v>
      </c>
      <c r="AM44" s="170"/>
      <c r="AN44" s="170">
        <v>1</v>
      </c>
      <c r="AO44" s="170">
        <v>2</v>
      </c>
      <c r="AP44" s="170">
        <v>10290</v>
      </c>
      <c r="AQ44" s="170"/>
      <c r="AR44" s="170">
        <v>634</v>
      </c>
      <c r="AS44" s="170">
        <v>478</v>
      </c>
      <c r="AT44" s="170">
        <v>240</v>
      </c>
      <c r="AU44" s="170">
        <f t="shared" si="6"/>
        <v>8375</v>
      </c>
      <c r="AV44" s="170"/>
      <c r="AW44" s="170">
        <v>8375</v>
      </c>
      <c r="AX44" s="170"/>
      <c r="AY44" s="170">
        <v>204</v>
      </c>
      <c r="AZ44" s="170">
        <v>2948</v>
      </c>
      <c r="BA44" s="170">
        <v>2948</v>
      </c>
      <c r="BB44" s="170">
        <v>32</v>
      </c>
      <c r="BC44" s="170">
        <v>16</v>
      </c>
      <c r="BD44" s="170">
        <v>565</v>
      </c>
      <c r="BE44" s="170">
        <v>170</v>
      </c>
      <c r="BF44" s="170">
        <v>1</v>
      </c>
      <c r="BG44" s="170">
        <v>13600</v>
      </c>
      <c r="BH44" s="170">
        <v>240</v>
      </c>
      <c r="BI44" s="170"/>
      <c r="BJ44" s="115">
        <f t="shared" si="38"/>
        <v>1</v>
      </c>
      <c r="BK44" s="115">
        <f t="shared" si="39"/>
        <v>10263.540000000001</v>
      </c>
      <c r="BL44" s="115">
        <f t="shared" si="40"/>
        <v>5797.41</v>
      </c>
      <c r="BM44" s="115" t="str">
        <f t="shared" si="41"/>
        <v>0</v>
      </c>
      <c r="BN44" s="115" t="str">
        <f t="shared" si="42"/>
        <v>0</v>
      </c>
      <c r="BO44" s="115" t="str">
        <f t="shared" si="43"/>
        <v>0</v>
      </c>
      <c r="BP44" s="115" t="str">
        <f t="shared" si="44"/>
        <v>0</v>
      </c>
      <c r="BQ44" s="115" t="str">
        <f t="shared" si="45"/>
        <v>0</v>
      </c>
      <c r="BR44" s="115" t="str">
        <f t="shared" si="46"/>
        <v>0</v>
      </c>
      <c r="BS44" s="209"/>
      <c r="BT44" s="209">
        <v>4</v>
      </c>
      <c r="BU44" s="115">
        <f>BA44</f>
        <v>2948</v>
      </c>
      <c r="BV44" s="209">
        <v>9828</v>
      </c>
      <c r="BW44" s="115">
        <v>8</v>
      </c>
      <c r="BX44" s="115">
        <f>AP44</f>
        <v>10290</v>
      </c>
      <c r="BY44" s="253">
        <v>4030.63</v>
      </c>
      <c r="BZ44" s="253">
        <v>1032.05</v>
      </c>
      <c r="CA44" s="205">
        <v>5932</v>
      </c>
      <c r="CB44" s="282">
        <f t="shared" si="47"/>
        <v>2953</v>
      </c>
      <c r="CC44" s="209" t="str">
        <f t="shared" si="54"/>
        <v>0</v>
      </c>
      <c r="CD44" s="235">
        <f t="shared" si="18"/>
        <v>0</v>
      </c>
      <c r="CE44" s="209">
        <f t="shared" si="19"/>
        <v>1</v>
      </c>
      <c r="CF44" s="235">
        <f t="shared" si="20"/>
        <v>8375</v>
      </c>
      <c r="CG44" s="235">
        <f t="shared" si="21"/>
        <v>1</v>
      </c>
      <c r="CH44" s="235">
        <f t="shared" si="22"/>
        <v>8375</v>
      </c>
      <c r="CI44" s="156">
        <v>67</v>
      </c>
      <c r="CJ44" s="284" t="str">
        <f t="shared" si="48"/>
        <v>0</v>
      </c>
      <c r="CK44" s="284" t="str">
        <f t="shared" si="49"/>
        <v>0</v>
      </c>
      <c r="CL44" s="243">
        <f t="shared" si="50"/>
        <v>5.1143172823411795</v>
      </c>
      <c r="CM44" s="216" t="str">
        <f t="shared" si="51"/>
        <v>0</v>
      </c>
      <c r="CN44" s="216" t="str">
        <f t="shared" si="52"/>
        <v>0</v>
      </c>
      <c r="CO44" s="243">
        <f t="shared" si="53"/>
        <v>5.0523902384559554</v>
      </c>
      <c r="CP44" s="306">
        <v>1</v>
      </c>
      <c r="CQ44" s="306">
        <v>0</v>
      </c>
      <c r="CR44" s="306">
        <v>0</v>
      </c>
      <c r="CS44" s="306">
        <v>0</v>
      </c>
      <c r="CT44" s="306">
        <v>2</v>
      </c>
      <c r="CU44" s="306">
        <v>0</v>
      </c>
      <c r="CV44" s="306">
        <v>0</v>
      </c>
      <c r="CW44" s="306">
        <v>0</v>
      </c>
      <c r="CX44" s="306">
        <v>0</v>
      </c>
      <c r="CY44" s="306">
        <v>167</v>
      </c>
      <c r="CZ44" s="306">
        <f t="shared" si="29"/>
        <v>153</v>
      </c>
      <c r="DA44" s="306">
        <v>14</v>
      </c>
      <c r="DB44" s="306">
        <v>104</v>
      </c>
      <c r="DC44" s="306">
        <v>42</v>
      </c>
      <c r="DD44" s="306">
        <v>129</v>
      </c>
      <c r="DE44" s="306">
        <v>43</v>
      </c>
      <c r="DF44" s="306">
        <v>55</v>
      </c>
      <c r="DG44" s="306">
        <v>116</v>
      </c>
      <c r="DH44" s="306">
        <v>56</v>
      </c>
      <c r="DI44" s="306">
        <v>5</v>
      </c>
      <c r="DJ44" s="306">
        <v>1</v>
      </c>
      <c r="DK44" s="306">
        <v>13</v>
      </c>
      <c r="DL44" s="306">
        <v>1</v>
      </c>
      <c r="DM44" s="306">
        <v>1</v>
      </c>
      <c r="DN44" s="306">
        <v>13</v>
      </c>
      <c r="DO44" s="306">
        <v>1</v>
      </c>
      <c r="DP44" s="306">
        <v>167</v>
      </c>
      <c r="DQ44" s="306">
        <f>167-4</f>
        <v>163</v>
      </c>
    </row>
    <row r="45" spans="1:126" x14ac:dyDescent="0.2">
      <c r="A45" s="149" t="s">
        <v>197</v>
      </c>
      <c r="B45" s="169">
        <v>39</v>
      </c>
      <c r="C45" s="12" t="s">
        <v>241</v>
      </c>
      <c r="D45" s="200">
        <v>1987</v>
      </c>
      <c r="E45" s="11"/>
      <c r="F45" s="206" t="s">
        <v>24</v>
      </c>
      <c r="G45" s="35">
        <v>1</v>
      </c>
      <c r="H45" s="201">
        <v>9</v>
      </c>
      <c r="I45" s="201" t="s">
        <v>22</v>
      </c>
      <c r="J45" s="115">
        <v>19803</v>
      </c>
      <c r="K45" s="115">
        <v>787</v>
      </c>
      <c r="L45" s="157"/>
      <c r="M45" s="115">
        <v>723</v>
      </c>
      <c r="N45" s="115">
        <v>70</v>
      </c>
      <c r="O45" s="115">
        <v>196</v>
      </c>
      <c r="P45" s="115">
        <v>70</v>
      </c>
      <c r="Q45" s="115">
        <v>194</v>
      </c>
      <c r="R45" s="228">
        <v>4601.3</v>
      </c>
      <c r="S45" s="230">
        <v>2878</v>
      </c>
      <c r="T45" s="115">
        <f t="shared" si="32"/>
        <v>68</v>
      </c>
      <c r="U45" s="203">
        <f t="shared" si="33"/>
        <v>4462.4000000000005</v>
      </c>
      <c r="V45" s="180">
        <f t="shared" si="34"/>
        <v>2791.88</v>
      </c>
      <c r="W45" s="115">
        <v>2</v>
      </c>
      <c r="X45" s="207">
        <v>138.9</v>
      </c>
      <c r="Y45" s="207">
        <v>86.12</v>
      </c>
      <c r="Z45" s="204"/>
      <c r="AA45" s="207"/>
      <c r="AB45" s="207"/>
      <c r="AC45" s="207">
        <f t="shared" si="35"/>
        <v>0</v>
      </c>
      <c r="AD45" s="248">
        <f t="shared" si="36"/>
        <v>0</v>
      </c>
      <c r="AE45" s="275"/>
      <c r="AF45" s="248"/>
      <c r="AG45" s="207"/>
      <c r="AH45" s="207"/>
      <c r="AI45" s="207">
        <f t="shared" si="37"/>
        <v>4601.3</v>
      </c>
      <c r="AJ45" s="170"/>
      <c r="AK45" s="170">
        <v>2</v>
      </c>
      <c r="AL45" s="170">
        <v>2</v>
      </c>
      <c r="AM45" s="170">
        <v>2</v>
      </c>
      <c r="AN45" s="170"/>
      <c r="AO45" s="170">
        <v>2</v>
      </c>
      <c r="AP45" s="170">
        <v>3575</v>
      </c>
      <c r="AQ45" s="170"/>
      <c r="AR45" s="170">
        <v>910</v>
      </c>
      <c r="AS45" s="170">
        <v>280</v>
      </c>
      <c r="AT45" s="170">
        <v>150</v>
      </c>
      <c r="AU45" s="170">
        <f t="shared" si="6"/>
        <v>8180</v>
      </c>
      <c r="AV45" s="170"/>
      <c r="AW45" s="170">
        <v>8180</v>
      </c>
      <c r="AX45" s="170">
        <v>1680</v>
      </c>
      <c r="AY45" s="170">
        <v>220</v>
      </c>
      <c r="AZ45" s="170">
        <v>725</v>
      </c>
      <c r="BA45" s="170">
        <v>725</v>
      </c>
      <c r="BB45" s="170">
        <v>32</v>
      </c>
      <c r="BC45" s="170">
        <v>40</v>
      </c>
      <c r="BD45" s="170">
        <v>266</v>
      </c>
      <c r="BE45" s="170">
        <v>476</v>
      </c>
      <c r="BF45" s="170">
        <v>1</v>
      </c>
      <c r="BG45" s="170">
        <v>7600</v>
      </c>
      <c r="BH45" s="170">
        <v>3270</v>
      </c>
      <c r="BI45" s="170">
        <v>90</v>
      </c>
      <c r="BJ45" s="115" t="str">
        <f t="shared" si="38"/>
        <v>0</v>
      </c>
      <c r="BK45" s="115" t="str">
        <f t="shared" si="39"/>
        <v>0</v>
      </c>
      <c r="BL45" s="115" t="str">
        <f t="shared" si="40"/>
        <v>0</v>
      </c>
      <c r="BM45" s="115">
        <f t="shared" si="41"/>
        <v>1</v>
      </c>
      <c r="BN45" s="115">
        <f t="shared" si="42"/>
        <v>4601.3</v>
      </c>
      <c r="BO45" s="115">
        <f t="shared" si="43"/>
        <v>2878</v>
      </c>
      <c r="BP45" s="115" t="str">
        <f t="shared" si="44"/>
        <v>0</v>
      </c>
      <c r="BQ45" s="115" t="str">
        <f t="shared" si="45"/>
        <v>0</v>
      </c>
      <c r="BR45" s="115" t="str">
        <f t="shared" si="46"/>
        <v>0</v>
      </c>
      <c r="BS45" s="115"/>
      <c r="BT45" s="115">
        <v>2</v>
      </c>
      <c r="BU45" s="115"/>
      <c r="BV45" s="115"/>
      <c r="BW45" s="115"/>
      <c r="BX45" s="115"/>
      <c r="BY45" s="253">
        <v>1569.5</v>
      </c>
      <c r="BZ45" s="253">
        <v>764.5</v>
      </c>
      <c r="CA45" s="205">
        <v>1774</v>
      </c>
      <c r="CB45" s="282">
        <f t="shared" si="47"/>
        <v>987</v>
      </c>
      <c r="CC45" s="209" t="str">
        <f t="shared" si="54"/>
        <v>0</v>
      </c>
      <c r="CD45" s="235">
        <f t="shared" si="18"/>
        <v>0</v>
      </c>
      <c r="CE45" s="209">
        <f t="shared" si="19"/>
        <v>1</v>
      </c>
      <c r="CF45" s="235">
        <f t="shared" si="20"/>
        <v>8180</v>
      </c>
      <c r="CG45" s="235">
        <f t="shared" si="21"/>
        <v>1</v>
      </c>
      <c r="CH45" s="235">
        <f t="shared" si="22"/>
        <v>8180</v>
      </c>
      <c r="CI45" s="156">
        <v>42</v>
      </c>
      <c r="CJ45" s="284" t="str">
        <f t="shared" si="48"/>
        <v>0</v>
      </c>
      <c r="CK45" s="284" t="str">
        <f t="shared" si="49"/>
        <v>0</v>
      </c>
      <c r="CL45" s="243">
        <f t="shared" si="50"/>
        <v>3.0187121031012976</v>
      </c>
      <c r="CM45" s="216" t="str">
        <f t="shared" si="51"/>
        <v>0</v>
      </c>
      <c r="CN45" s="216" t="str">
        <f t="shared" si="52"/>
        <v>0</v>
      </c>
      <c r="CO45" s="243">
        <f t="shared" si="53"/>
        <v>3.0187121031012976</v>
      </c>
      <c r="CP45" s="306">
        <v>1</v>
      </c>
      <c r="CQ45" s="306">
        <v>0</v>
      </c>
      <c r="CR45" s="306">
        <v>0</v>
      </c>
      <c r="CS45" s="306">
        <v>0</v>
      </c>
      <c r="CT45" s="306">
        <v>2</v>
      </c>
      <c r="CU45" s="306">
        <v>0</v>
      </c>
      <c r="CV45" s="306">
        <v>0</v>
      </c>
      <c r="CW45" s="306">
        <v>0</v>
      </c>
      <c r="CX45" s="306">
        <v>0</v>
      </c>
      <c r="CY45" s="306">
        <v>70</v>
      </c>
      <c r="CZ45" s="306">
        <f t="shared" si="29"/>
        <v>68</v>
      </c>
      <c r="DA45" s="306">
        <v>2</v>
      </c>
      <c r="DB45" s="306">
        <v>67</v>
      </c>
      <c r="DC45" s="306">
        <v>42</v>
      </c>
      <c r="DD45" s="306">
        <v>39</v>
      </c>
      <c r="DE45" s="306">
        <v>51</v>
      </c>
      <c r="DF45" s="306">
        <v>47</v>
      </c>
      <c r="DG45" s="306">
        <v>33</v>
      </c>
      <c r="DH45" s="306">
        <v>57</v>
      </c>
      <c r="DI45" s="306">
        <v>2</v>
      </c>
      <c r="DJ45" s="306">
        <v>0</v>
      </c>
      <c r="DK45" s="306">
        <v>6</v>
      </c>
      <c r="DL45" s="306">
        <v>0</v>
      </c>
      <c r="DM45" s="306">
        <v>0</v>
      </c>
      <c r="DN45" s="306">
        <v>6</v>
      </c>
      <c r="DO45" s="306">
        <v>0</v>
      </c>
      <c r="DP45" s="306">
        <v>70</v>
      </c>
      <c r="DQ45" s="306">
        <v>70</v>
      </c>
    </row>
    <row r="46" spans="1:126" x14ac:dyDescent="0.2">
      <c r="A46" s="149" t="s">
        <v>197</v>
      </c>
      <c r="B46" s="169">
        <v>40</v>
      </c>
      <c r="C46" s="12" t="s">
        <v>242</v>
      </c>
      <c r="D46" s="200">
        <v>1984</v>
      </c>
      <c r="E46" s="11"/>
      <c r="F46" s="169">
        <v>84</v>
      </c>
      <c r="G46" s="35">
        <v>1</v>
      </c>
      <c r="H46" s="201">
        <v>9</v>
      </c>
      <c r="I46" s="201" t="s">
        <v>22</v>
      </c>
      <c r="J46" s="115">
        <v>31228</v>
      </c>
      <c r="K46" s="115">
        <v>1319</v>
      </c>
      <c r="L46" s="157"/>
      <c r="M46" s="115">
        <v>1196</v>
      </c>
      <c r="N46" s="115">
        <v>144</v>
      </c>
      <c r="O46" s="115">
        <v>320</v>
      </c>
      <c r="P46" s="115">
        <v>144</v>
      </c>
      <c r="Q46" s="115">
        <v>311</v>
      </c>
      <c r="R46" s="228">
        <v>7756</v>
      </c>
      <c r="S46" s="230">
        <v>4614.1000000000004</v>
      </c>
      <c r="T46" s="115">
        <f t="shared" si="32"/>
        <v>135</v>
      </c>
      <c r="U46" s="203">
        <f t="shared" si="33"/>
        <v>7222.05</v>
      </c>
      <c r="V46" s="180">
        <f t="shared" si="34"/>
        <v>4283.05</v>
      </c>
      <c r="W46" s="115">
        <v>9</v>
      </c>
      <c r="X46" s="207">
        <v>533.95000000000005</v>
      </c>
      <c r="Y46" s="207">
        <v>331.05</v>
      </c>
      <c r="Z46" s="204"/>
      <c r="AA46" s="207"/>
      <c r="AB46" s="207"/>
      <c r="AC46" s="207">
        <f t="shared" si="35"/>
        <v>0</v>
      </c>
      <c r="AD46" s="248">
        <f t="shared" si="36"/>
        <v>0</v>
      </c>
      <c r="AE46" s="275"/>
      <c r="AF46" s="248"/>
      <c r="AG46" s="207"/>
      <c r="AH46" s="207"/>
      <c r="AI46" s="207">
        <f t="shared" si="37"/>
        <v>7756</v>
      </c>
      <c r="AJ46" s="170"/>
      <c r="AK46" s="170">
        <v>4</v>
      </c>
      <c r="AL46" s="170">
        <v>4</v>
      </c>
      <c r="AM46" s="170">
        <v>4</v>
      </c>
      <c r="AN46" s="170"/>
      <c r="AO46" s="170">
        <v>4</v>
      </c>
      <c r="AP46" s="170">
        <v>5460</v>
      </c>
      <c r="AQ46" s="170">
        <v>525.625</v>
      </c>
      <c r="AR46" s="170">
        <v>737</v>
      </c>
      <c r="AS46" s="170">
        <v>348</v>
      </c>
      <c r="AT46" s="170">
        <v>80</v>
      </c>
      <c r="AU46" s="170">
        <f t="shared" si="6"/>
        <v>9113</v>
      </c>
      <c r="AV46" s="170">
        <v>9113</v>
      </c>
      <c r="AW46" s="170"/>
      <c r="AX46" s="170">
        <v>3484</v>
      </c>
      <c r="AY46" s="170">
        <v>289</v>
      </c>
      <c r="AZ46" s="170">
        <v>1215</v>
      </c>
      <c r="BA46" s="170">
        <v>1215</v>
      </c>
      <c r="BB46" s="170">
        <v>64</v>
      </c>
      <c r="BC46" s="170">
        <v>12</v>
      </c>
      <c r="BD46" s="170">
        <v>500</v>
      </c>
      <c r="BE46" s="170">
        <v>144</v>
      </c>
      <c r="BF46" s="170"/>
      <c r="BG46" s="170">
        <v>14580</v>
      </c>
      <c r="BH46" s="170">
        <v>6540</v>
      </c>
      <c r="BI46" s="170">
        <v>180</v>
      </c>
      <c r="BJ46" s="115" t="str">
        <f t="shared" si="38"/>
        <v>0</v>
      </c>
      <c r="BK46" s="115" t="str">
        <f t="shared" si="39"/>
        <v>0</v>
      </c>
      <c r="BL46" s="115" t="str">
        <f t="shared" si="40"/>
        <v>0</v>
      </c>
      <c r="BM46" s="115">
        <f t="shared" si="41"/>
        <v>1</v>
      </c>
      <c r="BN46" s="115">
        <f t="shared" si="42"/>
        <v>7756</v>
      </c>
      <c r="BO46" s="115">
        <f t="shared" si="43"/>
        <v>4614.1000000000004</v>
      </c>
      <c r="BP46" s="115" t="str">
        <f t="shared" si="44"/>
        <v>0</v>
      </c>
      <c r="BQ46" s="115" t="str">
        <f t="shared" si="45"/>
        <v>0</v>
      </c>
      <c r="BR46" s="115" t="str">
        <f t="shared" si="46"/>
        <v>0</v>
      </c>
      <c r="BS46" s="209"/>
      <c r="BT46" s="209">
        <v>2</v>
      </c>
      <c r="BU46" s="115">
        <f>BA46</f>
        <v>1215</v>
      </c>
      <c r="BV46" s="209">
        <v>5732</v>
      </c>
      <c r="BW46" s="115"/>
      <c r="BX46" s="115"/>
      <c r="BY46" s="253">
        <v>2397.9</v>
      </c>
      <c r="BZ46" s="253">
        <v>1075.7</v>
      </c>
      <c r="CA46" s="205">
        <v>3445</v>
      </c>
      <c r="CB46" s="282">
        <f t="shared" si="47"/>
        <v>2126</v>
      </c>
      <c r="CC46" s="209">
        <f t="shared" si="54"/>
        <v>1</v>
      </c>
      <c r="CD46" s="235">
        <f t="shared" si="18"/>
        <v>9113</v>
      </c>
      <c r="CE46" s="209" t="str">
        <f t="shared" si="19"/>
        <v>0</v>
      </c>
      <c r="CF46" s="235">
        <f t="shared" si="20"/>
        <v>0</v>
      </c>
      <c r="CG46" s="235">
        <f t="shared" si="21"/>
        <v>1</v>
      </c>
      <c r="CH46" s="235">
        <f t="shared" si="22"/>
        <v>9113</v>
      </c>
      <c r="CI46" s="156">
        <v>43</v>
      </c>
      <c r="CJ46" s="284" t="str">
        <f t="shared" si="48"/>
        <v>0</v>
      </c>
      <c r="CK46" s="284" t="str">
        <f t="shared" si="49"/>
        <v>0</v>
      </c>
      <c r="CL46" s="243">
        <f t="shared" si="50"/>
        <v>6.8843476018566276</v>
      </c>
      <c r="CM46" s="216" t="str">
        <f t="shared" si="51"/>
        <v>0</v>
      </c>
      <c r="CN46" s="216" t="str">
        <f t="shared" si="52"/>
        <v>0</v>
      </c>
      <c r="CO46" s="243">
        <f t="shared" si="53"/>
        <v>6.8843476018566276</v>
      </c>
      <c r="CP46" s="306">
        <v>1</v>
      </c>
      <c r="CQ46" s="306">
        <v>0</v>
      </c>
      <c r="CR46" s="306">
        <v>0</v>
      </c>
      <c r="CS46" s="306">
        <v>0</v>
      </c>
      <c r="CT46" s="306">
        <v>2</v>
      </c>
      <c r="CU46" s="306">
        <v>0</v>
      </c>
      <c r="CV46" s="306">
        <v>0</v>
      </c>
      <c r="CW46" s="306">
        <v>0</v>
      </c>
      <c r="CX46" s="306">
        <v>0</v>
      </c>
      <c r="CY46" s="306">
        <v>144</v>
      </c>
      <c r="CZ46" s="306">
        <f t="shared" si="29"/>
        <v>141</v>
      </c>
      <c r="DA46" s="306">
        <v>3</v>
      </c>
      <c r="DB46" s="306">
        <v>140</v>
      </c>
      <c r="DC46" s="306">
        <v>71</v>
      </c>
      <c r="DD46" s="306">
        <v>95</v>
      </c>
      <c r="DE46" s="306">
        <v>99</v>
      </c>
      <c r="DF46" s="306">
        <v>83</v>
      </c>
      <c r="DG46" s="306">
        <v>80</v>
      </c>
      <c r="DH46" s="306">
        <v>114</v>
      </c>
      <c r="DI46" s="306">
        <v>3</v>
      </c>
      <c r="DJ46" s="306">
        <v>2</v>
      </c>
      <c r="DK46" s="306">
        <v>0</v>
      </c>
      <c r="DL46" s="306">
        <v>4</v>
      </c>
      <c r="DM46" s="306">
        <v>2</v>
      </c>
      <c r="DN46" s="306">
        <v>0</v>
      </c>
      <c r="DO46" s="306">
        <v>4</v>
      </c>
      <c r="DP46" s="306">
        <v>144</v>
      </c>
      <c r="DQ46" s="306">
        <v>144</v>
      </c>
    </row>
    <row r="47" spans="1:126" s="7" customFormat="1" x14ac:dyDescent="0.2">
      <c r="A47" s="326" t="s">
        <v>203</v>
      </c>
      <c r="B47" s="169">
        <v>41</v>
      </c>
      <c r="C47" s="12" t="s">
        <v>243</v>
      </c>
      <c r="D47" s="200">
        <v>1958</v>
      </c>
      <c r="E47" s="11"/>
      <c r="F47" s="169" t="s">
        <v>207</v>
      </c>
      <c r="G47" s="35">
        <v>1</v>
      </c>
      <c r="H47" s="201">
        <v>5</v>
      </c>
      <c r="I47" s="201" t="s">
        <v>19</v>
      </c>
      <c r="J47" s="115">
        <v>49233</v>
      </c>
      <c r="K47" s="115">
        <v>3003</v>
      </c>
      <c r="L47" s="157">
        <v>3651</v>
      </c>
      <c r="M47" s="115"/>
      <c r="N47" s="115">
        <v>150</v>
      </c>
      <c r="O47" s="115">
        <v>333</v>
      </c>
      <c r="P47" s="115">
        <v>150</v>
      </c>
      <c r="Q47" s="115">
        <v>287</v>
      </c>
      <c r="R47" s="228">
        <f>9298.18+0.04-51.1-72.1</f>
        <v>9175.02</v>
      </c>
      <c r="S47" s="230">
        <f>5135.51-40-58</f>
        <v>5037.51</v>
      </c>
      <c r="T47" s="115">
        <f t="shared" si="32"/>
        <v>134</v>
      </c>
      <c r="U47" s="203">
        <f>R47-X47-AA47</f>
        <v>8158.02</v>
      </c>
      <c r="V47" s="180">
        <f t="shared" si="34"/>
        <v>4406.97</v>
      </c>
      <c r="W47" s="115">
        <v>16</v>
      </c>
      <c r="X47" s="207">
        <v>1017</v>
      </c>
      <c r="Y47" s="207">
        <v>630.54</v>
      </c>
      <c r="Z47" s="204"/>
      <c r="AA47" s="207"/>
      <c r="AB47" s="207"/>
      <c r="AC47" s="207">
        <f t="shared" si="35"/>
        <v>1204</v>
      </c>
      <c r="AD47" s="248">
        <f t="shared" si="36"/>
        <v>1082</v>
      </c>
      <c r="AE47" s="275"/>
      <c r="AF47" s="248">
        <f>1082+111.02-111.02</f>
        <v>1082</v>
      </c>
      <c r="AG47" s="207">
        <f>123-1</f>
        <v>122</v>
      </c>
      <c r="AH47" s="207"/>
      <c r="AI47" s="207">
        <f t="shared" si="37"/>
        <v>10379.02</v>
      </c>
      <c r="AJ47" s="170"/>
      <c r="AK47" s="170"/>
      <c r="AL47" s="170">
        <v>8</v>
      </c>
      <c r="AM47" s="170"/>
      <c r="AN47" s="170"/>
      <c r="AO47" s="170">
        <v>2</v>
      </c>
      <c r="AP47" s="170">
        <v>10290</v>
      </c>
      <c r="AQ47" s="170"/>
      <c r="AR47" s="170">
        <v>634</v>
      </c>
      <c r="AS47" s="170">
        <v>258</v>
      </c>
      <c r="AT47" s="170">
        <v>250</v>
      </c>
      <c r="AU47" s="170">
        <f t="shared" si="6"/>
        <v>8375</v>
      </c>
      <c r="AV47" s="170"/>
      <c r="AW47" s="170">
        <v>8375</v>
      </c>
      <c r="AX47" s="170"/>
      <c r="AY47" s="170">
        <v>271</v>
      </c>
      <c r="AZ47" s="170">
        <v>2948</v>
      </c>
      <c r="BA47" s="170">
        <v>2948</v>
      </c>
      <c r="BB47" s="170">
        <v>32</v>
      </c>
      <c r="BC47" s="170">
        <v>16</v>
      </c>
      <c r="BD47" s="170">
        <v>605</v>
      </c>
      <c r="BE47" s="170">
        <v>155</v>
      </c>
      <c r="BF47" s="170">
        <v>1</v>
      </c>
      <c r="BG47" s="170">
        <v>13600</v>
      </c>
      <c r="BH47" s="170">
        <v>240</v>
      </c>
      <c r="BI47" s="170"/>
      <c r="BJ47" s="115">
        <f t="shared" si="38"/>
        <v>1</v>
      </c>
      <c r="BK47" s="115">
        <f t="shared" si="39"/>
        <v>9175.02</v>
      </c>
      <c r="BL47" s="115">
        <f t="shared" si="40"/>
        <v>5037.51</v>
      </c>
      <c r="BM47" s="115" t="str">
        <f t="shared" si="41"/>
        <v>0</v>
      </c>
      <c r="BN47" s="115" t="str">
        <f t="shared" si="42"/>
        <v>0</v>
      </c>
      <c r="BO47" s="115" t="str">
        <f t="shared" si="43"/>
        <v>0</v>
      </c>
      <c r="BP47" s="115" t="str">
        <f t="shared" si="44"/>
        <v>0</v>
      </c>
      <c r="BQ47" s="115" t="str">
        <f t="shared" si="45"/>
        <v>0</v>
      </c>
      <c r="BR47" s="115" t="str">
        <f t="shared" si="46"/>
        <v>0</v>
      </c>
      <c r="BS47" s="209"/>
      <c r="BT47" s="209">
        <v>4</v>
      </c>
      <c r="BU47" s="115">
        <f>BA47</f>
        <v>2948</v>
      </c>
      <c r="BV47" s="209">
        <v>9838</v>
      </c>
      <c r="BW47" s="115">
        <v>2</v>
      </c>
      <c r="BX47" s="115">
        <f>AP47</f>
        <v>10290</v>
      </c>
      <c r="BY47" s="253">
        <v>4025.73</v>
      </c>
      <c r="BZ47" s="253">
        <v>1011.91</v>
      </c>
      <c r="CA47" s="205">
        <v>5990</v>
      </c>
      <c r="CB47" s="282">
        <f t="shared" si="47"/>
        <v>2987</v>
      </c>
      <c r="CC47" s="209" t="str">
        <f t="shared" si="54"/>
        <v>0</v>
      </c>
      <c r="CD47" s="235">
        <f t="shared" si="18"/>
        <v>0</v>
      </c>
      <c r="CE47" s="209">
        <f t="shared" si="19"/>
        <v>1</v>
      </c>
      <c r="CF47" s="235">
        <f t="shared" si="20"/>
        <v>8375</v>
      </c>
      <c r="CG47" s="235">
        <f t="shared" si="21"/>
        <v>1</v>
      </c>
      <c r="CH47" s="235">
        <f t="shared" si="22"/>
        <v>8375</v>
      </c>
      <c r="CI47" s="156">
        <v>68</v>
      </c>
      <c r="CJ47" s="284" t="str">
        <f t="shared" si="48"/>
        <v>0</v>
      </c>
      <c r="CK47" s="284" t="str">
        <f t="shared" si="49"/>
        <v>0</v>
      </c>
      <c r="CL47" s="243">
        <f t="shared" si="50"/>
        <v>11.084444502573291</v>
      </c>
      <c r="CM47" s="216" t="str">
        <f t="shared" si="51"/>
        <v>0</v>
      </c>
      <c r="CN47" s="216" t="str">
        <f t="shared" si="52"/>
        <v>0</v>
      </c>
      <c r="CO47" s="243">
        <f t="shared" si="53"/>
        <v>20.22348930823912</v>
      </c>
      <c r="CP47" s="306">
        <v>1</v>
      </c>
      <c r="CQ47" s="306">
        <v>0</v>
      </c>
      <c r="CR47" s="306">
        <v>0</v>
      </c>
      <c r="CS47" s="306">
        <v>0</v>
      </c>
      <c r="CT47" s="306">
        <v>2</v>
      </c>
      <c r="CU47" s="306">
        <v>0</v>
      </c>
      <c r="CV47" s="306">
        <v>0</v>
      </c>
      <c r="CW47" s="306">
        <v>0</v>
      </c>
      <c r="CX47" s="306">
        <v>0</v>
      </c>
      <c r="CY47" s="306">
        <v>151</v>
      </c>
      <c r="CZ47" s="306">
        <f t="shared" si="29"/>
        <v>145</v>
      </c>
      <c r="DA47" s="306">
        <v>6</v>
      </c>
      <c r="DB47" s="306">
        <v>101</v>
      </c>
      <c r="DC47" s="306">
        <v>45</v>
      </c>
      <c r="DD47" s="306">
        <v>108</v>
      </c>
      <c r="DE47" s="306">
        <v>45</v>
      </c>
      <c r="DF47" s="306">
        <v>58</v>
      </c>
      <c r="DG47" s="306">
        <v>95</v>
      </c>
      <c r="DH47" s="306">
        <v>58</v>
      </c>
      <c r="DI47" s="306">
        <v>3</v>
      </c>
      <c r="DJ47" s="306">
        <v>3</v>
      </c>
      <c r="DK47" s="306">
        <v>8</v>
      </c>
      <c r="DL47" s="306">
        <v>3</v>
      </c>
      <c r="DM47" s="306">
        <v>3</v>
      </c>
      <c r="DN47" s="306">
        <v>8</v>
      </c>
      <c r="DO47" s="306">
        <v>3</v>
      </c>
      <c r="DP47" s="306">
        <v>151</v>
      </c>
      <c r="DQ47" s="306">
        <f>151-1</f>
        <v>150</v>
      </c>
      <c r="DR47" s="3"/>
      <c r="DS47" s="3"/>
      <c r="DT47" s="3"/>
      <c r="DU47" s="3"/>
      <c r="DV47" s="3"/>
    </row>
    <row r="48" spans="1:126" s="7" customFormat="1" x14ac:dyDescent="0.2">
      <c r="A48" s="149" t="s">
        <v>197</v>
      </c>
      <c r="B48" s="169">
        <v>42</v>
      </c>
      <c r="C48" s="12" t="s">
        <v>244</v>
      </c>
      <c r="D48" s="200">
        <v>1983</v>
      </c>
      <c r="E48" s="11"/>
      <c r="F48" s="169">
        <v>84</v>
      </c>
      <c r="G48" s="35">
        <v>1</v>
      </c>
      <c r="H48" s="201">
        <v>9</v>
      </c>
      <c r="I48" s="201" t="s">
        <v>22</v>
      </c>
      <c r="J48" s="115">
        <v>38481</v>
      </c>
      <c r="K48" s="115">
        <v>1695</v>
      </c>
      <c r="L48" s="157"/>
      <c r="M48" s="115">
        <v>1517</v>
      </c>
      <c r="N48" s="115">
        <v>178</v>
      </c>
      <c r="O48" s="115">
        <v>407</v>
      </c>
      <c r="P48" s="115">
        <v>178</v>
      </c>
      <c r="Q48" s="115">
        <v>395</v>
      </c>
      <c r="R48" s="228">
        <f>9608-2.1+1.3</f>
        <v>9607.1999999999989</v>
      </c>
      <c r="S48" s="230">
        <v>5731.9</v>
      </c>
      <c r="T48" s="115">
        <f t="shared" si="32"/>
        <v>164</v>
      </c>
      <c r="U48" s="203">
        <f t="shared" si="33"/>
        <v>8859.1999999999989</v>
      </c>
      <c r="V48" s="180">
        <f t="shared" si="34"/>
        <v>5268.1299999999992</v>
      </c>
      <c r="W48" s="115">
        <v>14</v>
      </c>
      <c r="X48" s="207">
        <v>748</v>
      </c>
      <c r="Y48" s="207">
        <v>463.77</v>
      </c>
      <c r="Z48" s="204"/>
      <c r="AA48" s="207"/>
      <c r="AB48" s="207"/>
      <c r="AC48" s="207">
        <f t="shared" si="35"/>
        <v>36</v>
      </c>
      <c r="AD48" s="248">
        <f t="shared" si="36"/>
        <v>36</v>
      </c>
      <c r="AE48" s="275"/>
      <c r="AF48" s="275">
        <v>36</v>
      </c>
      <c r="AG48" s="207"/>
      <c r="AH48" s="207"/>
      <c r="AI48" s="207">
        <f t="shared" si="37"/>
        <v>9643.1999999999989</v>
      </c>
      <c r="AJ48" s="170"/>
      <c r="AK48" s="170">
        <v>5</v>
      </c>
      <c r="AL48" s="170">
        <v>5</v>
      </c>
      <c r="AM48" s="170">
        <v>5</v>
      </c>
      <c r="AN48" s="170"/>
      <c r="AO48" s="170">
        <v>5</v>
      </c>
      <c r="AP48" s="170">
        <v>8500</v>
      </c>
      <c r="AQ48" s="170"/>
      <c r="AR48" s="170">
        <v>995</v>
      </c>
      <c r="AS48" s="170">
        <v>598</v>
      </c>
      <c r="AT48" s="170">
        <v>100</v>
      </c>
      <c r="AU48" s="170">
        <f t="shared" si="6"/>
        <v>11392</v>
      </c>
      <c r="AV48" s="170"/>
      <c r="AW48" s="170">
        <v>11392</v>
      </c>
      <c r="AX48" s="170">
        <v>4355</v>
      </c>
      <c r="AY48" s="170">
        <v>402</v>
      </c>
      <c r="AZ48" s="170">
        <v>1587</v>
      </c>
      <c r="BA48" s="170">
        <v>1517</v>
      </c>
      <c r="BB48" s="170">
        <v>80</v>
      </c>
      <c r="BC48" s="170">
        <v>15</v>
      </c>
      <c r="BD48" s="170">
        <v>522</v>
      </c>
      <c r="BE48" s="170">
        <v>175</v>
      </c>
      <c r="BF48" s="170"/>
      <c r="BG48" s="170">
        <v>17850</v>
      </c>
      <c r="BH48" s="170">
        <v>8175</v>
      </c>
      <c r="BI48" s="170">
        <v>225</v>
      </c>
      <c r="BJ48" s="115" t="str">
        <f t="shared" si="38"/>
        <v>0</v>
      </c>
      <c r="BK48" s="115" t="str">
        <f t="shared" si="39"/>
        <v>0</v>
      </c>
      <c r="BL48" s="115" t="str">
        <f t="shared" si="40"/>
        <v>0</v>
      </c>
      <c r="BM48" s="115">
        <f t="shared" si="41"/>
        <v>1</v>
      </c>
      <c r="BN48" s="115">
        <f t="shared" si="42"/>
        <v>9607.1999999999989</v>
      </c>
      <c r="BO48" s="115">
        <f t="shared" si="43"/>
        <v>5731.9</v>
      </c>
      <c r="BP48" s="115" t="str">
        <f t="shared" si="44"/>
        <v>0</v>
      </c>
      <c r="BQ48" s="115" t="str">
        <f t="shared" si="45"/>
        <v>0</v>
      </c>
      <c r="BR48" s="115" t="str">
        <f t="shared" si="46"/>
        <v>0</v>
      </c>
      <c r="BS48" s="209"/>
      <c r="BT48" s="209">
        <v>5</v>
      </c>
      <c r="BU48" s="115">
        <f>BA48</f>
        <v>1517</v>
      </c>
      <c r="BV48" s="209">
        <v>7242</v>
      </c>
      <c r="BW48" s="115"/>
      <c r="BX48" s="115"/>
      <c r="BY48" s="253">
        <v>2763.2</v>
      </c>
      <c r="BZ48" s="253">
        <v>1344.6</v>
      </c>
      <c r="CA48" s="205">
        <v>3995</v>
      </c>
      <c r="CB48" s="282">
        <f t="shared" si="47"/>
        <v>2300</v>
      </c>
      <c r="CC48" s="209" t="str">
        <f t="shared" si="54"/>
        <v>0</v>
      </c>
      <c r="CD48" s="235">
        <f t="shared" si="18"/>
        <v>0</v>
      </c>
      <c r="CE48" s="209">
        <f t="shared" si="19"/>
        <v>1</v>
      </c>
      <c r="CF48" s="235">
        <f t="shared" si="20"/>
        <v>11392</v>
      </c>
      <c r="CG48" s="235">
        <f t="shared" si="21"/>
        <v>1</v>
      </c>
      <c r="CH48" s="235">
        <f t="shared" si="22"/>
        <v>11392</v>
      </c>
      <c r="CI48" s="156">
        <v>43</v>
      </c>
      <c r="CJ48" s="284" t="str">
        <f t="shared" si="48"/>
        <v>0</v>
      </c>
      <c r="CK48" s="284" t="str">
        <f t="shared" si="49"/>
        <v>0</v>
      </c>
      <c r="CL48" s="243">
        <f t="shared" si="50"/>
        <v>7.7858272961945207</v>
      </c>
      <c r="CM48" s="216" t="str">
        <f t="shared" si="51"/>
        <v>0</v>
      </c>
      <c r="CN48" s="216" t="str">
        <f t="shared" si="52"/>
        <v>0</v>
      </c>
      <c r="CO48" s="243">
        <f t="shared" si="53"/>
        <v>8.1300813008130088</v>
      </c>
      <c r="CP48" s="306">
        <v>1</v>
      </c>
      <c r="CQ48" s="306">
        <v>0</v>
      </c>
      <c r="CR48" s="306">
        <v>0</v>
      </c>
      <c r="CS48" s="306">
        <v>0</v>
      </c>
      <c r="CT48" s="306">
        <v>3</v>
      </c>
      <c r="CU48" s="306">
        <v>0</v>
      </c>
      <c r="CV48" s="306">
        <v>0</v>
      </c>
      <c r="CW48" s="306">
        <v>0</v>
      </c>
      <c r="CX48" s="306">
        <v>0</v>
      </c>
      <c r="CY48" s="306">
        <v>178</v>
      </c>
      <c r="CZ48" s="306">
        <f t="shared" si="29"/>
        <v>166</v>
      </c>
      <c r="DA48" s="306">
        <v>12</v>
      </c>
      <c r="DB48" s="306">
        <v>122</v>
      </c>
      <c r="DC48" s="306">
        <v>94</v>
      </c>
      <c r="DD48" s="306">
        <v>119</v>
      </c>
      <c r="DE48" s="306">
        <v>127</v>
      </c>
      <c r="DF48" s="306">
        <v>104</v>
      </c>
      <c r="DG48" s="306">
        <v>104</v>
      </c>
      <c r="DH48" s="306">
        <v>142</v>
      </c>
      <c r="DI48" s="306">
        <v>6</v>
      </c>
      <c r="DJ48" s="306">
        <v>6</v>
      </c>
      <c r="DK48" s="306">
        <v>7</v>
      </c>
      <c r="DL48" s="306">
        <v>8</v>
      </c>
      <c r="DM48" s="306">
        <v>6</v>
      </c>
      <c r="DN48" s="306">
        <v>7</v>
      </c>
      <c r="DO48" s="306">
        <v>8</v>
      </c>
      <c r="DP48" s="306">
        <v>178</v>
      </c>
      <c r="DQ48" s="306">
        <v>178</v>
      </c>
      <c r="DR48" s="3"/>
      <c r="DS48" s="3"/>
      <c r="DT48" s="3"/>
      <c r="DU48" s="3"/>
      <c r="DV48" s="3"/>
    </row>
    <row r="49" spans="1:126" s="7" customFormat="1" x14ac:dyDescent="0.2">
      <c r="A49" s="326" t="s">
        <v>203</v>
      </c>
      <c r="B49" s="169">
        <v>43</v>
      </c>
      <c r="C49" s="12" t="s">
        <v>245</v>
      </c>
      <c r="D49" s="200">
        <v>1973</v>
      </c>
      <c r="E49" s="11"/>
      <c r="F49" s="169" t="s">
        <v>20</v>
      </c>
      <c r="G49" s="35">
        <v>1</v>
      </c>
      <c r="H49" s="201">
        <v>5</v>
      </c>
      <c r="I49" s="201" t="s">
        <v>22</v>
      </c>
      <c r="J49" s="115">
        <v>17023</v>
      </c>
      <c r="K49" s="115">
        <v>1264</v>
      </c>
      <c r="L49" s="157">
        <v>1422</v>
      </c>
      <c r="M49" s="115"/>
      <c r="N49" s="115">
        <v>120</v>
      </c>
      <c r="O49" s="115">
        <v>210</v>
      </c>
      <c r="P49" s="115">
        <v>121</v>
      </c>
      <c r="Q49" s="115">
        <v>183</v>
      </c>
      <c r="R49" s="228">
        <f>4891.95-2.56+0.07</f>
        <v>4889.4599999999991</v>
      </c>
      <c r="S49" s="230">
        <v>3226.43</v>
      </c>
      <c r="T49" s="115">
        <f t="shared" si="32"/>
        <v>106</v>
      </c>
      <c r="U49" s="203">
        <f t="shared" si="33"/>
        <v>4297.0399999999991</v>
      </c>
      <c r="V49" s="180">
        <f t="shared" si="34"/>
        <v>2853.21</v>
      </c>
      <c r="W49" s="115">
        <v>14</v>
      </c>
      <c r="X49" s="207">
        <v>592.41999999999996</v>
      </c>
      <c r="Y49" s="207">
        <v>373.22</v>
      </c>
      <c r="Z49" s="204"/>
      <c r="AA49" s="207"/>
      <c r="AB49" s="207"/>
      <c r="AC49" s="207">
        <f t="shared" si="35"/>
        <v>0</v>
      </c>
      <c r="AD49" s="248">
        <f t="shared" si="36"/>
        <v>0</v>
      </c>
      <c r="AE49" s="275"/>
      <c r="AF49" s="275"/>
      <c r="AG49" s="207"/>
      <c r="AH49" s="207"/>
      <c r="AI49" s="207">
        <f t="shared" si="37"/>
        <v>4889.4599999999991</v>
      </c>
      <c r="AJ49" s="170"/>
      <c r="AK49" s="170"/>
      <c r="AL49" s="170">
        <v>6</v>
      </c>
      <c r="AM49" s="170"/>
      <c r="AN49" s="170"/>
      <c r="AO49" s="170">
        <v>1</v>
      </c>
      <c r="AP49" s="170">
        <v>3192</v>
      </c>
      <c r="AQ49" s="170"/>
      <c r="AR49" s="170">
        <v>486</v>
      </c>
      <c r="AS49" s="170">
        <v>322</v>
      </c>
      <c r="AT49" s="170">
        <v>108</v>
      </c>
      <c r="AU49" s="170">
        <f t="shared" si="6"/>
        <v>5310</v>
      </c>
      <c r="AV49" s="170"/>
      <c r="AW49" s="170">
        <v>5310</v>
      </c>
      <c r="AX49" s="170">
        <v>2904</v>
      </c>
      <c r="AY49" s="170">
        <v>188</v>
      </c>
      <c r="AZ49" s="170">
        <v>1227</v>
      </c>
      <c r="BA49" s="170">
        <v>1227</v>
      </c>
      <c r="BB49" s="170">
        <v>24</v>
      </c>
      <c r="BC49" s="170">
        <v>12</v>
      </c>
      <c r="BD49" s="170">
        <v>330</v>
      </c>
      <c r="BE49" s="170">
        <v>120</v>
      </c>
      <c r="BF49" s="170"/>
      <c r="BG49" s="170">
        <v>600</v>
      </c>
      <c r="BH49" s="170">
        <v>120</v>
      </c>
      <c r="BI49" s="170"/>
      <c r="BJ49" s="115" t="str">
        <f t="shared" si="38"/>
        <v>0</v>
      </c>
      <c r="BK49" s="115" t="str">
        <f t="shared" si="39"/>
        <v>0</v>
      </c>
      <c r="BL49" s="115" t="str">
        <f t="shared" si="40"/>
        <v>0</v>
      </c>
      <c r="BM49" s="115">
        <f t="shared" si="41"/>
        <v>1</v>
      </c>
      <c r="BN49" s="115">
        <f t="shared" si="42"/>
        <v>4889.4599999999991</v>
      </c>
      <c r="BO49" s="115">
        <f t="shared" si="43"/>
        <v>3226.43</v>
      </c>
      <c r="BP49" s="115" t="str">
        <f t="shared" si="44"/>
        <v>0</v>
      </c>
      <c r="BQ49" s="115" t="str">
        <f t="shared" si="45"/>
        <v>0</v>
      </c>
      <c r="BR49" s="115" t="str">
        <f t="shared" si="46"/>
        <v>0</v>
      </c>
      <c r="BS49" s="209"/>
      <c r="BT49" s="209">
        <v>4</v>
      </c>
      <c r="BU49" s="115">
        <f>BA49</f>
        <v>1227</v>
      </c>
      <c r="BV49" s="209">
        <v>4190</v>
      </c>
      <c r="BW49" s="115"/>
      <c r="BX49" s="115"/>
      <c r="BY49" s="253">
        <v>1499.84</v>
      </c>
      <c r="BZ49" s="253">
        <v>272.54000000000002</v>
      </c>
      <c r="CA49" s="205">
        <v>3401</v>
      </c>
      <c r="CB49" s="282">
        <f t="shared" si="47"/>
        <v>2137</v>
      </c>
      <c r="CC49" s="209" t="str">
        <f t="shared" si="54"/>
        <v>0</v>
      </c>
      <c r="CD49" s="235">
        <f t="shared" si="18"/>
        <v>0</v>
      </c>
      <c r="CE49" s="209">
        <f t="shared" si="19"/>
        <v>1</v>
      </c>
      <c r="CF49" s="235">
        <f t="shared" si="20"/>
        <v>5310</v>
      </c>
      <c r="CG49" s="235">
        <f t="shared" si="21"/>
        <v>1</v>
      </c>
      <c r="CH49" s="235">
        <f t="shared" si="22"/>
        <v>5310</v>
      </c>
      <c r="CI49" s="156">
        <v>37</v>
      </c>
      <c r="CJ49" s="284" t="str">
        <f t="shared" si="48"/>
        <v>0</v>
      </c>
      <c r="CK49" s="284" t="str">
        <f t="shared" si="49"/>
        <v>0</v>
      </c>
      <c r="CL49" s="243">
        <f t="shared" si="50"/>
        <v>12.116266417968449</v>
      </c>
      <c r="CM49" s="216" t="str">
        <f t="shared" si="51"/>
        <v>0</v>
      </c>
      <c r="CN49" s="216" t="str">
        <f t="shared" si="52"/>
        <v>0</v>
      </c>
      <c r="CO49" s="243">
        <f t="shared" si="53"/>
        <v>12.116266417968449</v>
      </c>
      <c r="CP49" s="306">
        <v>1</v>
      </c>
      <c r="CQ49" s="306">
        <v>0</v>
      </c>
      <c r="CR49" s="306">
        <v>0</v>
      </c>
      <c r="CS49" s="306">
        <v>0</v>
      </c>
      <c r="CT49" s="306">
        <v>1</v>
      </c>
      <c r="CU49" s="306">
        <v>0</v>
      </c>
      <c r="CV49" s="306">
        <v>0</v>
      </c>
      <c r="CW49" s="306">
        <v>0</v>
      </c>
      <c r="CX49" s="306">
        <v>0</v>
      </c>
      <c r="CY49" s="306">
        <v>120</v>
      </c>
      <c r="CZ49" s="306">
        <f t="shared" si="29"/>
        <v>105</v>
      </c>
      <c r="DA49" s="306">
        <v>15</v>
      </c>
      <c r="DB49" s="306">
        <v>63</v>
      </c>
      <c r="DC49" s="306">
        <v>35</v>
      </c>
      <c r="DD49" s="306">
        <v>85</v>
      </c>
      <c r="DE49" s="306">
        <v>35</v>
      </c>
      <c r="DF49" s="306">
        <v>41</v>
      </c>
      <c r="DG49" s="306">
        <v>79</v>
      </c>
      <c r="DH49" s="306">
        <v>41</v>
      </c>
      <c r="DI49" s="306">
        <v>6</v>
      </c>
      <c r="DJ49" s="306">
        <v>5</v>
      </c>
      <c r="DK49" s="306">
        <v>11</v>
      </c>
      <c r="DL49" s="306">
        <v>5</v>
      </c>
      <c r="DM49" s="306">
        <v>5</v>
      </c>
      <c r="DN49" s="306">
        <v>11</v>
      </c>
      <c r="DO49" s="306">
        <v>5</v>
      </c>
      <c r="DP49" s="306">
        <v>120</v>
      </c>
      <c r="DQ49" s="306">
        <v>120</v>
      </c>
      <c r="DR49" s="3"/>
      <c r="DS49" s="3"/>
      <c r="DT49" s="3"/>
      <c r="DU49" s="3"/>
      <c r="DV49" s="3"/>
    </row>
    <row r="50" spans="1:126" x14ac:dyDescent="0.2">
      <c r="A50" s="149" t="s">
        <v>197</v>
      </c>
      <c r="B50" s="169">
        <v>44</v>
      </c>
      <c r="C50" s="12" t="s">
        <v>228</v>
      </c>
      <c r="D50" s="200">
        <v>1991</v>
      </c>
      <c r="E50" s="11"/>
      <c r="F50" s="206" t="s">
        <v>24</v>
      </c>
      <c r="G50" s="35">
        <v>1</v>
      </c>
      <c r="H50" s="201">
        <v>9</v>
      </c>
      <c r="I50" s="201" t="s">
        <v>22</v>
      </c>
      <c r="J50" s="115">
        <f>29378</f>
        <v>29378</v>
      </c>
      <c r="K50" s="115">
        <f>1154</f>
        <v>1154</v>
      </c>
      <c r="L50" s="157"/>
      <c r="M50" s="115">
        <f>1072</f>
        <v>1072</v>
      </c>
      <c r="N50" s="115">
        <f>104+1</f>
        <v>105</v>
      </c>
      <c r="O50" s="115">
        <f>276</f>
        <v>276</v>
      </c>
      <c r="P50" s="115">
        <v>105</v>
      </c>
      <c r="Q50" s="115">
        <v>259</v>
      </c>
      <c r="R50" s="228">
        <f>6674+6.9+72.5</f>
        <v>6753.4</v>
      </c>
      <c r="S50" s="230">
        <v>4127.7</v>
      </c>
      <c r="T50" s="115">
        <f t="shared" si="32"/>
        <v>102</v>
      </c>
      <c r="U50" s="203">
        <f t="shared" si="33"/>
        <v>6574.2</v>
      </c>
      <c r="V50" s="180">
        <f t="shared" si="34"/>
        <v>4016.6</v>
      </c>
      <c r="W50" s="115">
        <v>3</v>
      </c>
      <c r="X50" s="207">
        <v>179.2</v>
      </c>
      <c r="Y50" s="207">
        <v>111.1</v>
      </c>
      <c r="Z50" s="204"/>
      <c r="AA50" s="207"/>
      <c r="AB50" s="207"/>
      <c r="AC50" s="207">
        <f t="shared" si="35"/>
        <v>0</v>
      </c>
      <c r="AD50" s="248">
        <f t="shared" si="36"/>
        <v>0</v>
      </c>
      <c r="AE50" s="275"/>
      <c r="AF50" s="248"/>
      <c r="AG50" s="207"/>
      <c r="AH50" s="207"/>
      <c r="AI50" s="207">
        <f t="shared" si="37"/>
        <v>6753.4</v>
      </c>
      <c r="AJ50" s="170"/>
      <c r="AK50" s="170">
        <v>3</v>
      </c>
      <c r="AL50" s="170">
        <v>3</v>
      </c>
      <c r="AM50" s="170">
        <v>3</v>
      </c>
      <c r="AN50" s="170"/>
      <c r="AO50" s="170">
        <v>3</v>
      </c>
      <c r="AP50" s="170">
        <f>5023</f>
        <v>5023</v>
      </c>
      <c r="AQ50" s="328"/>
      <c r="AR50" s="170">
        <v>410</v>
      </c>
      <c r="AS50" s="170">
        <f>336</f>
        <v>336</v>
      </c>
      <c r="AT50" s="170">
        <f>225</f>
        <v>225</v>
      </c>
      <c r="AU50" s="170">
        <v>2860</v>
      </c>
      <c r="AV50" s="170">
        <v>2860</v>
      </c>
      <c r="AW50" s="170"/>
      <c r="AX50" s="170">
        <v>2520</v>
      </c>
      <c r="AY50" s="170">
        <f>323</f>
        <v>323</v>
      </c>
      <c r="AZ50" s="170">
        <f>1072</f>
        <v>1072</v>
      </c>
      <c r="BA50" s="170">
        <f>1072</f>
        <v>1072</v>
      </c>
      <c r="BB50" s="170">
        <v>54</v>
      </c>
      <c r="BC50" s="170">
        <v>85</v>
      </c>
      <c r="BD50" s="170">
        <v>383</v>
      </c>
      <c r="BE50" s="170">
        <v>679</v>
      </c>
      <c r="BF50" s="170">
        <v>1</v>
      </c>
      <c r="BG50" s="170">
        <f>11400</f>
        <v>11400</v>
      </c>
      <c r="BH50" s="170">
        <f>4905</f>
        <v>4905</v>
      </c>
      <c r="BI50" s="170">
        <f>135</f>
        <v>135</v>
      </c>
      <c r="BJ50" s="115" t="str">
        <f t="shared" si="38"/>
        <v>0</v>
      </c>
      <c r="BK50" s="115" t="str">
        <f t="shared" si="39"/>
        <v>0</v>
      </c>
      <c r="BL50" s="115" t="str">
        <f t="shared" si="40"/>
        <v>0</v>
      </c>
      <c r="BM50" s="115">
        <f t="shared" si="41"/>
        <v>1</v>
      </c>
      <c r="BN50" s="115">
        <f t="shared" si="42"/>
        <v>6753.4</v>
      </c>
      <c r="BO50" s="115">
        <f t="shared" si="43"/>
        <v>4127.7</v>
      </c>
      <c r="BP50" s="115" t="str">
        <f t="shared" si="44"/>
        <v>0</v>
      </c>
      <c r="BQ50" s="115" t="str">
        <f t="shared" si="45"/>
        <v>0</v>
      </c>
      <c r="BR50" s="115" t="str">
        <f t="shared" si="46"/>
        <v>0</v>
      </c>
      <c r="BS50" s="115"/>
      <c r="BT50" s="115">
        <v>2</v>
      </c>
      <c r="BU50" s="115"/>
      <c r="BV50" s="115"/>
      <c r="BW50" s="115"/>
      <c r="BX50" s="115"/>
      <c r="BY50" s="275">
        <v>2203.9</v>
      </c>
      <c r="BZ50" s="253">
        <v>1199.9000000000001</v>
      </c>
      <c r="CA50" s="205">
        <v>2606</v>
      </c>
      <c r="CB50" s="282">
        <f t="shared" si="47"/>
        <v>1452</v>
      </c>
      <c r="CC50" s="209">
        <v>1</v>
      </c>
      <c r="CD50" s="235">
        <v>2860</v>
      </c>
      <c r="CE50" s="209"/>
      <c r="CF50" s="235"/>
      <c r="CG50" s="235">
        <v>1</v>
      </c>
      <c r="CH50" s="235">
        <v>2860</v>
      </c>
      <c r="CI50" s="314">
        <v>53</v>
      </c>
      <c r="CJ50" s="284" t="str">
        <f t="shared" si="48"/>
        <v>0</v>
      </c>
      <c r="CK50" s="284" t="str">
        <f t="shared" si="49"/>
        <v>0</v>
      </c>
      <c r="CL50" s="243">
        <f t="shared" si="50"/>
        <v>2.6534782479936032</v>
      </c>
      <c r="CM50" s="216" t="str">
        <f t="shared" si="51"/>
        <v>0</v>
      </c>
      <c r="CN50" s="216" t="str">
        <f t="shared" si="52"/>
        <v>0</v>
      </c>
      <c r="CO50" s="243">
        <f t="shared" si="53"/>
        <v>2.6534782479936032</v>
      </c>
      <c r="CP50" s="306">
        <v>1</v>
      </c>
      <c r="CQ50" s="306">
        <v>0</v>
      </c>
      <c r="CR50" s="306">
        <v>0</v>
      </c>
      <c r="CS50" s="306">
        <v>0</v>
      </c>
      <c r="CT50" s="306">
        <v>2</v>
      </c>
      <c r="CU50" s="306">
        <v>0</v>
      </c>
      <c r="CV50" s="306">
        <v>0</v>
      </c>
      <c r="CW50" s="306">
        <v>0</v>
      </c>
      <c r="CX50" s="306">
        <v>0</v>
      </c>
      <c r="CY50" s="306">
        <v>105</v>
      </c>
      <c r="CZ50" s="306">
        <v>102</v>
      </c>
      <c r="DA50" s="306">
        <v>3</v>
      </c>
      <c r="DB50" s="306">
        <v>74</v>
      </c>
      <c r="DC50" s="306">
        <v>53</v>
      </c>
      <c r="DD50" s="306">
        <v>98</v>
      </c>
      <c r="DE50" s="306">
        <v>78</v>
      </c>
      <c r="DF50" s="306">
        <v>59</v>
      </c>
      <c r="DG50" s="306">
        <v>65</v>
      </c>
      <c r="DH50" s="306">
        <v>89</v>
      </c>
      <c r="DI50" s="306">
        <v>1</v>
      </c>
      <c r="DJ50" s="306">
        <v>0</v>
      </c>
      <c r="DK50" s="306">
        <v>6</v>
      </c>
      <c r="DL50" s="306">
        <v>0</v>
      </c>
      <c r="DM50" s="306">
        <v>0</v>
      </c>
      <c r="DN50" s="306">
        <v>2</v>
      </c>
      <c r="DO50" s="306">
        <v>0</v>
      </c>
      <c r="DP50" s="306">
        <v>105</v>
      </c>
      <c r="DQ50" s="306">
        <v>105</v>
      </c>
    </row>
    <row r="51" spans="1:126" x14ac:dyDescent="0.2">
      <c r="A51" s="326" t="s">
        <v>203</v>
      </c>
      <c r="B51" s="169">
        <v>45</v>
      </c>
      <c r="C51" s="12" t="s">
        <v>229</v>
      </c>
      <c r="D51" s="200">
        <v>1990</v>
      </c>
      <c r="E51" s="11"/>
      <c r="F51" s="169" t="s">
        <v>21</v>
      </c>
      <c r="G51" s="35">
        <v>1</v>
      </c>
      <c r="H51" s="201">
        <v>9</v>
      </c>
      <c r="I51" s="201" t="s">
        <v>19</v>
      </c>
      <c r="J51" s="115">
        <v>22689</v>
      </c>
      <c r="K51" s="115">
        <v>1537</v>
      </c>
      <c r="L51" s="157"/>
      <c r="M51" s="115">
        <v>716</v>
      </c>
      <c r="N51" s="115">
        <v>64</v>
      </c>
      <c r="O51" s="115">
        <v>134</v>
      </c>
      <c r="P51" s="115">
        <v>65</v>
      </c>
      <c r="Q51" s="115">
        <v>107</v>
      </c>
      <c r="R51" s="228">
        <v>3268.6</v>
      </c>
      <c r="S51" s="230">
        <v>1838.1</v>
      </c>
      <c r="T51" s="115">
        <f t="shared" si="32"/>
        <v>61</v>
      </c>
      <c r="U51" s="203">
        <f t="shared" si="33"/>
        <v>3138.2999999999997</v>
      </c>
      <c r="V51" s="180">
        <f t="shared" si="34"/>
        <v>1757.31</v>
      </c>
      <c r="W51" s="115">
        <v>3</v>
      </c>
      <c r="X51" s="207">
        <v>130.30000000000001</v>
      </c>
      <c r="Y51" s="207">
        <v>80.790000000000006</v>
      </c>
      <c r="Z51" s="204"/>
      <c r="AA51" s="207"/>
      <c r="AB51" s="207"/>
      <c r="AC51" s="207">
        <f t="shared" si="35"/>
        <v>937.9</v>
      </c>
      <c r="AD51" s="248">
        <f t="shared" si="36"/>
        <v>216.79999999999998</v>
      </c>
      <c r="AE51" s="275"/>
      <c r="AF51" s="248">
        <f>231.1-14.3</f>
        <v>216.79999999999998</v>
      </c>
      <c r="AG51" s="207">
        <v>721.1</v>
      </c>
      <c r="AH51" s="207"/>
      <c r="AI51" s="207">
        <f t="shared" si="37"/>
        <v>4206.5</v>
      </c>
      <c r="AJ51" s="170"/>
      <c r="AK51" s="170">
        <v>2</v>
      </c>
      <c r="AL51" s="170">
        <v>2</v>
      </c>
      <c r="AM51" s="170">
        <v>2</v>
      </c>
      <c r="AN51" s="170"/>
      <c r="AO51" s="170">
        <v>2</v>
      </c>
      <c r="AP51" s="170">
        <v>3781</v>
      </c>
      <c r="AQ51" s="170"/>
      <c r="AR51" s="170">
        <v>300</v>
      </c>
      <c r="AS51" s="170">
        <v>462</v>
      </c>
      <c r="AT51" s="170">
        <v>80</v>
      </c>
      <c r="AU51" s="170">
        <f>AV51+AW51</f>
        <v>8520</v>
      </c>
      <c r="AV51" s="170"/>
      <c r="AW51" s="170">
        <v>8520</v>
      </c>
      <c r="AX51" s="170"/>
      <c r="AY51" s="170">
        <v>122</v>
      </c>
      <c r="AZ51" s="170">
        <v>1328</v>
      </c>
      <c r="BA51" s="170">
        <v>682</v>
      </c>
      <c r="BB51" s="170">
        <v>10</v>
      </c>
      <c r="BC51" s="170">
        <v>6</v>
      </c>
      <c r="BD51" s="170">
        <v>148</v>
      </c>
      <c r="BE51" s="170">
        <v>450</v>
      </c>
      <c r="BF51" s="170">
        <v>1</v>
      </c>
      <c r="BG51" s="170">
        <v>11400</v>
      </c>
      <c r="BH51" s="170">
        <v>3270</v>
      </c>
      <c r="BI51" s="170">
        <v>90</v>
      </c>
      <c r="BJ51" s="115">
        <f t="shared" si="38"/>
        <v>1</v>
      </c>
      <c r="BK51" s="115">
        <f t="shared" si="39"/>
        <v>3268.6</v>
      </c>
      <c r="BL51" s="115">
        <f t="shared" si="40"/>
        <v>1838.1</v>
      </c>
      <c r="BM51" s="115" t="str">
        <f t="shared" si="41"/>
        <v>0</v>
      </c>
      <c r="BN51" s="115" t="str">
        <f t="shared" si="42"/>
        <v>0</v>
      </c>
      <c r="BO51" s="115" t="str">
        <f t="shared" si="43"/>
        <v>0</v>
      </c>
      <c r="BP51" s="115" t="str">
        <f t="shared" si="44"/>
        <v>0</v>
      </c>
      <c r="BQ51" s="115" t="str">
        <f t="shared" si="45"/>
        <v>0</v>
      </c>
      <c r="BR51" s="115" t="str">
        <f t="shared" si="46"/>
        <v>0</v>
      </c>
      <c r="BS51" s="115"/>
      <c r="BT51" s="115">
        <v>2</v>
      </c>
      <c r="BU51" s="115">
        <f>BA51</f>
        <v>682</v>
      </c>
      <c r="BV51" s="115">
        <v>3531</v>
      </c>
      <c r="BW51" s="115">
        <v>33</v>
      </c>
      <c r="BX51" s="115">
        <f>AP51</f>
        <v>3781</v>
      </c>
      <c r="BY51" s="275">
        <v>1412.6</v>
      </c>
      <c r="BZ51" s="253">
        <v>795.5</v>
      </c>
      <c r="CA51" s="205">
        <v>1937</v>
      </c>
      <c r="CB51" s="282">
        <f t="shared" si="47"/>
        <v>400</v>
      </c>
      <c r="CC51" s="209" t="str">
        <f>IF(CD51&gt;0,G51,"0")</f>
        <v>0</v>
      </c>
      <c r="CD51" s="235">
        <f>AV51</f>
        <v>0</v>
      </c>
      <c r="CE51" s="209">
        <f>IF(CF51&gt;0,G51,"0")</f>
        <v>1</v>
      </c>
      <c r="CF51" s="235">
        <f>AW51</f>
        <v>8520</v>
      </c>
      <c r="CG51" s="235">
        <f>CC51+CE51</f>
        <v>1</v>
      </c>
      <c r="CH51" s="235">
        <f>CD51+CF51</f>
        <v>8520</v>
      </c>
      <c r="CI51" s="156">
        <v>72</v>
      </c>
      <c r="CJ51" s="284" t="str">
        <f t="shared" si="48"/>
        <v>0</v>
      </c>
      <c r="CK51" s="284" t="str">
        <f t="shared" si="49"/>
        <v>0</v>
      </c>
      <c r="CL51" s="243">
        <f t="shared" si="50"/>
        <v>3.9864162026555716</v>
      </c>
      <c r="CM51" s="216" t="str">
        <f t="shared" si="51"/>
        <v>0</v>
      </c>
      <c r="CN51" s="216" t="str">
        <f t="shared" si="52"/>
        <v>0</v>
      </c>
      <c r="CO51" s="243">
        <f t="shared" si="53"/>
        <v>8.251515511708071</v>
      </c>
      <c r="CP51" s="306">
        <v>1</v>
      </c>
      <c r="CQ51" s="306">
        <v>0</v>
      </c>
      <c r="CR51" s="306">
        <v>0</v>
      </c>
      <c r="CS51" s="306">
        <v>0</v>
      </c>
      <c r="CT51" s="306">
        <v>2</v>
      </c>
      <c r="CU51" s="306">
        <v>0</v>
      </c>
      <c r="CV51" s="306">
        <v>0</v>
      </c>
      <c r="CW51" s="306">
        <v>0</v>
      </c>
      <c r="CX51" s="306">
        <v>0</v>
      </c>
      <c r="CY51" s="306">
        <v>64</v>
      </c>
      <c r="CZ51" s="306">
        <f>CY51-DA51</f>
        <v>62</v>
      </c>
      <c r="DA51" s="306">
        <v>2</v>
      </c>
      <c r="DB51" s="306">
        <v>59</v>
      </c>
      <c r="DC51" s="306">
        <v>30</v>
      </c>
      <c r="DD51" s="306">
        <v>57</v>
      </c>
      <c r="DE51" s="306">
        <v>46</v>
      </c>
      <c r="DF51" s="306">
        <v>33</v>
      </c>
      <c r="DG51" s="306">
        <v>54</v>
      </c>
      <c r="DH51" s="306">
        <v>49</v>
      </c>
      <c r="DI51" s="306">
        <v>2</v>
      </c>
      <c r="DJ51" s="306">
        <v>0</v>
      </c>
      <c r="DK51" s="306">
        <v>5</v>
      </c>
      <c r="DL51" s="306">
        <v>0</v>
      </c>
      <c r="DM51" s="306">
        <v>0</v>
      </c>
      <c r="DN51" s="306">
        <v>5</v>
      </c>
      <c r="DO51" s="306">
        <v>0</v>
      </c>
      <c r="DP51" s="306">
        <v>64</v>
      </c>
      <c r="DQ51" s="306">
        <v>64</v>
      </c>
    </row>
    <row r="52" spans="1:126" s="7" customFormat="1" x14ac:dyDescent="0.2">
      <c r="A52" s="149"/>
      <c r="B52" s="169">
        <v>46</v>
      </c>
      <c r="C52" s="12" t="s">
        <v>352</v>
      </c>
      <c r="D52" s="200">
        <v>1999</v>
      </c>
      <c r="E52" s="11"/>
      <c r="F52" s="206" t="s">
        <v>24</v>
      </c>
      <c r="G52" s="35">
        <v>1</v>
      </c>
      <c r="H52" s="201">
        <v>9</v>
      </c>
      <c r="I52" s="201" t="s">
        <v>19</v>
      </c>
      <c r="J52" s="115">
        <v>16002</v>
      </c>
      <c r="K52" s="115">
        <v>614</v>
      </c>
      <c r="L52" s="157"/>
      <c r="M52" s="115">
        <v>598</v>
      </c>
      <c r="N52" s="115">
        <v>43</v>
      </c>
      <c r="O52" s="115">
        <v>98</v>
      </c>
      <c r="P52" s="115">
        <v>43</v>
      </c>
      <c r="Q52" s="115">
        <v>80</v>
      </c>
      <c r="R52" s="228">
        <v>3247.8</v>
      </c>
      <c r="S52" s="230">
        <v>1740.2</v>
      </c>
      <c r="T52" s="115">
        <f t="shared" si="32"/>
        <v>32</v>
      </c>
      <c r="U52" s="203">
        <f t="shared" si="33"/>
        <v>2508.3000000000002</v>
      </c>
      <c r="V52" s="180">
        <f t="shared" si="34"/>
        <v>1281.71</v>
      </c>
      <c r="W52" s="115">
        <v>11</v>
      </c>
      <c r="X52" s="207">
        <v>739.5</v>
      </c>
      <c r="Y52" s="207">
        <v>458.49</v>
      </c>
      <c r="Z52" s="204"/>
      <c r="AA52" s="207"/>
      <c r="AB52" s="207"/>
      <c r="AC52" s="207">
        <f t="shared" si="35"/>
        <v>0</v>
      </c>
      <c r="AD52" s="248">
        <f t="shared" si="36"/>
        <v>0</v>
      </c>
      <c r="AE52" s="275"/>
      <c r="AF52" s="248"/>
      <c r="AG52" s="207"/>
      <c r="AH52" s="207"/>
      <c r="AI52" s="207">
        <f t="shared" si="37"/>
        <v>3247.8</v>
      </c>
      <c r="AJ52" s="170"/>
      <c r="AK52" s="170">
        <v>1</v>
      </c>
      <c r="AL52" s="170">
        <v>1</v>
      </c>
      <c r="AM52" s="170">
        <v>1</v>
      </c>
      <c r="AN52" s="170"/>
      <c r="AO52" s="170">
        <v>1</v>
      </c>
      <c r="AP52" s="170">
        <v>2534</v>
      </c>
      <c r="AQ52" s="170"/>
      <c r="AR52" s="170">
        <v>200</v>
      </c>
      <c r="AS52" s="170">
        <v>185</v>
      </c>
      <c r="AT52" s="170">
        <v>48</v>
      </c>
      <c r="AU52" s="170">
        <v>12770</v>
      </c>
      <c r="AV52" s="170"/>
      <c r="AW52" s="170">
        <v>12770</v>
      </c>
      <c r="AX52" s="170"/>
      <c r="AY52" s="170">
        <v>78</v>
      </c>
      <c r="AZ52" s="170">
        <v>598</v>
      </c>
      <c r="BA52" s="170">
        <v>598</v>
      </c>
      <c r="BB52" s="170">
        <v>18</v>
      </c>
      <c r="BC52" s="170">
        <v>29</v>
      </c>
      <c r="BD52" s="170">
        <v>196</v>
      </c>
      <c r="BE52" s="170">
        <v>363</v>
      </c>
      <c r="BF52" s="170">
        <v>1</v>
      </c>
      <c r="BG52" s="170">
        <v>5700</v>
      </c>
      <c r="BH52" s="170">
        <v>1635</v>
      </c>
      <c r="BI52" s="170">
        <v>45</v>
      </c>
      <c r="BJ52" s="115">
        <f t="shared" si="38"/>
        <v>1</v>
      </c>
      <c r="BK52" s="115">
        <f t="shared" si="39"/>
        <v>3247.8</v>
      </c>
      <c r="BL52" s="115">
        <f t="shared" si="40"/>
        <v>1740.2</v>
      </c>
      <c r="BM52" s="115" t="str">
        <f t="shared" si="41"/>
        <v>0</v>
      </c>
      <c r="BN52" s="115" t="str">
        <f t="shared" si="42"/>
        <v>0</v>
      </c>
      <c r="BO52" s="115" t="str">
        <f t="shared" si="43"/>
        <v>0</v>
      </c>
      <c r="BP52" s="115" t="str">
        <f t="shared" si="44"/>
        <v>0</v>
      </c>
      <c r="BQ52" s="115" t="str">
        <f t="shared" si="45"/>
        <v>0</v>
      </c>
      <c r="BR52" s="115" t="str">
        <f t="shared" si="46"/>
        <v>0</v>
      </c>
      <c r="BS52" s="115"/>
      <c r="BT52" s="115">
        <v>1</v>
      </c>
      <c r="BU52" s="115"/>
      <c r="BV52" s="115"/>
      <c r="BW52" s="115"/>
      <c r="BX52" s="115"/>
      <c r="BY52" s="275">
        <v>942.1</v>
      </c>
      <c r="BZ52" s="253">
        <v>413.2</v>
      </c>
      <c r="CA52" s="205">
        <v>1682</v>
      </c>
      <c r="CB52" s="282">
        <f t="shared" si="47"/>
        <v>1068</v>
      </c>
      <c r="CC52" s="209"/>
      <c r="CD52" s="235"/>
      <c r="CE52" s="209">
        <v>1</v>
      </c>
      <c r="CF52" s="235">
        <v>12770</v>
      </c>
      <c r="CG52" s="235">
        <v>1</v>
      </c>
      <c r="CH52" s="235">
        <v>12770</v>
      </c>
      <c r="CI52" s="314">
        <v>65</v>
      </c>
      <c r="CJ52" s="284" t="str">
        <f t="shared" si="48"/>
        <v>0</v>
      </c>
      <c r="CK52" s="284" t="str">
        <f t="shared" si="49"/>
        <v>0</v>
      </c>
      <c r="CL52" s="243">
        <f t="shared" si="50"/>
        <v>22.769259190836873</v>
      </c>
      <c r="CM52" s="216" t="str">
        <f t="shared" si="51"/>
        <v>0</v>
      </c>
      <c r="CN52" s="216" t="str">
        <f t="shared" si="52"/>
        <v>0</v>
      </c>
      <c r="CO52" s="243">
        <f t="shared" si="53"/>
        <v>22.769259190836873</v>
      </c>
      <c r="CP52" s="306">
        <v>1</v>
      </c>
      <c r="CQ52" s="306">
        <v>0</v>
      </c>
      <c r="CR52" s="306">
        <v>0</v>
      </c>
      <c r="CS52" s="306">
        <v>0</v>
      </c>
      <c r="CT52" s="306">
        <v>2</v>
      </c>
      <c r="CU52" s="306">
        <v>0</v>
      </c>
      <c r="CV52" s="306">
        <v>0</v>
      </c>
      <c r="CW52" s="306">
        <v>0</v>
      </c>
      <c r="CX52" s="306">
        <v>0</v>
      </c>
      <c r="CY52" s="306">
        <v>43</v>
      </c>
      <c r="CZ52" s="306">
        <v>32</v>
      </c>
      <c r="DA52" s="306">
        <v>11</v>
      </c>
      <c r="DB52" s="306">
        <v>27</v>
      </c>
      <c r="DC52" s="306">
        <v>17</v>
      </c>
      <c r="DD52" s="306">
        <v>31</v>
      </c>
      <c r="DE52" s="306">
        <v>26</v>
      </c>
      <c r="DF52" s="306">
        <v>19</v>
      </c>
      <c r="DG52" s="306">
        <v>49</v>
      </c>
      <c r="DH52" s="306">
        <v>38</v>
      </c>
      <c r="DI52" s="306">
        <v>7</v>
      </c>
      <c r="DJ52" s="306">
        <v>3</v>
      </c>
      <c r="DK52" s="306">
        <v>0</v>
      </c>
      <c r="DL52" s="306">
        <v>6</v>
      </c>
      <c r="DM52" s="306">
        <v>4</v>
      </c>
      <c r="DN52" s="306">
        <v>4</v>
      </c>
      <c r="DO52" s="306">
        <v>10</v>
      </c>
      <c r="DP52" s="306">
        <v>43</v>
      </c>
      <c r="DQ52" s="306">
        <v>43</v>
      </c>
      <c r="DR52" s="3"/>
      <c r="DS52" s="3"/>
      <c r="DT52" s="3"/>
      <c r="DU52" s="3"/>
      <c r="DV52" s="3"/>
    </row>
    <row r="53" spans="1:126" s="7" customFormat="1" x14ac:dyDescent="0.2">
      <c r="A53" s="149" t="s">
        <v>197</v>
      </c>
      <c r="B53" s="169">
        <v>47</v>
      </c>
      <c r="C53" s="12" t="s">
        <v>246</v>
      </c>
      <c r="D53" s="200">
        <v>1977</v>
      </c>
      <c r="E53" s="11"/>
      <c r="F53" s="169">
        <v>84</v>
      </c>
      <c r="G53" s="35">
        <v>1</v>
      </c>
      <c r="H53" s="201">
        <v>9</v>
      </c>
      <c r="I53" s="201" t="s">
        <v>22</v>
      </c>
      <c r="J53" s="115">
        <v>14254</v>
      </c>
      <c r="K53" s="115">
        <v>589</v>
      </c>
      <c r="L53" s="157"/>
      <c r="M53" s="115">
        <v>673</v>
      </c>
      <c r="N53" s="115">
        <v>72</v>
      </c>
      <c r="O53" s="115">
        <v>143</v>
      </c>
      <c r="P53" s="115">
        <v>72</v>
      </c>
      <c r="Q53" s="115">
        <v>147</v>
      </c>
      <c r="R53" s="228">
        <v>3620.69</v>
      </c>
      <c r="S53" s="230">
        <v>2134.46</v>
      </c>
      <c r="T53" s="115">
        <f t="shared" si="32"/>
        <v>70</v>
      </c>
      <c r="U53" s="203">
        <f t="shared" si="33"/>
        <v>3530.9900000000002</v>
      </c>
      <c r="V53" s="180">
        <f t="shared" si="34"/>
        <v>2078.85</v>
      </c>
      <c r="W53" s="115">
        <v>2</v>
      </c>
      <c r="X53" s="207">
        <v>89.7</v>
      </c>
      <c r="Y53" s="207">
        <v>55.61</v>
      </c>
      <c r="Z53" s="204"/>
      <c r="AA53" s="207"/>
      <c r="AB53" s="207"/>
      <c r="AC53" s="207">
        <f t="shared" si="35"/>
        <v>0</v>
      </c>
      <c r="AD53" s="248">
        <f t="shared" si="36"/>
        <v>0</v>
      </c>
      <c r="AE53" s="275"/>
      <c r="AF53" s="275"/>
      <c r="AG53" s="207"/>
      <c r="AH53" s="207"/>
      <c r="AI53" s="207">
        <f t="shared" si="37"/>
        <v>3620.69</v>
      </c>
      <c r="AJ53" s="170"/>
      <c r="AK53" s="170">
        <v>2</v>
      </c>
      <c r="AL53" s="170">
        <v>2</v>
      </c>
      <c r="AM53" s="170">
        <v>2</v>
      </c>
      <c r="AN53" s="170"/>
      <c r="AO53" s="170">
        <v>2</v>
      </c>
      <c r="AP53" s="170">
        <v>3177</v>
      </c>
      <c r="AQ53" s="170"/>
      <c r="AR53" s="170">
        <v>600</v>
      </c>
      <c r="AS53" s="170">
        <v>213</v>
      </c>
      <c r="AT53" s="170">
        <v>40</v>
      </c>
      <c r="AU53" s="170">
        <f t="shared" ref="AU53:AU84" si="55">AV53+AW53</f>
        <v>4557</v>
      </c>
      <c r="AV53" s="170">
        <v>4557</v>
      </c>
      <c r="AW53" s="170"/>
      <c r="AX53" s="170">
        <v>1742</v>
      </c>
      <c r="AY53" s="170">
        <v>141</v>
      </c>
      <c r="AZ53" s="170">
        <v>559</v>
      </c>
      <c r="BA53" s="170">
        <v>559</v>
      </c>
      <c r="BB53" s="170">
        <v>32</v>
      </c>
      <c r="BC53" s="170">
        <v>6</v>
      </c>
      <c r="BD53" s="170">
        <v>248</v>
      </c>
      <c r="BE53" s="170">
        <v>74</v>
      </c>
      <c r="BF53" s="170"/>
      <c r="BG53" s="170">
        <v>7140</v>
      </c>
      <c r="BH53" s="170">
        <v>3270</v>
      </c>
      <c r="BI53" s="170">
        <v>90</v>
      </c>
      <c r="BJ53" s="115" t="str">
        <f t="shared" si="38"/>
        <v>0</v>
      </c>
      <c r="BK53" s="115" t="str">
        <f t="shared" si="39"/>
        <v>0</v>
      </c>
      <c r="BL53" s="115" t="str">
        <f t="shared" si="40"/>
        <v>0</v>
      </c>
      <c r="BM53" s="115">
        <f t="shared" si="41"/>
        <v>1</v>
      </c>
      <c r="BN53" s="115">
        <f t="shared" si="42"/>
        <v>3620.69</v>
      </c>
      <c r="BO53" s="115">
        <f t="shared" si="43"/>
        <v>2134.46</v>
      </c>
      <c r="BP53" s="115" t="str">
        <f t="shared" si="44"/>
        <v>0</v>
      </c>
      <c r="BQ53" s="115" t="str">
        <f t="shared" si="45"/>
        <v>0</v>
      </c>
      <c r="BR53" s="115" t="str">
        <f t="shared" si="46"/>
        <v>0</v>
      </c>
      <c r="BS53" s="115"/>
      <c r="BT53" s="115">
        <v>1</v>
      </c>
      <c r="BU53" s="115">
        <f t="shared" ref="BU53:BU59" si="56">BA53</f>
        <v>559</v>
      </c>
      <c r="BV53" s="115">
        <v>2424</v>
      </c>
      <c r="BW53" s="115"/>
      <c r="BX53" s="115"/>
      <c r="BY53" s="253">
        <v>1102.74</v>
      </c>
      <c r="BZ53" s="253">
        <v>509.65</v>
      </c>
      <c r="CA53" s="205">
        <v>2467</v>
      </c>
      <c r="CB53" s="282">
        <f t="shared" si="47"/>
        <v>1878</v>
      </c>
      <c r="CC53" s="209">
        <f t="shared" ref="CC53:CC84" si="57">IF(CD53&gt;0,G53,"0")</f>
        <v>1</v>
      </c>
      <c r="CD53" s="235">
        <f t="shared" ref="CD53:CD84" si="58">AV53</f>
        <v>4557</v>
      </c>
      <c r="CE53" s="209" t="str">
        <f t="shared" ref="CE53:CE59" si="59">IF(CF53&gt;0,G53,"0")</f>
        <v>0</v>
      </c>
      <c r="CF53" s="235">
        <f t="shared" ref="CF53:CF84" si="60">AW53</f>
        <v>0</v>
      </c>
      <c r="CG53" s="235">
        <f t="shared" ref="CG53:CG84" si="61">CC53+CE53</f>
        <v>1</v>
      </c>
      <c r="CH53" s="235">
        <f t="shared" ref="CH53:CH84" si="62">CD53+CF53</f>
        <v>4557</v>
      </c>
      <c r="CI53" s="234">
        <v>45</v>
      </c>
      <c r="CJ53" s="284" t="str">
        <f t="shared" si="48"/>
        <v>0</v>
      </c>
      <c r="CK53" s="284" t="str">
        <f t="shared" si="49"/>
        <v>0</v>
      </c>
      <c r="CL53" s="243">
        <f t="shared" si="50"/>
        <v>2.4774283354830158</v>
      </c>
      <c r="CM53" s="216" t="str">
        <f t="shared" si="51"/>
        <v>0</v>
      </c>
      <c r="CN53" s="216" t="str">
        <f t="shared" si="52"/>
        <v>0</v>
      </c>
      <c r="CO53" s="243">
        <f t="shared" si="53"/>
        <v>2.4774283354830158</v>
      </c>
      <c r="CP53" s="306">
        <v>1</v>
      </c>
      <c r="CQ53" s="306">
        <v>0</v>
      </c>
      <c r="CR53" s="306">
        <v>0</v>
      </c>
      <c r="CS53" s="306">
        <v>0</v>
      </c>
      <c r="CT53" s="306">
        <v>2</v>
      </c>
      <c r="CU53" s="306">
        <v>0</v>
      </c>
      <c r="CV53" s="306">
        <v>0</v>
      </c>
      <c r="CW53" s="306">
        <v>0</v>
      </c>
      <c r="CX53" s="306">
        <v>0</v>
      </c>
      <c r="CY53" s="306">
        <v>72</v>
      </c>
      <c r="CZ53" s="306">
        <f t="shared" ref="CZ53:CZ84" si="63">CY53-DA53</f>
        <v>71</v>
      </c>
      <c r="DA53" s="306">
        <v>1</v>
      </c>
      <c r="DB53" s="306">
        <v>59</v>
      </c>
      <c r="DC53" s="306">
        <v>29</v>
      </c>
      <c r="DD53" s="306">
        <v>56</v>
      </c>
      <c r="DE53" s="306">
        <v>34</v>
      </c>
      <c r="DF53" s="306">
        <v>32</v>
      </c>
      <c r="DG53" s="306">
        <v>51</v>
      </c>
      <c r="DH53" s="306">
        <v>39</v>
      </c>
      <c r="DI53" s="306">
        <v>0</v>
      </c>
      <c r="DJ53" s="306">
        <v>0</v>
      </c>
      <c r="DK53" s="306">
        <v>4</v>
      </c>
      <c r="DL53" s="306">
        <v>0</v>
      </c>
      <c r="DM53" s="306">
        <v>0</v>
      </c>
      <c r="DN53" s="306">
        <v>4</v>
      </c>
      <c r="DO53" s="306">
        <v>0</v>
      </c>
      <c r="DP53" s="306">
        <v>72</v>
      </c>
      <c r="DQ53" s="306">
        <v>72</v>
      </c>
      <c r="DR53" s="210"/>
      <c r="DS53" s="210"/>
      <c r="DT53" s="210"/>
      <c r="DU53" s="210"/>
      <c r="DV53" s="210"/>
    </row>
    <row r="54" spans="1:126" s="7" customFormat="1" x14ac:dyDescent="0.2">
      <c r="A54" s="149" t="s">
        <v>197</v>
      </c>
      <c r="B54" s="169">
        <v>48</v>
      </c>
      <c r="C54" s="12" t="s">
        <v>247</v>
      </c>
      <c r="D54" s="200">
        <v>1976</v>
      </c>
      <c r="E54" s="11"/>
      <c r="F54" s="169">
        <v>84</v>
      </c>
      <c r="G54" s="35">
        <v>1</v>
      </c>
      <c r="H54" s="201">
        <v>9</v>
      </c>
      <c r="I54" s="201" t="s">
        <v>22</v>
      </c>
      <c r="J54" s="115">
        <v>30451</v>
      </c>
      <c r="K54" s="115">
        <v>1265</v>
      </c>
      <c r="L54" s="157"/>
      <c r="M54" s="115">
        <v>1197</v>
      </c>
      <c r="N54" s="115">
        <v>144</v>
      </c>
      <c r="O54" s="115">
        <v>320</v>
      </c>
      <c r="P54" s="115">
        <v>144</v>
      </c>
      <c r="Q54" s="115">
        <v>258</v>
      </c>
      <c r="R54" s="228">
        <f>7704.07+0.03-0.04</f>
        <v>7704.0599999999995</v>
      </c>
      <c r="S54" s="230">
        <v>4583.08</v>
      </c>
      <c r="T54" s="115">
        <f t="shared" si="32"/>
        <v>128</v>
      </c>
      <c r="U54" s="203">
        <f t="shared" si="33"/>
        <v>6929.71</v>
      </c>
      <c r="V54" s="180">
        <f t="shared" si="34"/>
        <v>4102.62</v>
      </c>
      <c r="W54" s="115">
        <v>15</v>
      </c>
      <c r="X54" s="207">
        <v>708.65</v>
      </c>
      <c r="Y54" s="207">
        <v>439.34</v>
      </c>
      <c r="Z54" s="115">
        <v>1</v>
      </c>
      <c r="AA54" s="207">
        <v>65.7</v>
      </c>
      <c r="AB54" s="207">
        <v>41.12</v>
      </c>
      <c r="AC54" s="207">
        <f t="shared" si="35"/>
        <v>0</v>
      </c>
      <c r="AD54" s="248">
        <f t="shared" si="36"/>
        <v>0</v>
      </c>
      <c r="AE54" s="275"/>
      <c r="AF54" s="275"/>
      <c r="AG54" s="207"/>
      <c r="AH54" s="207"/>
      <c r="AI54" s="207">
        <f t="shared" si="37"/>
        <v>7704.0599999999995</v>
      </c>
      <c r="AJ54" s="170"/>
      <c r="AK54" s="170">
        <v>4</v>
      </c>
      <c r="AL54" s="170">
        <v>4</v>
      </c>
      <c r="AM54" s="170">
        <v>4</v>
      </c>
      <c r="AN54" s="170"/>
      <c r="AO54" s="170">
        <v>4</v>
      </c>
      <c r="AP54" s="170">
        <v>4533</v>
      </c>
      <c r="AQ54" s="170"/>
      <c r="AR54" s="170">
        <v>666</v>
      </c>
      <c r="AS54" s="170">
        <v>413</v>
      </c>
      <c r="AT54" s="170">
        <v>80</v>
      </c>
      <c r="AU54" s="170">
        <f t="shared" si="55"/>
        <v>9113</v>
      </c>
      <c r="AV54" s="170">
        <v>9113</v>
      </c>
      <c r="AW54" s="170"/>
      <c r="AX54" s="170">
        <v>3484</v>
      </c>
      <c r="AY54" s="170">
        <v>303</v>
      </c>
      <c r="AZ54" s="170">
        <v>1197</v>
      </c>
      <c r="BA54" s="170">
        <v>1197</v>
      </c>
      <c r="BB54" s="170">
        <v>64</v>
      </c>
      <c r="BC54" s="170">
        <v>12</v>
      </c>
      <c r="BD54" s="170">
        <v>231</v>
      </c>
      <c r="BE54" s="170">
        <v>144</v>
      </c>
      <c r="BF54" s="170"/>
      <c r="BG54" s="170">
        <v>14280</v>
      </c>
      <c r="BH54" s="170">
        <v>6540</v>
      </c>
      <c r="BI54" s="170">
        <v>180</v>
      </c>
      <c r="BJ54" s="115" t="str">
        <f t="shared" si="38"/>
        <v>0</v>
      </c>
      <c r="BK54" s="115" t="str">
        <f t="shared" si="39"/>
        <v>0</v>
      </c>
      <c r="BL54" s="115" t="str">
        <f t="shared" si="40"/>
        <v>0</v>
      </c>
      <c r="BM54" s="115">
        <f t="shared" si="41"/>
        <v>1</v>
      </c>
      <c r="BN54" s="115">
        <f t="shared" si="42"/>
        <v>7704.0599999999995</v>
      </c>
      <c r="BO54" s="115">
        <f t="shared" si="43"/>
        <v>4583.08</v>
      </c>
      <c r="BP54" s="115" t="str">
        <f t="shared" si="44"/>
        <v>0</v>
      </c>
      <c r="BQ54" s="115" t="str">
        <f t="shared" si="45"/>
        <v>0</v>
      </c>
      <c r="BR54" s="115" t="str">
        <f t="shared" si="46"/>
        <v>0</v>
      </c>
      <c r="BS54" s="115"/>
      <c r="BT54" s="115">
        <v>3</v>
      </c>
      <c r="BU54" s="115">
        <f t="shared" si="56"/>
        <v>1197</v>
      </c>
      <c r="BV54" s="115">
        <v>5158</v>
      </c>
      <c r="BW54" s="115"/>
      <c r="BX54" s="115"/>
      <c r="BY54" s="253">
        <v>2496.39</v>
      </c>
      <c r="BZ54" s="253">
        <v>1197.3699999999999</v>
      </c>
      <c r="CA54" s="205">
        <v>3441</v>
      </c>
      <c r="CB54" s="282">
        <f t="shared" si="47"/>
        <v>2176</v>
      </c>
      <c r="CC54" s="209">
        <f t="shared" si="57"/>
        <v>1</v>
      </c>
      <c r="CD54" s="235">
        <f t="shared" si="58"/>
        <v>9113</v>
      </c>
      <c r="CE54" s="209" t="str">
        <f t="shared" si="59"/>
        <v>0</v>
      </c>
      <c r="CF54" s="235">
        <f t="shared" si="60"/>
        <v>0</v>
      </c>
      <c r="CG54" s="235">
        <f t="shared" si="61"/>
        <v>1</v>
      </c>
      <c r="CH54" s="235">
        <f t="shared" si="62"/>
        <v>9113</v>
      </c>
      <c r="CI54" s="234">
        <v>60</v>
      </c>
      <c r="CJ54" s="284" t="str">
        <f t="shared" si="48"/>
        <v>0</v>
      </c>
      <c r="CK54" s="284" t="str">
        <f t="shared" si="49"/>
        <v>0</v>
      </c>
      <c r="CL54" s="243">
        <f t="shared" si="50"/>
        <v>9.1983966895377236</v>
      </c>
      <c r="CM54" s="216" t="str">
        <f t="shared" si="51"/>
        <v>0</v>
      </c>
      <c r="CN54" s="216" t="str">
        <f t="shared" si="52"/>
        <v>0</v>
      </c>
      <c r="CO54" s="243">
        <f t="shared" si="53"/>
        <v>9.1983966895377236</v>
      </c>
      <c r="CP54" s="306">
        <v>1</v>
      </c>
      <c r="CQ54" s="306">
        <v>0</v>
      </c>
      <c r="CR54" s="306">
        <v>0</v>
      </c>
      <c r="CS54" s="306">
        <v>0</v>
      </c>
      <c r="CT54" s="306">
        <v>2</v>
      </c>
      <c r="CU54" s="306">
        <v>0</v>
      </c>
      <c r="CV54" s="306">
        <v>0</v>
      </c>
      <c r="CW54" s="306">
        <v>0</v>
      </c>
      <c r="CX54" s="306">
        <v>0</v>
      </c>
      <c r="CY54" s="306">
        <v>144</v>
      </c>
      <c r="CZ54" s="306">
        <f t="shared" si="63"/>
        <v>135</v>
      </c>
      <c r="DA54" s="306">
        <v>9</v>
      </c>
      <c r="DB54" s="306">
        <v>104</v>
      </c>
      <c r="DC54" s="306">
        <v>67</v>
      </c>
      <c r="DD54" s="306">
        <v>99</v>
      </c>
      <c r="DE54" s="306">
        <v>97</v>
      </c>
      <c r="DF54" s="306">
        <v>80</v>
      </c>
      <c r="DG54" s="306">
        <v>82</v>
      </c>
      <c r="DH54" s="306">
        <v>114</v>
      </c>
      <c r="DI54" s="306">
        <v>6</v>
      </c>
      <c r="DJ54" s="306">
        <v>1</v>
      </c>
      <c r="DK54" s="306">
        <v>19</v>
      </c>
      <c r="DL54" s="306">
        <v>1</v>
      </c>
      <c r="DM54" s="306">
        <v>1</v>
      </c>
      <c r="DN54" s="306">
        <v>19</v>
      </c>
      <c r="DO54" s="306">
        <v>1</v>
      </c>
      <c r="DP54" s="306">
        <v>144</v>
      </c>
      <c r="DQ54" s="306">
        <v>144</v>
      </c>
      <c r="DR54" s="210"/>
      <c r="DS54" s="210"/>
      <c r="DT54" s="210"/>
      <c r="DU54" s="210"/>
      <c r="DV54" s="210"/>
    </row>
    <row r="55" spans="1:126" s="7" customFormat="1" x14ac:dyDescent="0.2">
      <c r="A55" s="326" t="s">
        <v>203</v>
      </c>
      <c r="B55" s="169">
        <v>49</v>
      </c>
      <c r="C55" s="12" t="s">
        <v>248</v>
      </c>
      <c r="D55" s="200">
        <v>1982</v>
      </c>
      <c r="E55" s="11"/>
      <c r="F55" s="169" t="s">
        <v>21</v>
      </c>
      <c r="G55" s="35">
        <v>1</v>
      </c>
      <c r="H55" s="201">
        <v>9</v>
      </c>
      <c r="I55" s="201" t="s">
        <v>19</v>
      </c>
      <c r="J55" s="115">
        <v>50115</v>
      </c>
      <c r="K55" s="115">
        <v>1962</v>
      </c>
      <c r="L55" s="157"/>
      <c r="M55" s="115">
        <v>1424</v>
      </c>
      <c r="N55" s="115">
        <v>128</v>
      </c>
      <c r="O55" s="115">
        <v>256</v>
      </c>
      <c r="P55" s="115">
        <v>128</v>
      </c>
      <c r="Q55" s="115">
        <v>231</v>
      </c>
      <c r="R55" s="228">
        <f>7415.4-1</f>
        <v>7414.4</v>
      </c>
      <c r="S55" s="230">
        <v>4007.4</v>
      </c>
      <c r="T55" s="115">
        <f t="shared" si="32"/>
        <v>117</v>
      </c>
      <c r="U55" s="203">
        <f t="shared" si="33"/>
        <v>6783.5</v>
      </c>
      <c r="V55" s="180">
        <f t="shared" si="34"/>
        <v>3616.2400000000002</v>
      </c>
      <c r="W55" s="115">
        <v>11</v>
      </c>
      <c r="X55" s="207">
        <v>630.9</v>
      </c>
      <c r="Y55" s="207">
        <v>391.16</v>
      </c>
      <c r="Z55" s="204"/>
      <c r="AA55" s="207"/>
      <c r="AB55" s="207"/>
      <c r="AC55" s="207">
        <f t="shared" si="35"/>
        <v>1270.7</v>
      </c>
      <c r="AD55" s="248">
        <f t="shared" si="36"/>
        <v>1270.7</v>
      </c>
      <c r="AE55" s="275"/>
      <c r="AF55" s="248">
        <f>1291.2-20.5</f>
        <v>1270.7</v>
      </c>
      <c r="AG55" s="207"/>
      <c r="AH55" s="207"/>
      <c r="AI55" s="207">
        <f t="shared" si="37"/>
        <v>8685.1</v>
      </c>
      <c r="AJ55" s="170"/>
      <c r="AK55" s="170">
        <v>4</v>
      </c>
      <c r="AL55" s="170">
        <v>4</v>
      </c>
      <c r="AM55" s="170">
        <v>4</v>
      </c>
      <c r="AN55" s="170">
        <v>1</v>
      </c>
      <c r="AO55" s="170">
        <v>1</v>
      </c>
      <c r="AP55" s="170">
        <v>7570</v>
      </c>
      <c r="AQ55" s="170"/>
      <c r="AR55" s="170">
        <v>764</v>
      </c>
      <c r="AS55" s="170">
        <v>514</v>
      </c>
      <c r="AT55" s="170">
        <v>140</v>
      </c>
      <c r="AU55" s="170">
        <f t="shared" si="55"/>
        <v>10099</v>
      </c>
      <c r="AV55" s="170">
        <v>10099</v>
      </c>
      <c r="AW55" s="170"/>
      <c r="AX55" s="170"/>
      <c r="AY55" s="170">
        <v>483</v>
      </c>
      <c r="AZ55" s="170">
        <v>1767</v>
      </c>
      <c r="BA55" s="170">
        <v>1424</v>
      </c>
      <c r="BB55" s="170"/>
      <c r="BC55" s="170">
        <v>12</v>
      </c>
      <c r="BD55" s="170">
        <v>447</v>
      </c>
      <c r="BE55" s="170">
        <v>128</v>
      </c>
      <c r="BF55" s="170"/>
      <c r="BG55" s="170">
        <v>22800</v>
      </c>
      <c r="BH55" s="170">
        <v>6540</v>
      </c>
      <c r="BI55" s="170">
        <v>180</v>
      </c>
      <c r="BJ55" s="115">
        <f t="shared" si="38"/>
        <v>1</v>
      </c>
      <c r="BK55" s="115">
        <f t="shared" si="39"/>
        <v>7414.4</v>
      </c>
      <c r="BL55" s="115">
        <f t="shared" si="40"/>
        <v>4007.4</v>
      </c>
      <c r="BM55" s="115" t="str">
        <f t="shared" si="41"/>
        <v>0</v>
      </c>
      <c r="BN55" s="115" t="str">
        <f t="shared" si="42"/>
        <v>0</v>
      </c>
      <c r="BO55" s="115" t="str">
        <f t="shared" si="43"/>
        <v>0</v>
      </c>
      <c r="BP55" s="115" t="str">
        <f t="shared" si="44"/>
        <v>0</v>
      </c>
      <c r="BQ55" s="115" t="str">
        <f t="shared" si="45"/>
        <v>0</v>
      </c>
      <c r="BR55" s="115" t="str">
        <f t="shared" si="46"/>
        <v>0</v>
      </c>
      <c r="BS55" s="115"/>
      <c r="BT55" s="115">
        <v>3</v>
      </c>
      <c r="BU55" s="115">
        <f t="shared" si="56"/>
        <v>1424</v>
      </c>
      <c r="BV55" s="115">
        <v>5604</v>
      </c>
      <c r="BW55" s="115"/>
      <c r="BX55" s="115">
        <f>AP55</f>
        <v>7570</v>
      </c>
      <c r="BY55" s="253">
        <v>2915.3</v>
      </c>
      <c r="BZ55" s="253">
        <v>1583.4</v>
      </c>
      <c r="CA55" s="205">
        <v>3454</v>
      </c>
      <c r="CB55" s="282">
        <f t="shared" si="47"/>
        <v>1492</v>
      </c>
      <c r="CC55" s="209">
        <f t="shared" si="57"/>
        <v>1</v>
      </c>
      <c r="CD55" s="235">
        <f t="shared" si="58"/>
        <v>10099</v>
      </c>
      <c r="CE55" s="209" t="str">
        <f t="shared" si="59"/>
        <v>0</v>
      </c>
      <c r="CF55" s="235">
        <f t="shared" si="60"/>
        <v>0</v>
      </c>
      <c r="CG55" s="235">
        <f t="shared" si="61"/>
        <v>1</v>
      </c>
      <c r="CH55" s="235">
        <f t="shared" si="62"/>
        <v>10099</v>
      </c>
      <c r="CI55" s="234">
        <v>64</v>
      </c>
      <c r="CJ55" s="284" t="str">
        <f t="shared" si="48"/>
        <v>0</v>
      </c>
      <c r="CK55" s="284" t="str">
        <f t="shared" si="49"/>
        <v>0</v>
      </c>
      <c r="CL55" s="243">
        <f t="shared" si="50"/>
        <v>8.509117393180837</v>
      </c>
      <c r="CM55" s="216" t="str">
        <f t="shared" si="51"/>
        <v>0</v>
      </c>
      <c r="CN55" s="216" t="str">
        <f t="shared" si="52"/>
        <v>0</v>
      </c>
      <c r="CO55" s="243">
        <f t="shared" si="53"/>
        <v>21.894969545543518</v>
      </c>
      <c r="CP55" s="306">
        <v>1</v>
      </c>
      <c r="CQ55" s="306">
        <v>0</v>
      </c>
      <c r="CR55" s="306">
        <v>0</v>
      </c>
      <c r="CS55" s="306">
        <v>0</v>
      </c>
      <c r="CT55" s="306">
        <v>2</v>
      </c>
      <c r="CU55" s="306">
        <v>0</v>
      </c>
      <c r="CV55" s="306">
        <v>0</v>
      </c>
      <c r="CW55" s="306">
        <v>0</v>
      </c>
      <c r="CX55" s="306">
        <v>0</v>
      </c>
      <c r="CY55" s="306">
        <v>128</v>
      </c>
      <c r="CZ55" s="306">
        <f t="shared" si="63"/>
        <v>120</v>
      </c>
      <c r="DA55" s="306">
        <v>8</v>
      </c>
      <c r="DB55" s="306">
        <v>90</v>
      </c>
      <c r="DC55" s="306">
        <v>54</v>
      </c>
      <c r="DD55" s="306">
        <v>148</v>
      </c>
      <c r="DE55" s="306">
        <v>108</v>
      </c>
      <c r="DF55" s="306">
        <v>64</v>
      </c>
      <c r="DG55" s="306">
        <v>128</v>
      </c>
      <c r="DH55" s="306">
        <v>128</v>
      </c>
      <c r="DI55" s="306">
        <v>4</v>
      </c>
      <c r="DJ55" s="306">
        <v>3</v>
      </c>
      <c r="DK55" s="306">
        <v>8</v>
      </c>
      <c r="DL55" s="306">
        <v>6</v>
      </c>
      <c r="DM55" s="306">
        <v>3</v>
      </c>
      <c r="DN55" s="306">
        <v>8</v>
      </c>
      <c r="DO55" s="306">
        <v>6</v>
      </c>
      <c r="DP55" s="306">
        <v>128</v>
      </c>
      <c r="DQ55" s="306">
        <v>128</v>
      </c>
      <c r="DR55" s="210"/>
      <c r="DS55" s="210"/>
      <c r="DT55" s="210"/>
      <c r="DU55" s="210"/>
      <c r="DV55" s="210"/>
    </row>
    <row r="56" spans="1:126" s="7" customFormat="1" x14ac:dyDescent="0.2">
      <c r="A56" s="149" t="s">
        <v>197</v>
      </c>
      <c r="B56" s="169">
        <v>50</v>
      </c>
      <c r="C56" s="12" t="s">
        <v>249</v>
      </c>
      <c r="D56" s="200">
        <v>1981</v>
      </c>
      <c r="E56" s="11"/>
      <c r="F56" s="169" t="s">
        <v>21</v>
      </c>
      <c r="G56" s="35">
        <v>1</v>
      </c>
      <c r="H56" s="201">
        <v>9</v>
      </c>
      <c r="I56" s="201" t="s">
        <v>19</v>
      </c>
      <c r="J56" s="115">
        <v>18540</v>
      </c>
      <c r="K56" s="115">
        <v>779</v>
      </c>
      <c r="L56" s="157"/>
      <c r="M56" s="115">
        <v>701</v>
      </c>
      <c r="N56" s="115">
        <v>64</v>
      </c>
      <c r="O56" s="115">
        <v>144</v>
      </c>
      <c r="P56" s="115">
        <v>64</v>
      </c>
      <c r="Q56" s="115">
        <v>123</v>
      </c>
      <c r="R56" s="228">
        <v>3384.2</v>
      </c>
      <c r="S56" s="230">
        <v>1962.1</v>
      </c>
      <c r="T56" s="115">
        <f t="shared" si="32"/>
        <v>59</v>
      </c>
      <c r="U56" s="203">
        <f t="shared" si="33"/>
        <v>3175</v>
      </c>
      <c r="V56" s="180">
        <f t="shared" si="34"/>
        <v>1832.3999999999999</v>
      </c>
      <c r="W56" s="115">
        <v>5</v>
      </c>
      <c r="X56" s="207">
        <v>209.2</v>
      </c>
      <c r="Y56" s="207">
        <v>129.69999999999999</v>
      </c>
      <c r="Z56" s="204"/>
      <c r="AA56" s="207"/>
      <c r="AB56" s="207"/>
      <c r="AC56" s="207">
        <f t="shared" si="35"/>
        <v>380</v>
      </c>
      <c r="AD56" s="248">
        <f t="shared" si="36"/>
        <v>380</v>
      </c>
      <c r="AE56" s="275"/>
      <c r="AF56" s="248">
        <v>380</v>
      </c>
      <c r="AG56" s="207"/>
      <c r="AH56" s="207"/>
      <c r="AI56" s="207">
        <f t="shared" si="37"/>
        <v>3764.2</v>
      </c>
      <c r="AJ56" s="170"/>
      <c r="AK56" s="170">
        <v>2</v>
      </c>
      <c r="AL56" s="170">
        <v>2</v>
      </c>
      <c r="AM56" s="170">
        <v>2</v>
      </c>
      <c r="AN56" s="170"/>
      <c r="AO56" s="170">
        <v>1</v>
      </c>
      <c r="AP56" s="170">
        <v>3785</v>
      </c>
      <c r="AQ56" s="170"/>
      <c r="AR56" s="170">
        <v>566</v>
      </c>
      <c r="AS56" s="170">
        <v>272</v>
      </c>
      <c r="AT56" s="170">
        <v>70</v>
      </c>
      <c r="AU56" s="170">
        <f t="shared" si="55"/>
        <v>5049</v>
      </c>
      <c r="AV56" s="170">
        <v>5049</v>
      </c>
      <c r="AW56" s="170"/>
      <c r="AX56" s="170"/>
      <c r="AY56" s="170">
        <v>163</v>
      </c>
      <c r="AZ56" s="170">
        <v>779</v>
      </c>
      <c r="BA56" s="170">
        <v>682</v>
      </c>
      <c r="BB56" s="170"/>
      <c r="BC56" s="170">
        <v>6</v>
      </c>
      <c r="BD56" s="170">
        <v>276</v>
      </c>
      <c r="BE56" s="170">
        <v>64</v>
      </c>
      <c r="BF56" s="170"/>
      <c r="BG56" s="170">
        <v>11400</v>
      </c>
      <c r="BH56" s="170">
        <v>3270</v>
      </c>
      <c r="BI56" s="170">
        <v>90</v>
      </c>
      <c r="BJ56" s="115">
        <f t="shared" si="38"/>
        <v>1</v>
      </c>
      <c r="BK56" s="115">
        <f t="shared" si="39"/>
        <v>3384.2</v>
      </c>
      <c r="BL56" s="115">
        <f t="shared" si="40"/>
        <v>1962.1</v>
      </c>
      <c r="BM56" s="115" t="str">
        <f t="shared" si="41"/>
        <v>0</v>
      </c>
      <c r="BN56" s="115" t="str">
        <f t="shared" si="42"/>
        <v>0</v>
      </c>
      <c r="BO56" s="115" t="str">
        <f t="shared" si="43"/>
        <v>0</v>
      </c>
      <c r="BP56" s="115" t="str">
        <f t="shared" si="44"/>
        <v>0</v>
      </c>
      <c r="BQ56" s="115" t="str">
        <f t="shared" si="45"/>
        <v>0</v>
      </c>
      <c r="BR56" s="115" t="str">
        <f t="shared" si="46"/>
        <v>0</v>
      </c>
      <c r="BS56" s="115"/>
      <c r="BT56" s="115">
        <v>1</v>
      </c>
      <c r="BU56" s="115">
        <f t="shared" si="56"/>
        <v>682</v>
      </c>
      <c r="BV56" s="115">
        <v>2598</v>
      </c>
      <c r="BW56" s="115"/>
      <c r="BX56" s="115">
        <f>AP56</f>
        <v>3785</v>
      </c>
      <c r="BY56" s="253">
        <v>1283.8</v>
      </c>
      <c r="BZ56" s="253">
        <v>690.2</v>
      </c>
      <c r="CA56" s="205">
        <v>2317</v>
      </c>
      <c r="CB56" s="282">
        <f t="shared" si="47"/>
        <v>1538</v>
      </c>
      <c r="CC56" s="209">
        <f t="shared" si="57"/>
        <v>1</v>
      </c>
      <c r="CD56" s="235">
        <f t="shared" si="58"/>
        <v>5049</v>
      </c>
      <c r="CE56" s="209" t="str">
        <f t="shared" si="59"/>
        <v>0</v>
      </c>
      <c r="CF56" s="235">
        <f t="shared" si="60"/>
        <v>0</v>
      </c>
      <c r="CG56" s="235">
        <f t="shared" si="61"/>
        <v>1</v>
      </c>
      <c r="CH56" s="235">
        <f t="shared" si="62"/>
        <v>5049</v>
      </c>
      <c r="CI56" s="234">
        <v>64</v>
      </c>
      <c r="CJ56" s="284" t="str">
        <f t="shared" si="48"/>
        <v>0</v>
      </c>
      <c r="CK56" s="284" t="str">
        <f t="shared" si="49"/>
        <v>0</v>
      </c>
      <c r="CL56" s="243">
        <f t="shared" si="50"/>
        <v>6.1816677501329709</v>
      </c>
      <c r="CM56" s="216" t="str">
        <f t="shared" si="51"/>
        <v>0</v>
      </c>
      <c r="CN56" s="216" t="str">
        <f t="shared" si="52"/>
        <v>0</v>
      </c>
      <c r="CO56" s="243">
        <f t="shared" si="53"/>
        <v>15.652728335370067</v>
      </c>
      <c r="CP56" s="306">
        <v>1</v>
      </c>
      <c r="CQ56" s="306">
        <v>0</v>
      </c>
      <c r="CR56" s="306">
        <v>0</v>
      </c>
      <c r="CS56" s="306">
        <v>0</v>
      </c>
      <c r="CT56" s="306">
        <v>2</v>
      </c>
      <c r="CU56" s="306">
        <v>0</v>
      </c>
      <c r="CV56" s="306">
        <v>0</v>
      </c>
      <c r="CW56" s="306">
        <v>0</v>
      </c>
      <c r="CX56" s="306">
        <v>0</v>
      </c>
      <c r="CY56" s="306">
        <v>64</v>
      </c>
      <c r="CZ56" s="306">
        <f t="shared" si="63"/>
        <v>63</v>
      </c>
      <c r="DA56" s="306">
        <v>1</v>
      </c>
      <c r="DB56" s="306">
        <v>45</v>
      </c>
      <c r="DC56" s="306">
        <v>23</v>
      </c>
      <c r="DD56" s="306">
        <v>57</v>
      </c>
      <c r="DE56" s="306">
        <v>39</v>
      </c>
      <c r="DF56" s="306">
        <v>25</v>
      </c>
      <c r="DG56" s="306">
        <v>54</v>
      </c>
      <c r="DH56" s="306">
        <v>42</v>
      </c>
      <c r="DI56" s="306">
        <v>1</v>
      </c>
      <c r="DJ56" s="306">
        <v>0</v>
      </c>
      <c r="DK56" s="306">
        <v>5</v>
      </c>
      <c r="DL56" s="306">
        <v>0</v>
      </c>
      <c r="DM56" s="306">
        <v>0</v>
      </c>
      <c r="DN56" s="306">
        <v>5</v>
      </c>
      <c r="DO56" s="306">
        <v>0</v>
      </c>
      <c r="DP56" s="306">
        <v>64</v>
      </c>
      <c r="DQ56" s="306">
        <v>64</v>
      </c>
      <c r="DR56" s="210"/>
      <c r="DS56" s="210"/>
      <c r="DT56" s="210"/>
      <c r="DU56" s="210"/>
      <c r="DV56" s="210"/>
    </row>
    <row r="57" spans="1:126" x14ac:dyDescent="0.2">
      <c r="A57" s="149" t="s">
        <v>197</v>
      </c>
      <c r="B57" s="169">
        <v>51</v>
      </c>
      <c r="C57" s="12" t="s">
        <v>250</v>
      </c>
      <c r="D57" s="200">
        <v>1979</v>
      </c>
      <c r="E57" s="11"/>
      <c r="F57" s="169">
        <v>84</v>
      </c>
      <c r="G57" s="35">
        <v>1</v>
      </c>
      <c r="H57" s="201">
        <v>9</v>
      </c>
      <c r="I57" s="201" t="s">
        <v>22</v>
      </c>
      <c r="J57" s="115">
        <v>22438</v>
      </c>
      <c r="K57" s="115">
        <v>939</v>
      </c>
      <c r="L57" s="157"/>
      <c r="M57" s="115">
        <v>874</v>
      </c>
      <c r="N57" s="115">
        <v>107</v>
      </c>
      <c r="O57" s="115">
        <v>229</v>
      </c>
      <c r="P57" s="115">
        <v>107</v>
      </c>
      <c r="Q57" s="115">
        <v>209</v>
      </c>
      <c r="R57" s="228">
        <f>5536.51-22.6+23.62+1.28</f>
        <v>5538.8099999999995</v>
      </c>
      <c r="S57" s="230">
        <v>3302.75</v>
      </c>
      <c r="T57" s="115">
        <f t="shared" si="32"/>
        <v>98</v>
      </c>
      <c r="U57" s="203">
        <f t="shared" si="33"/>
        <v>5093.91</v>
      </c>
      <c r="V57" s="180">
        <f t="shared" si="34"/>
        <v>3026.91</v>
      </c>
      <c r="W57" s="115">
        <v>9</v>
      </c>
      <c r="X57" s="207">
        <v>444.9</v>
      </c>
      <c r="Y57" s="207">
        <v>275.83999999999997</v>
      </c>
      <c r="Z57" s="204"/>
      <c r="AA57" s="207"/>
      <c r="AB57" s="207"/>
      <c r="AC57" s="207">
        <f t="shared" si="35"/>
        <v>35.5</v>
      </c>
      <c r="AD57" s="248">
        <f t="shared" si="36"/>
        <v>35.5</v>
      </c>
      <c r="AE57" s="275"/>
      <c r="AF57" s="275">
        <f>35.52-0.02</f>
        <v>35.5</v>
      </c>
      <c r="AG57" s="207"/>
      <c r="AH57" s="207"/>
      <c r="AI57" s="207">
        <f t="shared" si="37"/>
        <v>5574.3099999999995</v>
      </c>
      <c r="AJ57" s="170"/>
      <c r="AK57" s="170">
        <v>3</v>
      </c>
      <c r="AL57" s="170">
        <v>3</v>
      </c>
      <c r="AM57" s="170">
        <v>3</v>
      </c>
      <c r="AN57" s="170"/>
      <c r="AO57" s="170">
        <v>3</v>
      </c>
      <c r="AP57" s="170">
        <v>5910</v>
      </c>
      <c r="AQ57" s="328"/>
      <c r="AR57" s="170">
        <v>622</v>
      </c>
      <c r="AS57" s="170">
        <v>450</v>
      </c>
      <c r="AT57" s="170">
        <v>60</v>
      </c>
      <c r="AU57" s="170">
        <f t="shared" si="55"/>
        <v>6835</v>
      </c>
      <c r="AV57" s="170">
        <v>6835</v>
      </c>
      <c r="AW57" s="170"/>
      <c r="AX57" s="170">
        <v>2613</v>
      </c>
      <c r="AY57" s="170">
        <v>253</v>
      </c>
      <c r="AZ57" s="170">
        <v>873</v>
      </c>
      <c r="BA57" s="170">
        <v>873</v>
      </c>
      <c r="BB57" s="170">
        <v>48</v>
      </c>
      <c r="BC57" s="170">
        <v>9</v>
      </c>
      <c r="BD57" s="170">
        <v>268</v>
      </c>
      <c r="BE57" s="170">
        <v>107</v>
      </c>
      <c r="BF57" s="170"/>
      <c r="BG57" s="170">
        <v>10710</v>
      </c>
      <c r="BH57" s="170">
        <v>4905</v>
      </c>
      <c r="BI57" s="170">
        <v>135</v>
      </c>
      <c r="BJ57" s="115" t="str">
        <f t="shared" si="38"/>
        <v>0</v>
      </c>
      <c r="BK57" s="115" t="str">
        <f t="shared" si="39"/>
        <v>0</v>
      </c>
      <c r="BL57" s="115" t="str">
        <f t="shared" si="40"/>
        <v>0</v>
      </c>
      <c r="BM57" s="115">
        <f t="shared" si="41"/>
        <v>1</v>
      </c>
      <c r="BN57" s="115">
        <f t="shared" si="42"/>
        <v>5538.8099999999995</v>
      </c>
      <c r="BO57" s="115">
        <f t="shared" si="43"/>
        <v>3302.75</v>
      </c>
      <c r="BP57" s="115" t="str">
        <f t="shared" si="44"/>
        <v>0</v>
      </c>
      <c r="BQ57" s="115" t="str">
        <f t="shared" si="45"/>
        <v>0</v>
      </c>
      <c r="BR57" s="115" t="str">
        <f t="shared" si="46"/>
        <v>0</v>
      </c>
      <c r="BS57" s="115"/>
      <c r="BT57" s="115">
        <v>2</v>
      </c>
      <c r="BU57" s="115">
        <f t="shared" si="56"/>
        <v>873</v>
      </c>
      <c r="BV57" s="115">
        <v>3860</v>
      </c>
      <c r="BW57" s="115"/>
      <c r="BX57" s="115"/>
      <c r="BY57" s="253">
        <v>1653.96</v>
      </c>
      <c r="BZ57" s="253">
        <v>852.6</v>
      </c>
      <c r="CA57" s="205">
        <v>2501</v>
      </c>
      <c r="CB57" s="282">
        <f t="shared" si="47"/>
        <v>1562</v>
      </c>
      <c r="CC57" s="209">
        <f t="shared" si="57"/>
        <v>1</v>
      </c>
      <c r="CD57" s="235">
        <f t="shared" si="58"/>
        <v>6835</v>
      </c>
      <c r="CE57" s="209" t="str">
        <f t="shared" si="59"/>
        <v>0</v>
      </c>
      <c r="CF57" s="235">
        <f t="shared" si="60"/>
        <v>0</v>
      </c>
      <c r="CG57" s="235">
        <f t="shared" si="61"/>
        <v>1</v>
      </c>
      <c r="CH57" s="235">
        <f t="shared" si="62"/>
        <v>6835</v>
      </c>
      <c r="CI57" s="234">
        <v>48</v>
      </c>
      <c r="CJ57" s="284" t="str">
        <f t="shared" si="48"/>
        <v>0</v>
      </c>
      <c r="CK57" s="284" t="str">
        <f t="shared" si="49"/>
        <v>0</v>
      </c>
      <c r="CL57" s="243">
        <f t="shared" si="50"/>
        <v>8.0324112941227455</v>
      </c>
      <c r="CM57" s="216" t="str">
        <f t="shared" si="51"/>
        <v>0</v>
      </c>
      <c r="CN57" s="216" t="str">
        <f t="shared" si="52"/>
        <v>0</v>
      </c>
      <c r="CO57" s="243">
        <f t="shared" si="53"/>
        <v>8.6181069944082775</v>
      </c>
      <c r="CP57" s="306">
        <v>1</v>
      </c>
      <c r="CQ57" s="306">
        <v>0</v>
      </c>
      <c r="CR57" s="306">
        <v>0</v>
      </c>
      <c r="CS57" s="306">
        <v>0</v>
      </c>
      <c r="CT57" s="306">
        <v>2</v>
      </c>
      <c r="CU57" s="306">
        <v>0</v>
      </c>
      <c r="CV57" s="306">
        <v>0</v>
      </c>
      <c r="CW57" s="306">
        <v>0</v>
      </c>
      <c r="CX57" s="306">
        <v>0</v>
      </c>
      <c r="CY57" s="306">
        <v>107</v>
      </c>
      <c r="CZ57" s="306">
        <f t="shared" si="63"/>
        <v>97</v>
      </c>
      <c r="DA57" s="306">
        <v>10</v>
      </c>
      <c r="DB57" s="306">
        <v>70</v>
      </c>
      <c r="DC57" s="306">
        <v>50</v>
      </c>
      <c r="DD57" s="306">
        <v>75</v>
      </c>
      <c r="DE57" s="306">
        <v>66</v>
      </c>
      <c r="DF57" s="306">
        <v>54</v>
      </c>
      <c r="DG57" s="306">
        <v>69</v>
      </c>
      <c r="DH57" s="306">
        <v>72</v>
      </c>
      <c r="DI57" s="306">
        <v>3</v>
      </c>
      <c r="DJ57" s="306">
        <v>4</v>
      </c>
      <c r="DK57" s="306">
        <v>5</v>
      </c>
      <c r="DL57" s="306">
        <v>6</v>
      </c>
      <c r="DM57" s="306">
        <v>4</v>
      </c>
      <c r="DN57" s="306">
        <v>5</v>
      </c>
      <c r="DO57" s="306">
        <v>6</v>
      </c>
      <c r="DP57" s="306">
        <v>107</v>
      </c>
      <c r="DQ57" s="306">
        <v>107</v>
      </c>
      <c r="DR57" s="210"/>
      <c r="DS57" s="210"/>
      <c r="DT57" s="210"/>
      <c r="DU57" s="210"/>
      <c r="DV57" s="210"/>
    </row>
    <row r="58" spans="1:126" x14ac:dyDescent="0.2">
      <c r="A58" s="326" t="s">
        <v>203</v>
      </c>
      <c r="B58" s="169">
        <v>52</v>
      </c>
      <c r="C58" s="12" t="s">
        <v>251</v>
      </c>
      <c r="D58" s="200">
        <v>1983</v>
      </c>
      <c r="E58" s="11"/>
      <c r="F58" s="169" t="s">
        <v>21</v>
      </c>
      <c r="G58" s="35">
        <v>1</v>
      </c>
      <c r="H58" s="201">
        <v>9</v>
      </c>
      <c r="I58" s="201" t="s">
        <v>19</v>
      </c>
      <c r="J58" s="115">
        <v>51253</v>
      </c>
      <c r="K58" s="115">
        <v>2074</v>
      </c>
      <c r="L58" s="157"/>
      <c r="M58" s="115">
        <v>1436</v>
      </c>
      <c r="N58" s="115">
        <v>128</v>
      </c>
      <c r="O58" s="115">
        <v>256</v>
      </c>
      <c r="P58" s="115">
        <v>128</v>
      </c>
      <c r="Q58" s="115">
        <v>269</v>
      </c>
      <c r="R58" s="228">
        <f>7516.6+1</f>
        <v>7517.6</v>
      </c>
      <c r="S58" s="230">
        <v>4075.4</v>
      </c>
      <c r="T58" s="115">
        <f t="shared" si="32"/>
        <v>124</v>
      </c>
      <c r="U58" s="203">
        <f t="shared" si="33"/>
        <v>7285.5</v>
      </c>
      <c r="V58" s="180">
        <f t="shared" si="34"/>
        <v>3931.5</v>
      </c>
      <c r="W58" s="115">
        <v>4</v>
      </c>
      <c r="X58" s="207">
        <v>232.1</v>
      </c>
      <c r="Y58" s="207">
        <v>143.9</v>
      </c>
      <c r="Z58" s="204"/>
      <c r="AA58" s="207"/>
      <c r="AB58" s="207"/>
      <c r="AC58" s="207">
        <f t="shared" si="35"/>
        <v>1460.8</v>
      </c>
      <c r="AD58" s="248">
        <f t="shared" si="36"/>
        <v>1070.3</v>
      </c>
      <c r="AE58" s="275"/>
      <c r="AF58" s="275">
        <v>1070.3</v>
      </c>
      <c r="AG58" s="207">
        <v>390.5</v>
      </c>
      <c r="AH58" s="207"/>
      <c r="AI58" s="207">
        <f t="shared" si="37"/>
        <v>8978.4</v>
      </c>
      <c r="AJ58" s="170"/>
      <c r="AK58" s="170">
        <v>4</v>
      </c>
      <c r="AL58" s="170">
        <v>4</v>
      </c>
      <c r="AM58" s="170">
        <v>4</v>
      </c>
      <c r="AN58" s="170"/>
      <c r="AO58" s="170">
        <v>1</v>
      </c>
      <c r="AP58" s="170">
        <v>7570</v>
      </c>
      <c r="AQ58" s="328"/>
      <c r="AR58" s="170">
        <v>599</v>
      </c>
      <c r="AS58" s="170">
        <v>758</v>
      </c>
      <c r="AT58" s="170">
        <v>140</v>
      </c>
      <c r="AU58" s="170">
        <f t="shared" si="55"/>
        <v>10099</v>
      </c>
      <c r="AV58" s="170">
        <v>10099</v>
      </c>
      <c r="AW58" s="170"/>
      <c r="AX58" s="170"/>
      <c r="AY58" s="170">
        <v>446</v>
      </c>
      <c r="AZ58" s="170">
        <v>1797</v>
      </c>
      <c r="BA58" s="170">
        <v>1436</v>
      </c>
      <c r="BB58" s="170"/>
      <c r="BC58" s="170">
        <v>12</v>
      </c>
      <c r="BD58" s="170">
        <v>436</v>
      </c>
      <c r="BE58" s="170">
        <v>139</v>
      </c>
      <c r="BF58" s="170"/>
      <c r="BG58" s="170">
        <v>22800</v>
      </c>
      <c r="BH58" s="170">
        <v>6540</v>
      </c>
      <c r="BI58" s="170">
        <v>180</v>
      </c>
      <c r="BJ58" s="115">
        <f t="shared" si="38"/>
        <v>1</v>
      </c>
      <c r="BK58" s="115">
        <f t="shared" si="39"/>
        <v>7517.6</v>
      </c>
      <c r="BL58" s="115">
        <f t="shared" si="40"/>
        <v>4075.4</v>
      </c>
      <c r="BM58" s="115" t="str">
        <f t="shared" si="41"/>
        <v>0</v>
      </c>
      <c r="BN58" s="115" t="str">
        <f t="shared" si="42"/>
        <v>0</v>
      </c>
      <c r="BO58" s="115" t="str">
        <f t="shared" si="43"/>
        <v>0</v>
      </c>
      <c r="BP58" s="115" t="str">
        <f t="shared" si="44"/>
        <v>0</v>
      </c>
      <c r="BQ58" s="115" t="str">
        <f t="shared" si="45"/>
        <v>0</v>
      </c>
      <c r="BR58" s="115" t="str">
        <f t="shared" si="46"/>
        <v>0</v>
      </c>
      <c r="BS58" s="115"/>
      <c r="BT58" s="115">
        <v>3</v>
      </c>
      <c r="BU58" s="115">
        <f t="shared" si="56"/>
        <v>1436</v>
      </c>
      <c r="BV58" s="115">
        <v>5604</v>
      </c>
      <c r="BW58" s="115"/>
      <c r="BX58" s="115">
        <f>AP58</f>
        <v>7570</v>
      </c>
      <c r="BY58" s="253">
        <v>3075.4</v>
      </c>
      <c r="BZ58" s="253">
        <v>1550.2</v>
      </c>
      <c r="CA58" s="205">
        <v>3346</v>
      </c>
      <c r="CB58" s="282">
        <f t="shared" si="47"/>
        <v>1272</v>
      </c>
      <c r="CC58" s="209">
        <f t="shared" si="57"/>
        <v>1</v>
      </c>
      <c r="CD58" s="235">
        <f t="shared" si="58"/>
        <v>10099</v>
      </c>
      <c r="CE58" s="209" t="str">
        <f t="shared" si="59"/>
        <v>0</v>
      </c>
      <c r="CF58" s="235">
        <f t="shared" si="60"/>
        <v>0</v>
      </c>
      <c r="CG58" s="235">
        <f t="shared" si="61"/>
        <v>1</v>
      </c>
      <c r="CH58" s="235">
        <f t="shared" si="62"/>
        <v>10099</v>
      </c>
      <c r="CI58" s="234">
        <v>63</v>
      </c>
      <c r="CJ58" s="284" t="str">
        <f t="shared" si="48"/>
        <v>0</v>
      </c>
      <c r="CK58" s="284" t="str">
        <f t="shared" si="49"/>
        <v>0</v>
      </c>
      <c r="CL58" s="243">
        <f t="shared" si="50"/>
        <v>3.0874215175055864</v>
      </c>
      <c r="CM58" s="216" t="str">
        <f t="shared" si="51"/>
        <v>0</v>
      </c>
      <c r="CN58" s="216" t="str">
        <f t="shared" si="52"/>
        <v>0</v>
      </c>
      <c r="CO58" s="243">
        <f t="shared" si="53"/>
        <v>14.505925331907687</v>
      </c>
      <c r="CP58" s="306">
        <v>1</v>
      </c>
      <c r="CQ58" s="306">
        <v>0</v>
      </c>
      <c r="CR58" s="306">
        <v>0</v>
      </c>
      <c r="CS58" s="306">
        <v>0</v>
      </c>
      <c r="CT58" s="306">
        <v>2</v>
      </c>
      <c r="CU58" s="306">
        <v>0</v>
      </c>
      <c r="CV58" s="306">
        <v>0</v>
      </c>
      <c r="CW58" s="306">
        <v>0</v>
      </c>
      <c r="CX58" s="306">
        <v>0</v>
      </c>
      <c r="CY58" s="306">
        <v>128</v>
      </c>
      <c r="CZ58" s="306">
        <f t="shared" si="63"/>
        <v>123</v>
      </c>
      <c r="DA58" s="306">
        <v>5</v>
      </c>
      <c r="DB58" s="306">
        <v>85</v>
      </c>
      <c r="DC58" s="306">
        <v>61</v>
      </c>
      <c r="DD58" s="306">
        <v>133</v>
      </c>
      <c r="DE58" s="306">
        <v>123</v>
      </c>
      <c r="DF58" s="306">
        <v>65</v>
      </c>
      <c r="DG58" s="306">
        <v>125</v>
      </c>
      <c r="DH58" s="306">
        <v>131</v>
      </c>
      <c r="DI58" s="306">
        <v>1</v>
      </c>
      <c r="DJ58" s="306">
        <v>2</v>
      </c>
      <c r="DK58" s="306">
        <v>6</v>
      </c>
      <c r="DL58" s="306">
        <v>4</v>
      </c>
      <c r="DM58" s="306">
        <v>3</v>
      </c>
      <c r="DN58" s="306">
        <v>4</v>
      </c>
      <c r="DO58" s="306">
        <v>6</v>
      </c>
      <c r="DP58" s="306">
        <v>128</v>
      </c>
      <c r="DQ58" s="306">
        <v>128</v>
      </c>
      <c r="DR58" s="210"/>
      <c r="DS58" s="210"/>
      <c r="DT58" s="210"/>
      <c r="DU58" s="210"/>
      <c r="DV58" s="210"/>
    </row>
    <row r="59" spans="1:126" x14ac:dyDescent="0.2">
      <c r="A59" s="149" t="s">
        <v>197</v>
      </c>
      <c r="B59" s="169">
        <v>53</v>
      </c>
      <c r="C59" s="12" t="s">
        <v>252</v>
      </c>
      <c r="D59" s="200">
        <v>1978</v>
      </c>
      <c r="E59" s="11"/>
      <c r="F59" s="169">
        <v>84</v>
      </c>
      <c r="G59" s="35">
        <v>1</v>
      </c>
      <c r="H59" s="201">
        <v>9</v>
      </c>
      <c r="I59" s="201" t="s">
        <v>22</v>
      </c>
      <c r="J59" s="115">
        <v>30729</v>
      </c>
      <c r="K59" s="115">
        <v>1276</v>
      </c>
      <c r="L59" s="157"/>
      <c r="M59" s="115">
        <v>1193</v>
      </c>
      <c r="N59" s="115">
        <v>144</v>
      </c>
      <c r="O59" s="115">
        <v>320</v>
      </c>
      <c r="P59" s="115">
        <v>144</v>
      </c>
      <c r="Q59" s="115">
        <v>310</v>
      </c>
      <c r="R59" s="228">
        <f>7611.67-0.03</f>
        <v>7611.64</v>
      </c>
      <c r="S59" s="230">
        <v>4536.82</v>
      </c>
      <c r="T59" s="115">
        <f t="shared" si="32"/>
        <v>132</v>
      </c>
      <c r="U59" s="203">
        <f t="shared" si="33"/>
        <v>6993.14</v>
      </c>
      <c r="V59" s="180">
        <f t="shared" si="34"/>
        <v>4166.0499999999993</v>
      </c>
      <c r="W59" s="115">
        <v>12</v>
      </c>
      <c r="X59" s="207">
        <v>618.5</v>
      </c>
      <c r="Y59" s="207">
        <v>370.77</v>
      </c>
      <c r="Z59" s="204"/>
      <c r="AA59" s="207"/>
      <c r="AB59" s="207"/>
      <c r="AC59" s="207">
        <f t="shared" si="35"/>
        <v>0</v>
      </c>
      <c r="AD59" s="248">
        <f t="shared" si="36"/>
        <v>0</v>
      </c>
      <c r="AE59" s="275"/>
      <c r="AF59" s="275"/>
      <c r="AG59" s="207"/>
      <c r="AH59" s="207"/>
      <c r="AI59" s="207">
        <f t="shared" si="37"/>
        <v>7611.64</v>
      </c>
      <c r="AJ59" s="170"/>
      <c r="AK59" s="170">
        <v>4</v>
      </c>
      <c r="AL59" s="170">
        <v>4</v>
      </c>
      <c r="AM59" s="170">
        <v>4</v>
      </c>
      <c r="AN59" s="170"/>
      <c r="AO59" s="170">
        <v>4</v>
      </c>
      <c r="AP59" s="170">
        <v>4488</v>
      </c>
      <c r="AQ59" s="328"/>
      <c r="AR59" s="170">
        <v>928</v>
      </c>
      <c r="AS59" s="170">
        <v>542</v>
      </c>
      <c r="AT59" s="170">
        <v>80</v>
      </c>
      <c r="AU59" s="170">
        <f t="shared" si="55"/>
        <v>9113</v>
      </c>
      <c r="AV59" s="170">
        <v>9113</v>
      </c>
      <c r="AW59" s="170"/>
      <c r="AX59" s="170">
        <v>3484</v>
      </c>
      <c r="AY59" s="170">
        <v>309</v>
      </c>
      <c r="AZ59" s="170">
        <v>1203</v>
      </c>
      <c r="BA59" s="170">
        <v>1203</v>
      </c>
      <c r="BB59" s="170">
        <v>64</v>
      </c>
      <c r="BC59" s="170">
        <v>12</v>
      </c>
      <c r="BD59" s="170">
        <v>500</v>
      </c>
      <c r="BE59" s="170">
        <v>144</v>
      </c>
      <c r="BF59" s="170"/>
      <c r="BG59" s="170">
        <v>14280</v>
      </c>
      <c r="BH59" s="170">
        <v>6540</v>
      </c>
      <c r="BI59" s="170">
        <v>180</v>
      </c>
      <c r="BJ59" s="115" t="str">
        <f t="shared" si="38"/>
        <v>0</v>
      </c>
      <c r="BK59" s="115" t="str">
        <f t="shared" si="39"/>
        <v>0</v>
      </c>
      <c r="BL59" s="115" t="str">
        <f t="shared" si="40"/>
        <v>0</v>
      </c>
      <c r="BM59" s="115">
        <f t="shared" si="41"/>
        <v>1</v>
      </c>
      <c r="BN59" s="115">
        <f t="shared" si="42"/>
        <v>7611.64</v>
      </c>
      <c r="BO59" s="115">
        <f t="shared" si="43"/>
        <v>4536.82</v>
      </c>
      <c r="BP59" s="115" t="str">
        <f t="shared" si="44"/>
        <v>0</v>
      </c>
      <c r="BQ59" s="115" t="str">
        <f t="shared" si="45"/>
        <v>0</v>
      </c>
      <c r="BR59" s="115" t="str">
        <f t="shared" si="46"/>
        <v>0</v>
      </c>
      <c r="BS59" s="115"/>
      <c r="BT59" s="115">
        <v>3</v>
      </c>
      <c r="BU59" s="115">
        <f t="shared" si="56"/>
        <v>1203</v>
      </c>
      <c r="BV59" s="115">
        <v>5158</v>
      </c>
      <c r="BW59" s="115"/>
      <c r="BX59" s="115"/>
      <c r="BY59" s="253">
        <v>2382.31</v>
      </c>
      <c r="BZ59" s="253">
        <v>1083.8399999999999</v>
      </c>
      <c r="CA59" s="205">
        <v>3402</v>
      </c>
      <c r="CB59" s="282">
        <f t="shared" si="47"/>
        <v>2126</v>
      </c>
      <c r="CC59" s="209">
        <f t="shared" si="57"/>
        <v>1</v>
      </c>
      <c r="CD59" s="235">
        <f t="shared" si="58"/>
        <v>9113</v>
      </c>
      <c r="CE59" s="209" t="str">
        <f t="shared" si="59"/>
        <v>0</v>
      </c>
      <c r="CF59" s="235">
        <f t="shared" si="60"/>
        <v>0</v>
      </c>
      <c r="CG59" s="235">
        <f t="shared" si="61"/>
        <v>1</v>
      </c>
      <c r="CH59" s="235">
        <f t="shared" si="62"/>
        <v>9113</v>
      </c>
      <c r="CI59" s="234">
        <v>47</v>
      </c>
      <c r="CJ59" s="284" t="str">
        <f t="shared" si="48"/>
        <v>0</v>
      </c>
      <c r="CK59" s="284" t="str">
        <f t="shared" si="49"/>
        <v>0</v>
      </c>
      <c r="CL59" s="243">
        <f t="shared" si="50"/>
        <v>8.1257127241960987</v>
      </c>
      <c r="CM59" s="216" t="str">
        <f t="shared" si="51"/>
        <v>0</v>
      </c>
      <c r="CN59" s="216" t="str">
        <f t="shared" si="52"/>
        <v>0</v>
      </c>
      <c r="CO59" s="243">
        <f t="shared" si="53"/>
        <v>8.1257127241960987</v>
      </c>
      <c r="CP59" s="306">
        <v>1</v>
      </c>
      <c r="CQ59" s="306">
        <v>0</v>
      </c>
      <c r="CR59" s="306">
        <v>0</v>
      </c>
      <c r="CS59" s="306">
        <v>0</v>
      </c>
      <c r="CT59" s="306">
        <v>2</v>
      </c>
      <c r="CU59" s="306">
        <v>0</v>
      </c>
      <c r="CV59" s="306">
        <v>0</v>
      </c>
      <c r="CW59" s="306">
        <v>0</v>
      </c>
      <c r="CX59" s="306">
        <v>0</v>
      </c>
      <c r="CY59" s="306">
        <v>144</v>
      </c>
      <c r="CZ59" s="306">
        <f t="shared" si="63"/>
        <v>132</v>
      </c>
      <c r="DA59" s="306">
        <v>12</v>
      </c>
      <c r="DB59" s="306">
        <v>94</v>
      </c>
      <c r="DC59" s="306">
        <v>73</v>
      </c>
      <c r="DD59" s="306">
        <v>92</v>
      </c>
      <c r="DE59" s="306">
        <v>104</v>
      </c>
      <c r="DF59" s="306">
        <v>77</v>
      </c>
      <c r="DG59" s="306">
        <v>87</v>
      </c>
      <c r="DH59" s="306">
        <v>109</v>
      </c>
      <c r="DI59" s="306">
        <v>7</v>
      </c>
      <c r="DJ59" s="306">
        <v>6</v>
      </c>
      <c r="DK59" s="306">
        <v>11</v>
      </c>
      <c r="DL59" s="306">
        <v>8</v>
      </c>
      <c r="DM59" s="306">
        <v>6</v>
      </c>
      <c r="DN59" s="306">
        <v>11</v>
      </c>
      <c r="DO59" s="306">
        <v>8</v>
      </c>
      <c r="DP59" s="306">
        <v>144</v>
      </c>
      <c r="DQ59" s="306">
        <v>144</v>
      </c>
      <c r="DR59" s="210"/>
      <c r="DS59" s="210"/>
      <c r="DT59" s="210"/>
      <c r="DU59" s="210"/>
      <c r="DV59" s="210"/>
    </row>
    <row r="60" spans="1:126" x14ac:dyDescent="0.2">
      <c r="A60" s="149" t="s">
        <v>142</v>
      </c>
      <c r="B60" s="169">
        <v>54</v>
      </c>
      <c r="C60" s="12" t="s">
        <v>154</v>
      </c>
      <c r="D60" s="13">
        <v>1977</v>
      </c>
      <c r="E60" s="11"/>
      <c r="F60" s="169">
        <v>84</v>
      </c>
      <c r="G60" s="35">
        <v>1</v>
      </c>
      <c r="H60" s="45">
        <v>9</v>
      </c>
      <c r="I60" s="1" t="s">
        <v>22</v>
      </c>
      <c r="J60" s="35">
        <v>30933</v>
      </c>
      <c r="K60" s="122">
        <f>992+311</f>
        <v>1303</v>
      </c>
      <c r="L60" s="122"/>
      <c r="M60" s="122">
        <f>922+291</f>
        <v>1213</v>
      </c>
      <c r="N60" s="122">
        <v>144</v>
      </c>
      <c r="O60" s="122">
        <v>320</v>
      </c>
      <c r="P60" s="122">
        <v>145</v>
      </c>
      <c r="Q60" s="122">
        <v>314</v>
      </c>
      <c r="R60" s="179">
        <f>7671.71+1.2</f>
        <v>7672.91</v>
      </c>
      <c r="S60" s="121">
        <v>4570.7</v>
      </c>
      <c r="T60" s="122">
        <f t="shared" si="32"/>
        <v>136</v>
      </c>
      <c r="U60" s="180">
        <f t="shared" si="33"/>
        <v>7247.01</v>
      </c>
      <c r="V60" s="180">
        <f t="shared" si="34"/>
        <v>4316.8999999999996</v>
      </c>
      <c r="W60" s="122">
        <v>8</v>
      </c>
      <c r="X60" s="180">
        <v>425.9</v>
      </c>
      <c r="Y60" s="180">
        <v>253.8</v>
      </c>
      <c r="Z60" s="122"/>
      <c r="AA60" s="180"/>
      <c r="AB60" s="180"/>
      <c r="AC60" s="180">
        <f t="shared" si="35"/>
        <v>0</v>
      </c>
      <c r="AD60" s="179">
        <f t="shared" si="36"/>
        <v>0</v>
      </c>
      <c r="AE60" s="271"/>
      <c r="AF60" s="179"/>
      <c r="AG60" s="180"/>
      <c r="AH60" s="180"/>
      <c r="AI60" s="180">
        <f t="shared" si="37"/>
        <v>7672.91</v>
      </c>
      <c r="AJ60" s="122"/>
      <c r="AK60" s="122">
        <v>4</v>
      </c>
      <c r="AL60" s="122">
        <v>4</v>
      </c>
      <c r="AM60" s="122">
        <v>4</v>
      </c>
      <c r="AN60" s="122"/>
      <c r="AO60" s="122">
        <v>4</v>
      </c>
      <c r="AP60" s="35">
        <f>3118+3119</f>
        <v>6237</v>
      </c>
      <c r="AQ60" s="138">
        <v>302.375</v>
      </c>
      <c r="AR60" s="35">
        <f>286+286</f>
        <v>572</v>
      </c>
      <c r="AS60" s="35">
        <f>239+239</f>
        <v>478</v>
      </c>
      <c r="AT60" s="122">
        <f>162+54</f>
        <v>216</v>
      </c>
      <c r="AU60" s="122">
        <f t="shared" si="55"/>
        <v>8922</v>
      </c>
      <c r="AV60" s="122">
        <f>5952+1987</f>
        <v>7939</v>
      </c>
      <c r="AW60" s="122">
        <f>749+234</f>
        <v>983</v>
      </c>
      <c r="AX60" s="122">
        <f>2628+876</f>
        <v>3504</v>
      </c>
      <c r="AY60" s="122">
        <f>236+77</f>
        <v>313</v>
      </c>
      <c r="AZ60" s="122">
        <f>922+291</f>
        <v>1213</v>
      </c>
      <c r="BA60" s="122">
        <f>922+291</f>
        <v>1213</v>
      </c>
      <c r="BB60" s="122">
        <f>48+16</f>
        <v>64</v>
      </c>
      <c r="BC60" s="122">
        <v>21</v>
      </c>
      <c r="BD60" s="122">
        <f>378+144</f>
        <v>522</v>
      </c>
      <c r="BE60" s="122">
        <f>108+36</f>
        <v>144</v>
      </c>
      <c r="BF60" s="122">
        <v>1</v>
      </c>
      <c r="BG60" s="122">
        <f>17382+5794</f>
        <v>23176</v>
      </c>
      <c r="BH60" s="122">
        <f>1416+472</f>
        <v>1888</v>
      </c>
      <c r="BI60" s="122">
        <f>456+132</f>
        <v>588</v>
      </c>
      <c r="BJ60" s="115" t="str">
        <f t="shared" si="38"/>
        <v>0</v>
      </c>
      <c r="BK60" s="115" t="str">
        <f t="shared" si="39"/>
        <v>0</v>
      </c>
      <c r="BL60" s="115" t="str">
        <f t="shared" si="40"/>
        <v>0</v>
      </c>
      <c r="BM60" s="115">
        <f t="shared" si="41"/>
        <v>1</v>
      </c>
      <c r="BN60" s="115">
        <f t="shared" si="42"/>
        <v>7672.91</v>
      </c>
      <c r="BO60" s="115">
        <f t="shared" si="43"/>
        <v>4570.7</v>
      </c>
      <c r="BP60" s="115" t="str">
        <f t="shared" si="44"/>
        <v>0</v>
      </c>
      <c r="BQ60" s="115" t="str">
        <f t="shared" si="45"/>
        <v>0</v>
      </c>
      <c r="BR60" s="115" t="str">
        <f t="shared" si="46"/>
        <v>0</v>
      </c>
      <c r="BS60" s="115">
        <v>2</v>
      </c>
      <c r="BT60" s="115">
        <v>2</v>
      </c>
      <c r="BU60" s="122">
        <f>922+291</f>
        <v>1213</v>
      </c>
      <c r="BV60" s="115">
        <f>294+96</f>
        <v>390</v>
      </c>
      <c r="BW60" s="115"/>
      <c r="BX60" s="115"/>
      <c r="BY60" s="275">
        <v>2451.63</v>
      </c>
      <c r="BZ60" s="253">
        <v>1169.7</v>
      </c>
      <c r="CA60" s="157">
        <v>3420</v>
      </c>
      <c r="CB60" s="275">
        <f t="shared" si="47"/>
        <v>2117</v>
      </c>
      <c r="CC60" s="209">
        <f t="shared" si="57"/>
        <v>1</v>
      </c>
      <c r="CD60" s="235">
        <f t="shared" si="58"/>
        <v>7939</v>
      </c>
      <c r="CE60" s="209"/>
      <c r="CF60" s="235">
        <f t="shared" si="60"/>
        <v>983</v>
      </c>
      <c r="CG60" s="235">
        <f t="shared" si="61"/>
        <v>1</v>
      </c>
      <c r="CH60" s="235">
        <f t="shared" si="62"/>
        <v>8922</v>
      </c>
      <c r="CI60" s="14">
        <v>49</v>
      </c>
      <c r="CJ60" s="284" t="str">
        <f t="shared" si="48"/>
        <v>0</v>
      </c>
      <c r="CK60" s="284" t="str">
        <f t="shared" si="49"/>
        <v>0</v>
      </c>
      <c r="CL60" s="243">
        <f t="shared" si="50"/>
        <v>5.55069719311187</v>
      </c>
      <c r="CM60" s="216" t="str">
        <f t="shared" si="51"/>
        <v>0</v>
      </c>
      <c r="CN60" s="216" t="str">
        <f t="shared" si="52"/>
        <v>0</v>
      </c>
      <c r="CO60" s="243">
        <f t="shared" si="53"/>
        <v>5.55069719311187</v>
      </c>
      <c r="CP60" s="305">
        <v>1</v>
      </c>
      <c r="CQ60" s="305">
        <v>0</v>
      </c>
      <c r="CR60" s="305">
        <v>0</v>
      </c>
      <c r="CS60" s="305">
        <v>1</v>
      </c>
      <c r="CT60" s="305">
        <v>2</v>
      </c>
      <c r="CU60" s="305">
        <v>0</v>
      </c>
      <c r="CV60" s="305">
        <v>0</v>
      </c>
      <c r="CW60" s="305">
        <v>4</v>
      </c>
      <c r="CX60" s="306">
        <v>0</v>
      </c>
      <c r="CY60" s="306">
        <v>144</v>
      </c>
      <c r="CZ60" s="306">
        <f t="shared" si="63"/>
        <v>134</v>
      </c>
      <c r="DA60" s="306">
        <v>10</v>
      </c>
      <c r="DB60" s="306">
        <v>103</v>
      </c>
      <c r="DC60" s="306">
        <v>83</v>
      </c>
      <c r="DD60" s="306">
        <v>74</v>
      </c>
      <c r="DE60" s="306">
        <v>121</v>
      </c>
      <c r="DF60" s="306">
        <v>84</v>
      </c>
      <c r="DG60" s="306">
        <v>73</v>
      </c>
      <c r="DH60" s="306">
        <v>122</v>
      </c>
      <c r="DI60" s="306">
        <v>8</v>
      </c>
      <c r="DJ60" s="306">
        <v>3</v>
      </c>
      <c r="DK60" s="306">
        <v>6</v>
      </c>
      <c r="DL60" s="306">
        <v>4</v>
      </c>
      <c r="DM60" s="306">
        <v>3</v>
      </c>
      <c r="DN60" s="306">
        <v>6</v>
      </c>
      <c r="DO60" s="306">
        <v>4</v>
      </c>
      <c r="DP60" s="306">
        <v>144</v>
      </c>
      <c r="DQ60" s="306">
        <v>144</v>
      </c>
    </row>
    <row r="61" spans="1:126" x14ac:dyDescent="0.2">
      <c r="A61" s="149" t="s">
        <v>142</v>
      </c>
      <c r="B61" s="169">
        <v>55</v>
      </c>
      <c r="C61" s="12" t="s">
        <v>105</v>
      </c>
      <c r="D61" s="13">
        <v>1986</v>
      </c>
      <c r="E61" s="11"/>
      <c r="F61" s="169" t="s">
        <v>24</v>
      </c>
      <c r="G61" s="35">
        <v>1</v>
      </c>
      <c r="H61" s="45">
        <v>9</v>
      </c>
      <c r="I61" s="1" t="s">
        <v>22</v>
      </c>
      <c r="J61" s="122">
        <v>19804</v>
      </c>
      <c r="K61" s="122">
        <v>770</v>
      </c>
      <c r="L61" s="122"/>
      <c r="M61" s="122">
        <v>723</v>
      </c>
      <c r="N61" s="122">
        <v>69</v>
      </c>
      <c r="O61" s="122">
        <v>191</v>
      </c>
      <c r="P61" s="122">
        <v>69</v>
      </c>
      <c r="Q61" s="122">
        <v>200</v>
      </c>
      <c r="R61" s="179">
        <f>4511.6+2</f>
        <v>4513.6000000000004</v>
      </c>
      <c r="S61" s="121">
        <v>2827</v>
      </c>
      <c r="T61" s="122">
        <f t="shared" si="32"/>
        <v>65</v>
      </c>
      <c r="U61" s="180">
        <f t="shared" si="33"/>
        <v>4255.4000000000005</v>
      </c>
      <c r="V61" s="180">
        <f t="shared" si="34"/>
        <v>2714.97</v>
      </c>
      <c r="W61" s="122">
        <v>4</v>
      </c>
      <c r="X61" s="180">
        <v>258.2</v>
      </c>
      <c r="Y61" s="180">
        <v>112.03</v>
      </c>
      <c r="Z61" s="122"/>
      <c r="AA61" s="180"/>
      <c r="AB61" s="180"/>
      <c r="AC61" s="180">
        <f t="shared" si="35"/>
        <v>94.5</v>
      </c>
      <c r="AD61" s="179">
        <f t="shared" si="36"/>
        <v>0</v>
      </c>
      <c r="AE61" s="271"/>
      <c r="AF61" s="179"/>
      <c r="AG61" s="180">
        <v>94.5</v>
      </c>
      <c r="AH61" s="180"/>
      <c r="AI61" s="180">
        <f t="shared" si="37"/>
        <v>4608.1000000000004</v>
      </c>
      <c r="AJ61" s="122"/>
      <c r="AK61" s="122">
        <v>2</v>
      </c>
      <c r="AL61" s="122">
        <v>2</v>
      </c>
      <c r="AM61" s="122">
        <v>2</v>
      </c>
      <c r="AN61" s="122"/>
      <c r="AO61" s="122">
        <v>2</v>
      </c>
      <c r="AP61" s="122">
        <v>3681</v>
      </c>
      <c r="AQ61" s="138"/>
      <c r="AR61" s="122">
        <f>180+90+101</f>
        <v>371</v>
      </c>
      <c r="AS61" s="122">
        <v>311</v>
      </c>
      <c r="AT61" s="122">
        <v>108</v>
      </c>
      <c r="AU61" s="122">
        <f t="shared" si="55"/>
        <v>4323</v>
      </c>
      <c r="AV61" s="122">
        <v>3430</v>
      </c>
      <c r="AW61" s="122">
        <v>893</v>
      </c>
      <c r="AX61" s="122">
        <v>2480</v>
      </c>
      <c r="AY61" s="122">
        <v>175</v>
      </c>
      <c r="AZ61" s="122">
        <v>723</v>
      </c>
      <c r="BA61" s="122">
        <v>723</v>
      </c>
      <c r="BB61" s="122">
        <v>36</v>
      </c>
      <c r="BC61" s="122">
        <v>48</v>
      </c>
      <c r="BD61" s="122">
        <v>266</v>
      </c>
      <c r="BE61" s="122">
        <v>70</v>
      </c>
      <c r="BF61" s="122">
        <v>1</v>
      </c>
      <c r="BG61" s="122">
        <v>8262</v>
      </c>
      <c r="BH61" s="122">
        <v>944</v>
      </c>
      <c r="BI61" s="122">
        <v>294</v>
      </c>
      <c r="BJ61" s="115" t="str">
        <f t="shared" si="38"/>
        <v>0</v>
      </c>
      <c r="BK61" s="115" t="str">
        <f t="shared" si="39"/>
        <v>0</v>
      </c>
      <c r="BL61" s="115" t="str">
        <f t="shared" si="40"/>
        <v>0</v>
      </c>
      <c r="BM61" s="115">
        <f t="shared" si="41"/>
        <v>1</v>
      </c>
      <c r="BN61" s="115">
        <f t="shared" si="42"/>
        <v>4513.6000000000004</v>
      </c>
      <c r="BO61" s="115">
        <f t="shared" si="43"/>
        <v>2827</v>
      </c>
      <c r="BP61" s="115" t="str">
        <f t="shared" si="44"/>
        <v>0</v>
      </c>
      <c r="BQ61" s="115" t="str">
        <f t="shared" si="45"/>
        <v>0</v>
      </c>
      <c r="BR61" s="115" t="str">
        <f t="shared" si="46"/>
        <v>0</v>
      </c>
      <c r="BS61" s="115"/>
      <c r="BT61" s="115">
        <v>1</v>
      </c>
      <c r="BU61" s="122">
        <v>723</v>
      </c>
      <c r="BV61" s="115">
        <v>36</v>
      </c>
      <c r="BW61" s="115"/>
      <c r="BX61" s="115"/>
      <c r="BY61" s="275">
        <v>1588.6</v>
      </c>
      <c r="BZ61" s="253">
        <v>780.6</v>
      </c>
      <c r="CA61" s="157">
        <v>1736</v>
      </c>
      <c r="CB61" s="275">
        <f t="shared" si="47"/>
        <v>966</v>
      </c>
      <c r="CC61" s="209">
        <f t="shared" si="57"/>
        <v>1</v>
      </c>
      <c r="CD61" s="235">
        <f t="shared" si="58"/>
        <v>3430</v>
      </c>
      <c r="CE61" s="209"/>
      <c r="CF61" s="235">
        <f t="shared" si="60"/>
        <v>893</v>
      </c>
      <c r="CG61" s="235">
        <f t="shared" si="61"/>
        <v>1</v>
      </c>
      <c r="CH61" s="235">
        <f t="shared" si="62"/>
        <v>4323</v>
      </c>
      <c r="CI61" s="14">
        <v>42</v>
      </c>
      <c r="CJ61" s="284" t="str">
        <f t="shared" si="48"/>
        <v>0</v>
      </c>
      <c r="CK61" s="284" t="str">
        <f t="shared" si="49"/>
        <v>0</v>
      </c>
      <c r="CL61" s="243">
        <f t="shared" si="50"/>
        <v>5.7204891882311228</v>
      </c>
      <c r="CM61" s="216" t="str">
        <f t="shared" si="51"/>
        <v>0</v>
      </c>
      <c r="CN61" s="216" t="str">
        <f t="shared" si="52"/>
        <v>0</v>
      </c>
      <c r="CO61" s="243">
        <f t="shared" si="53"/>
        <v>5.6031770143877075</v>
      </c>
      <c r="CP61" s="305">
        <v>1</v>
      </c>
      <c r="CQ61" s="305">
        <v>0</v>
      </c>
      <c r="CR61" s="305">
        <v>0</v>
      </c>
      <c r="CS61" s="305">
        <v>0</v>
      </c>
      <c r="CT61" s="305">
        <v>2</v>
      </c>
      <c r="CU61" s="305">
        <v>0</v>
      </c>
      <c r="CV61" s="305">
        <v>0</v>
      </c>
      <c r="CW61" s="305">
        <v>0</v>
      </c>
      <c r="CX61" s="306">
        <v>0</v>
      </c>
      <c r="CY61" s="306">
        <v>69</v>
      </c>
      <c r="CZ61" s="306">
        <f t="shared" si="63"/>
        <v>65</v>
      </c>
      <c r="DA61" s="306">
        <v>4</v>
      </c>
      <c r="DB61" s="306">
        <v>55</v>
      </c>
      <c r="DC61" s="306">
        <v>43</v>
      </c>
      <c r="DD61" s="306">
        <v>33</v>
      </c>
      <c r="DE61" s="306">
        <v>54</v>
      </c>
      <c r="DF61" s="306">
        <v>44</v>
      </c>
      <c r="DG61" s="306">
        <v>31</v>
      </c>
      <c r="DH61" s="306">
        <v>56</v>
      </c>
      <c r="DI61" s="306">
        <v>4</v>
      </c>
      <c r="DJ61" s="306">
        <v>3</v>
      </c>
      <c r="DK61" s="306">
        <v>3</v>
      </c>
      <c r="DL61" s="306">
        <v>3</v>
      </c>
      <c r="DM61" s="306">
        <v>3</v>
      </c>
      <c r="DN61" s="306">
        <v>3</v>
      </c>
      <c r="DO61" s="306">
        <v>3</v>
      </c>
      <c r="DP61" s="306">
        <v>69</v>
      </c>
      <c r="DQ61" s="306">
        <v>69</v>
      </c>
    </row>
    <row r="62" spans="1:126" x14ac:dyDescent="0.2">
      <c r="A62" s="149" t="s">
        <v>142</v>
      </c>
      <c r="B62" s="169">
        <v>56</v>
      </c>
      <c r="C62" s="12" t="s">
        <v>153</v>
      </c>
      <c r="D62" s="13">
        <v>1977</v>
      </c>
      <c r="E62" s="11"/>
      <c r="F62" s="169">
        <v>84</v>
      </c>
      <c r="G62" s="35">
        <v>1</v>
      </c>
      <c r="H62" s="45">
        <v>9</v>
      </c>
      <c r="I62" s="1" t="s">
        <v>22</v>
      </c>
      <c r="J62" s="140">
        <v>30832</v>
      </c>
      <c r="K62" s="122">
        <f>969+329</f>
        <v>1298</v>
      </c>
      <c r="L62" s="122"/>
      <c r="M62" s="122">
        <f>919+292</f>
        <v>1211</v>
      </c>
      <c r="N62" s="122">
        <v>144</v>
      </c>
      <c r="O62" s="122">
        <v>320</v>
      </c>
      <c r="P62" s="122">
        <v>144</v>
      </c>
      <c r="Q62" s="122">
        <v>319</v>
      </c>
      <c r="R62" s="179">
        <v>7617.79</v>
      </c>
      <c r="S62" s="121">
        <v>4534.8999999999996</v>
      </c>
      <c r="T62" s="122">
        <f t="shared" si="32"/>
        <v>136</v>
      </c>
      <c r="U62" s="180">
        <f t="shared" si="33"/>
        <v>7232.39</v>
      </c>
      <c r="V62" s="180">
        <f t="shared" si="34"/>
        <v>4309.07</v>
      </c>
      <c r="W62" s="122">
        <v>8</v>
      </c>
      <c r="X62" s="180">
        <v>385.4</v>
      </c>
      <c r="Y62" s="180">
        <v>225.83</v>
      </c>
      <c r="Z62" s="122"/>
      <c r="AA62" s="180"/>
      <c r="AB62" s="180"/>
      <c r="AC62" s="180">
        <f t="shared" si="35"/>
        <v>0</v>
      </c>
      <c r="AD62" s="179">
        <f t="shared" si="36"/>
        <v>0</v>
      </c>
      <c r="AE62" s="271"/>
      <c r="AF62" s="179"/>
      <c r="AG62" s="180"/>
      <c r="AH62" s="180"/>
      <c r="AI62" s="180">
        <f t="shared" si="37"/>
        <v>7617.79</v>
      </c>
      <c r="AJ62" s="122"/>
      <c r="AK62" s="122">
        <v>4</v>
      </c>
      <c r="AL62" s="122">
        <v>4</v>
      </c>
      <c r="AM62" s="122">
        <v>4</v>
      </c>
      <c r="AN62" s="122"/>
      <c r="AO62" s="122">
        <v>4</v>
      </c>
      <c r="AP62" s="35">
        <f>2771+2771</f>
        <v>5542</v>
      </c>
      <c r="AQ62" s="138"/>
      <c r="AR62" s="35">
        <f>293+293</f>
        <v>586</v>
      </c>
      <c r="AS62" s="35">
        <f>243+243</f>
        <v>486</v>
      </c>
      <c r="AT62" s="122">
        <f>162+54</f>
        <v>216</v>
      </c>
      <c r="AU62" s="122">
        <f t="shared" si="55"/>
        <v>8901</v>
      </c>
      <c r="AV62" s="122">
        <f>5937+1984</f>
        <v>7921</v>
      </c>
      <c r="AW62" s="122">
        <f>748+232</f>
        <v>980</v>
      </c>
      <c r="AX62" s="122">
        <f>2628+876</f>
        <v>3504</v>
      </c>
      <c r="AY62" s="122">
        <f>238+76</f>
        <v>314</v>
      </c>
      <c r="AZ62" s="122">
        <f>919+292</f>
        <v>1211</v>
      </c>
      <c r="BA62" s="122">
        <f>919+292</f>
        <v>1211</v>
      </c>
      <c r="BB62" s="122">
        <f>48+16</f>
        <v>64</v>
      </c>
      <c r="BC62" s="122">
        <f>21</f>
        <v>21</v>
      </c>
      <c r="BD62" s="122">
        <f>378+144</f>
        <v>522</v>
      </c>
      <c r="BE62" s="122">
        <f>108+36</f>
        <v>144</v>
      </c>
      <c r="BF62" s="122">
        <v>1</v>
      </c>
      <c r="BG62" s="122">
        <f>12840+4280</f>
        <v>17120</v>
      </c>
      <c r="BH62" s="122">
        <f>1416+472</f>
        <v>1888</v>
      </c>
      <c r="BI62" s="122">
        <f>456+132</f>
        <v>588</v>
      </c>
      <c r="BJ62" s="115" t="str">
        <f t="shared" si="38"/>
        <v>0</v>
      </c>
      <c r="BK62" s="115" t="str">
        <f t="shared" si="39"/>
        <v>0</v>
      </c>
      <c r="BL62" s="115" t="str">
        <f t="shared" si="40"/>
        <v>0</v>
      </c>
      <c r="BM62" s="115">
        <f t="shared" si="41"/>
        <v>1</v>
      </c>
      <c r="BN62" s="115">
        <f t="shared" si="42"/>
        <v>7617.79</v>
      </c>
      <c r="BO62" s="115">
        <f t="shared" si="43"/>
        <v>4534.8999999999996</v>
      </c>
      <c r="BP62" s="115" t="str">
        <f t="shared" si="44"/>
        <v>0</v>
      </c>
      <c r="BQ62" s="115" t="str">
        <f t="shared" si="45"/>
        <v>0</v>
      </c>
      <c r="BR62" s="115" t="str">
        <f t="shared" si="46"/>
        <v>0</v>
      </c>
      <c r="BS62" s="115">
        <v>2</v>
      </c>
      <c r="BT62" s="115">
        <v>2</v>
      </c>
      <c r="BU62" s="122">
        <f>919+292</f>
        <v>1211</v>
      </c>
      <c r="BV62" s="115">
        <f>294+96</f>
        <v>390</v>
      </c>
      <c r="BW62" s="115"/>
      <c r="BX62" s="115"/>
      <c r="BY62" s="275">
        <v>2332.88</v>
      </c>
      <c r="BZ62" s="253">
        <v>1042.03</v>
      </c>
      <c r="CA62" s="157">
        <v>3382</v>
      </c>
      <c r="CB62" s="275">
        <f t="shared" si="47"/>
        <v>2084</v>
      </c>
      <c r="CC62" s="209">
        <f t="shared" si="57"/>
        <v>1</v>
      </c>
      <c r="CD62" s="235">
        <f t="shared" si="58"/>
        <v>7921</v>
      </c>
      <c r="CE62" s="209"/>
      <c r="CF62" s="235">
        <f t="shared" si="60"/>
        <v>980</v>
      </c>
      <c r="CG62" s="235">
        <f t="shared" si="61"/>
        <v>1</v>
      </c>
      <c r="CH62" s="235">
        <f t="shared" si="62"/>
        <v>8901</v>
      </c>
      <c r="CI62" s="14">
        <v>60</v>
      </c>
      <c r="CJ62" s="284" t="str">
        <f t="shared" si="48"/>
        <v>0</v>
      </c>
      <c r="CK62" s="284" t="str">
        <f t="shared" si="49"/>
        <v>0</v>
      </c>
      <c r="CL62" s="243">
        <f t="shared" si="50"/>
        <v>5.0592100858647981</v>
      </c>
      <c r="CM62" s="216" t="str">
        <f t="shared" si="51"/>
        <v>0</v>
      </c>
      <c r="CN62" s="216" t="str">
        <f t="shared" si="52"/>
        <v>0</v>
      </c>
      <c r="CO62" s="243">
        <f t="shared" si="53"/>
        <v>5.0592100858647981</v>
      </c>
      <c r="CP62" s="305">
        <v>1</v>
      </c>
      <c r="CQ62" s="305">
        <v>0</v>
      </c>
      <c r="CR62" s="305">
        <v>0</v>
      </c>
      <c r="CS62" s="305">
        <v>1</v>
      </c>
      <c r="CT62" s="305">
        <v>2</v>
      </c>
      <c r="CU62" s="305">
        <v>0</v>
      </c>
      <c r="CV62" s="305">
        <v>0</v>
      </c>
      <c r="CW62" s="305">
        <v>4</v>
      </c>
      <c r="CX62" s="306">
        <v>0</v>
      </c>
      <c r="CY62" s="306">
        <v>144</v>
      </c>
      <c r="CZ62" s="306">
        <f t="shared" si="63"/>
        <v>133</v>
      </c>
      <c r="DA62" s="306">
        <v>11</v>
      </c>
      <c r="DB62" s="306">
        <v>114</v>
      </c>
      <c r="DC62" s="306">
        <v>72</v>
      </c>
      <c r="DD62" s="306">
        <v>95</v>
      </c>
      <c r="DE62" s="306">
        <v>99</v>
      </c>
      <c r="DF62" s="306">
        <v>74</v>
      </c>
      <c r="DG62" s="306">
        <v>92</v>
      </c>
      <c r="DH62" s="306">
        <v>102</v>
      </c>
      <c r="DI62" s="306">
        <v>9</v>
      </c>
      <c r="DJ62" s="306">
        <v>4</v>
      </c>
      <c r="DK62" s="306">
        <v>8</v>
      </c>
      <c r="DL62" s="306">
        <v>5</v>
      </c>
      <c r="DM62" s="306">
        <v>4</v>
      </c>
      <c r="DN62" s="306">
        <v>8</v>
      </c>
      <c r="DO62" s="306">
        <v>5</v>
      </c>
      <c r="DP62" s="306">
        <v>144</v>
      </c>
      <c r="DQ62" s="306">
        <v>144</v>
      </c>
    </row>
    <row r="63" spans="1:126" x14ac:dyDescent="0.2">
      <c r="A63" s="149" t="s">
        <v>142</v>
      </c>
      <c r="B63" s="169">
        <v>57</v>
      </c>
      <c r="C63" s="12" t="s">
        <v>106</v>
      </c>
      <c r="D63" s="13">
        <v>1975</v>
      </c>
      <c r="E63" s="11"/>
      <c r="F63" s="169" t="s">
        <v>21</v>
      </c>
      <c r="G63" s="35">
        <v>1</v>
      </c>
      <c r="H63" s="45">
        <v>9</v>
      </c>
      <c r="I63" s="1" t="s">
        <v>19</v>
      </c>
      <c r="J63" s="122">
        <v>27969</v>
      </c>
      <c r="K63" s="122">
        <v>1053</v>
      </c>
      <c r="L63" s="122"/>
      <c r="M63" s="122">
        <v>1018</v>
      </c>
      <c r="N63" s="122">
        <v>105</v>
      </c>
      <c r="O63" s="122">
        <v>231</v>
      </c>
      <c r="P63" s="122">
        <v>105</v>
      </c>
      <c r="Q63" s="122">
        <v>213</v>
      </c>
      <c r="R63" s="179">
        <v>5524.87</v>
      </c>
      <c r="S63" s="121">
        <v>3206.22</v>
      </c>
      <c r="T63" s="122">
        <f t="shared" si="32"/>
        <v>98</v>
      </c>
      <c r="U63" s="180">
        <f t="shared" si="33"/>
        <v>5214.3</v>
      </c>
      <c r="V63" s="180">
        <f t="shared" si="34"/>
        <v>3031.02</v>
      </c>
      <c r="W63" s="122">
        <v>7</v>
      </c>
      <c r="X63" s="180">
        <v>310.57</v>
      </c>
      <c r="Y63" s="180">
        <v>175.2</v>
      </c>
      <c r="Z63" s="122"/>
      <c r="AA63" s="180"/>
      <c r="AB63" s="180"/>
      <c r="AC63" s="180">
        <f t="shared" si="35"/>
        <v>0</v>
      </c>
      <c r="AD63" s="179">
        <f t="shared" si="36"/>
        <v>0</v>
      </c>
      <c r="AE63" s="271"/>
      <c r="AF63" s="179"/>
      <c r="AG63" s="180"/>
      <c r="AH63" s="180"/>
      <c r="AI63" s="180">
        <f t="shared" si="37"/>
        <v>5524.87</v>
      </c>
      <c r="AJ63" s="122"/>
      <c r="AK63" s="122">
        <v>3</v>
      </c>
      <c r="AL63" s="122">
        <v>3</v>
      </c>
      <c r="AM63" s="122">
        <v>2</v>
      </c>
      <c r="AN63" s="122"/>
      <c r="AO63" s="122">
        <v>3</v>
      </c>
      <c r="AP63" s="122">
        <v>4631</v>
      </c>
      <c r="AQ63" s="138"/>
      <c r="AR63" s="122">
        <f>156+78+145</f>
        <v>379</v>
      </c>
      <c r="AS63" s="122">
        <v>173</v>
      </c>
      <c r="AT63" s="122">
        <v>150</v>
      </c>
      <c r="AU63" s="122">
        <f t="shared" si="55"/>
        <v>6616</v>
      </c>
      <c r="AV63" s="122"/>
      <c r="AW63" s="122">
        <v>6616</v>
      </c>
      <c r="AX63" s="122"/>
      <c r="AY63" s="122">
        <v>246</v>
      </c>
      <c r="AZ63" s="122">
        <v>1018</v>
      </c>
      <c r="BA63" s="122">
        <v>1018</v>
      </c>
      <c r="BB63" s="122">
        <v>15</v>
      </c>
      <c r="BC63" s="122">
        <v>17</v>
      </c>
      <c r="BD63" s="122">
        <v>340</v>
      </c>
      <c r="BE63" s="122">
        <v>105</v>
      </c>
      <c r="BF63" s="122">
        <v>1</v>
      </c>
      <c r="BG63" s="122">
        <v>22237</v>
      </c>
      <c r="BH63" s="122">
        <v>1701</v>
      </c>
      <c r="BI63" s="122">
        <v>456</v>
      </c>
      <c r="BJ63" s="115">
        <f t="shared" si="38"/>
        <v>1</v>
      </c>
      <c r="BK63" s="115">
        <f t="shared" si="39"/>
        <v>5524.87</v>
      </c>
      <c r="BL63" s="115">
        <f t="shared" si="40"/>
        <v>3206.22</v>
      </c>
      <c r="BM63" s="115" t="str">
        <f t="shared" si="41"/>
        <v>0</v>
      </c>
      <c r="BN63" s="115" t="str">
        <f t="shared" si="42"/>
        <v>0</v>
      </c>
      <c r="BO63" s="115" t="str">
        <f t="shared" si="43"/>
        <v>0</v>
      </c>
      <c r="BP63" s="115" t="str">
        <f t="shared" si="44"/>
        <v>0</v>
      </c>
      <c r="BQ63" s="115" t="str">
        <f t="shared" si="45"/>
        <v>0</v>
      </c>
      <c r="BR63" s="115" t="str">
        <f t="shared" si="46"/>
        <v>0</v>
      </c>
      <c r="BS63" s="115">
        <v>1</v>
      </c>
      <c r="BT63" s="115">
        <v>1</v>
      </c>
      <c r="BU63" s="122">
        <v>1018</v>
      </c>
      <c r="BV63" s="115">
        <v>380</v>
      </c>
      <c r="BW63" s="115"/>
      <c r="BX63" s="115">
        <f>AP63</f>
        <v>4631</v>
      </c>
      <c r="BY63" s="275">
        <v>2157.02</v>
      </c>
      <c r="BZ63" s="253">
        <v>1060.3</v>
      </c>
      <c r="CA63" s="157">
        <v>2491</v>
      </c>
      <c r="CB63" s="275">
        <f t="shared" si="47"/>
        <v>1438</v>
      </c>
      <c r="CC63" s="209" t="str">
        <f t="shared" si="57"/>
        <v>0</v>
      </c>
      <c r="CD63" s="235">
        <f t="shared" si="58"/>
        <v>0</v>
      </c>
      <c r="CE63" s="209">
        <f>IF(CF63&gt;0,G63,"0")</f>
        <v>1</v>
      </c>
      <c r="CF63" s="235">
        <f t="shared" si="60"/>
        <v>6616</v>
      </c>
      <c r="CG63" s="235">
        <f t="shared" si="61"/>
        <v>1</v>
      </c>
      <c r="CH63" s="235">
        <f t="shared" si="62"/>
        <v>6616</v>
      </c>
      <c r="CI63" s="14">
        <v>62</v>
      </c>
      <c r="CJ63" s="284" t="str">
        <f t="shared" si="48"/>
        <v>0</v>
      </c>
      <c r="CK63" s="284" t="str">
        <f t="shared" si="49"/>
        <v>0</v>
      </c>
      <c r="CL63" s="243">
        <f t="shared" si="50"/>
        <v>5.6213087366761565</v>
      </c>
      <c r="CM63" s="216" t="str">
        <f t="shared" si="51"/>
        <v>0</v>
      </c>
      <c r="CN63" s="216" t="str">
        <f t="shared" si="52"/>
        <v>0</v>
      </c>
      <c r="CO63" s="243">
        <f t="shared" si="53"/>
        <v>5.6213087366761565</v>
      </c>
      <c r="CP63" s="305">
        <v>1</v>
      </c>
      <c r="CQ63" s="305">
        <v>0</v>
      </c>
      <c r="CR63" s="305">
        <v>0</v>
      </c>
      <c r="CS63" s="305">
        <v>0</v>
      </c>
      <c r="CT63" s="305">
        <v>2</v>
      </c>
      <c r="CU63" s="305">
        <v>0</v>
      </c>
      <c r="CV63" s="305">
        <v>0</v>
      </c>
      <c r="CW63" s="305">
        <v>0</v>
      </c>
      <c r="CX63" s="306">
        <v>0</v>
      </c>
      <c r="CY63" s="306">
        <v>105</v>
      </c>
      <c r="CZ63" s="306">
        <f t="shared" si="63"/>
        <v>99</v>
      </c>
      <c r="DA63" s="306">
        <v>6</v>
      </c>
      <c r="DB63" s="306">
        <v>87</v>
      </c>
      <c r="DC63" s="306">
        <v>41</v>
      </c>
      <c r="DD63" s="306">
        <v>95</v>
      </c>
      <c r="DE63" s="306">
        <v>61</v>
      </c>
      <c r="DF63" s="306">
        <v>41</v>
      </c>
      <c r="DG63" s="306">
        <v>95</v>
      </c>
      <c r="DH63" s="306">
        <v>61</v>
      </c>
      <c r="DI63" s="306">
        <v>6</v>
      </c>
      <c r="DJ63" s="306">
        <v>4</v>
      </c>
      <c r="DK63" s="306">
        <v>3</v>
      </c>
      <c r="DL63" s="306">
        <v>4</v>
      </c>
      <c r="DM63" s="306">
        <v>4</v>
      </c>
      <c r="DN63" s="306">
        <v>3</v>
      </c>
      <c r="DO63" s="306">
        <v>4</v>
      </c>
      <c r="DP63" s="306">
        <v>105</v>
      </c>
      <c r="DQ63" s="306">
        <v>105</v>
      </c>
    </row>
    <row r="64" spans="1:126" x14ac:dyDescent="0.2">
      <c r="A64" s="149" t="s">
        <v>142</v>
      </c>
      <c r="B64" s="169">
        <v>58</v>
      </c>
      <c r="C64" s="12" t="s">
        <v>155</v>
      </c>
      <c r="D64" s="13">
        <v>1980</v>
      </c>
      <c r="E64" s="11"/>
      <c r="F64" s="169">
        <v>84</v>
      </c>
      <c r="G64" s="35">
        <v>1</v>
      </c>
      <c r="H64" s="45">
        <v>9</v>
      </c>
      <c r="I64" s="1" t="s">
        <v>22</v>
      </c>
      <c r="J64" s="122">
        <v>15605</v>
      </c>
      <c r="K64" s="122">
        <v>701</v>
      </c>
      <c r="L64" s="122"/>
      <c r="M64" s="122">
        <v>561</v>
      </c>
      <c r="N64" s="122">
        <v>63</v>
      </c>
      <c r="O64" s="122">
        <v>126</v>
      </c>
      <c r="P64" s="122">
        <v>63</v>
      </c>
      <c r="Q64" s="122">
        <v>136</v>
      </c>
      <c r="R64" s="179">
        <v>3184.4</v>
      </c>
      <c r="S64" s="121">
        <v>1915</v>
      </c>
      <c r="T64" s="122">
        <f t="shared" si="32"/>
        <v>61</v>
      </c>
      <c r="U64" s="180">
        <f t="shared" si="33"/>
        <v>3100.5</v>
      </c>
      <c r="V64" s="180">
        <f t="shared" si="34"/>
        <v>1864.66</v>
      </c>
      <c r="W64" s="122">
        <v>2</v>
      </c>
      <c r="X64" s="180">
        <v>83.9</v>
      </c>
      <c r="Y64" s="180">
        <v>50.34</v>
      </c>
      <c r="Z64" s="122"/>
      <c r="AA64" s="180"/>
      <c r="AB64" s="180"/>
      <c r="AC64" s="180">
        <f t="shared" si="35"/>
        <v>411</v>
      </c>
      <c r="AD64" s="179">
        <f t="shared" si="36"/>
        <v>0</v>
      </c>
      <c r="AE64" s="271"/>
      <c r="AF64" s="179"/>
      <c r="AG64" s="180">
        <f>105.9+305.1</f>
        <v>411</v>
      </c>
      <c r="AH64" s="180"/>
      <c r="AI64" s="180">
        <f t="shared" si="37"/>
        <v>3595.4</v>
      </c>
      <c r="AJ64" s="122"/>
      <c r="AK64" s="122">
        <v>2</v>
      </c>
      <c r="AL64" s="122">
        <v>2</v>
      </c>
      <c r="AM64" s="122">
        <v>2</v>
      </c>
      <c r="AN64" s="122"/>
      <c r="AO64" s="122">
        <v>2</v>
      </c>
      <c r="AP64" s="122">
        <v>3130</v>
      </c>
      <c r="AQ64" s="138"/>
      <c r="AR64" s="122">
        <f>74+37+202</f>
        <v>313</v>
      </c>
      <c r="AS64" s="122">
        <v>187</v>
      </c>
      <c r="AT64" s="122">
        <v>108</v>
      </c>
      <c r="AU64" s="122">
        <f t="shared" si="55"/>
        <v>4410</v>
      </c>
      <c r="AV64" s="122"/>
      <c r="AW64" s="122">
        <v>4410</v>
      </c>
      <c r="AX64" s="122">
        <v>1752</v>
      </c>
      <c r="AY64" s="122">
        <v>157</v>
      </c>
      <c r="AZ64" s="122">
        <v>561</v>
      </c>
      <c r="BA64" s="122">
        <v>561</v>
      </c>
      <c r="BB64" s="122">
        <v>32</v>
      </c>
      <c r="BC64" s="122">
        <v>12</v>
      </c>
      <c r="BD64" s="122">
        <v>200</v>
      </c>
      <c r="BE64" s="122">
        <v>64</v>
      </c>
      <c r="BF64" s="122">
        <v>1</v>
      </c>
      <c r="BG64" s="122">
        <v>8560</v>
      </c>
      <c r="BH64" s="122">
        <v>944</v>
      </c>
      <c r="BI64" s="122">
        <v>294</v>
      </c>
      <c r="BJ64" s="115" t="str">
        <f t="shared" si="38"/>
        <v>0</v>
      </c>
      <c r="BK64" s="115" t="str">
        <f t="shared" si="39"/>
        <v>0</v>
      </c>
      <c r="BL64" s="115" t="str">
        <f t="shared" si="40"/>
        <v>0</v>
      </c>
      <c r="BM64" s="115">
        <f t="shared" si="41"/>
        <v>1</v>
      </c>
      <c r="BN64" s="115">
        <f t="shared" si="42"/>
        <v>3184.4</v>
      </c>
      <c r="BO64" s="115">
        <f t="shared" si="43"/>
        <v>1915</v>
      </c>
      <c r="BP64" s="115" t="str">
        <f t="shared" si="44"/>
        <v>0</v>
      </c>
      <c r="BQ64" s="115" t="str">
        <f t="shared" si="45"/>
        <v>0</v>
      </c>
      <c r="BR64" s="115" t="str">
        <f t="shared" si="46"/>
        <v>0</v>
      </c>
      <c r="BS64" s="115">
        <v>1</v>
      </c>
      <c r="BT64" s="115"/>
      <c r="BU64" s="122">
        <v>561</v>
      </c>
      <c r="BV64" s="115">
        <v>196</v>
      </c>
      <c r="BW64" s="115"/>
      <c r="BX64" s="115"/>
      <c r="BY64" s="275">
        <v>1158.71</v>
      </c>
      <c r="BZ64" s="253">
        <v>540.4</v>
      </c>
      <c r="CA64" s="157">
        <v>1438</v>
      </c>
      <c r="CB64" s="275">
        <f t="shared" si="47"/>
        <v>737</v>
      </c>
      <c r="CC64" s="209" t="str">
        <f t="shared" si="57"/>
        <v>0</v>
      </c>
      <c r="CD64" s="235">
        <f t="shared" si="58"/>
        <v>0</v>
      </c>
      <c r="CE64" s="209">
        <f>IF(CF64&gt;0,G64,"0")</f>
        <v>1</v>
      </c>
      <c r="CF64" s="235">
        <f t="shared" si="60"/>
        <v>4410</v>
      </c>
      <c r="CG64" s="235">
        <f t="shared" si="61"/>
        <v>1</v>
      </c>
      <c r="CH64" s="235">
        <f t="shared" si="62"/>
        <v>4410</v>
      </c>
      <c r="CI64" s="14">
        <v>47</v>
      </c>
      <c r="CJ64" s="284" t="str">
        <f t="shared" si="48"/>
        <v>0</v>
      </c>
      <c r="CK64" s="284" t="str">
        <f t="shared" si="49"/>
        <v>0</v>
      </c>
      <c r="CL64" s="243">
        <f t="shared" si="50"/>
        <v>2.6347192563748272</v>
      </c>
      <c r="CM64" s="216" t="str">
        <f t="shared" si="51"/>
        <v>0</v>
      </c>
      <c r="CN64" s="216" t="str">
        <f t="shared" si="52"/>
        <v>0</v>
      </c>
      <c r="CO64" s="243">
        <f t="shared" si="53"/>
        <v>2.3335372976581188</v>
      </c>
      <c r="CP64" s="305">
        <v>1</v>
      </c>
      <c r="CQ64" s="305">
        <v>0</v>
      </c>
      <c r="CR64" s="305">
        <v>0</v>
      </c>
      <c r="CS64" s="305">
        <v>0</v>
      </c>
      <c r="CT64" s="305">
        <v>2</v>
      </c>
      <c r="CU64" s="305">
        <v>0</v>
      </c>
      <c r="CV64" s="305">
        <v>0</v>
      </c>
      <c r="CW64" s="305">
        <v>0</v>
      </c>
      <c r="CX64" s="306">
        <v>0</v>
      </c>
      <c r="CY64" s="306">
        <v>64</v>
      </c>
      <c r="CZ64" s="306">
        <f t="shared" si="63"/>
        <v>60</v>
      </c>
      <c r="DA64" s="306">
        <v>4</v>
      </c>
      <c r="DB64" s="306">
        <v>44</v>
      </c>
      <c r="DC64" s="306">
        <v>32</v>
      </c>
      <c r="DD64" s="306">
        <v>38</v>
      </c>
      <c r="DE64" s="306">
        <v>42</v>
      </c>
      <c r="DF64" s="306">
        <v>31</v>
      </c>
      <c r="DG64" s="306">
        <v>40</v>
      </c>
      <c r="DH64" s="306">
        <v>40</v>
      </c>
      <c r="DI64" s="306">
        <v>3</v>
      </c>
      <c r="DJ64" s="306">
        <v>1</v>
      </c>
      <c r="DK64" s="306">
        <v>3</v>
      </c>
      <c r="DL64" s="306">
        <v>2</v>
      </c>
      <c r="DM64" s="306">
        <v>1</v>
      </c>
      <c r="DN64" s="306">
        <v>3</v>
      </c>
      <c r="DO64" s="306">
        <v>2</v>
      </c>
      <c r="DP64" s="306">
        <v>64</v>
      </c>
      <c r="DQ64" s="306">
        <v>64</v>
      </c>
    </row>
    <row r="65" spans="1:126" x14ac:dyDescent="0.2">
      <c r="A65" s="149" t="s">
        <v>142</v>
      </c>
      <c r="B65" s="169">
        <v>59</v>
      </c>
      <c r="C65" s="12" t="s">
        <v>107</v>
      </c>
      <c r="D65" s="13">
        <v>1975</v>
      </c>
      <c r="E65" s="11"/>
      <c r="F65" s="169" t="s">
        <v>21</v>
      </c>
      <c r="G65" s="35">
        <v>1</v>
      </c>
      <c r="H65" s="45">
        <v>9</v>
      </c>
      <c r="I65" s="1" t="s">
        <v>19</v>
      </c>
      <c r="J65" s="122">
        <v>30168</v>
      </c>
      <c r="K65" s="122">
        <v>1037</v>
      </c>
      <c r="L65" s="122">
        <v>1075</v>
      </c>
      <c r="M65" s="122"/>
      <c r="N65" s="122">
        <v>103</v>
      </c>
      <c r="O65" s="122">
        <v>225</v>
      </c>
      <c r="P65" s="122">
        <v>103</v>
      </c>
      <c r="Q65" s="122">
        <v>209</v>
      </c>
      <c r="R65" s="179">
        <f>5404.51-1.2+0.04+0.03</f>
        <v>5403.38</v>
      </c>
      <c r="S65" s="121">
        <v>3122.54</v>
      </c>
      <c r="T65" s="122">
        <f t="shared" si="32"/>
        <v>94</v>
      </c>
      <c r="U65" s="180">
        <f t="shared" si="33"/>
        <v>4940.41</v>
      </c>
      <c r="V65" s="180">
        <f t="shared" si="34"/>
        <v>2836.74</v>
      </c>
      <c r="W65" s="122">
        <v>9</v>
      </c>
      <c r="X65" s="180">
        <v>462.97</v>
      </c>
      <c r="Y65" s="180">
        <v>285.8</v>
      </c>
      <c r="Z65" s="122"/>
      <c r="AA65" s="180"/>
      <c r="AB65" s="180"/>
      <c r="AC65" s="180">
        <f t="shared" si="35"/>
        <v>128.1</v>
      </c>
      <c r="AD65" s="179">
        <f t="shared" si="36"/>
        <v>128.1</v>
      </c>
      <c r="AE65" s="271"/>
      <c r="AF65" s="179">
        <v>128.1</v>
      </c>
      <c r="AG65" s="180"/>
      <c r="AH65" s="180"/>
      <c r="AI65" s="180">
        <f t="shared" si="37"/>
        <v>5531.4800000000005</v>
      </c>
      <c r="AJ65" s="122"/>
      <c r="AK65" s="122">
        <v>3</v>
      </c>
      <c r="AL65" s="122">
        <v>3</v>
      </c>
      <c r="AM65" s="122">
        <v>3</v>
      </c>
      <c r="AN65" s="122"/>
      <c r="AO65" s="122">
        <v>3</v>
      </c>
      <c r="AP65" s="122">
        <v>5146</v>
      </c>
      <c r="AQ65" s="138"/>
      <c r="AR65" s="122">
        <f>194+97+68</f>
        <v>359</v>
      </c>
      <c r="AS65" s="122">
        <v>187</v>
      </c>
      <c r="AT65" s="122">
        <v>150</v>
      </c>
      <c r="AU65" s="122">
        <f t="shared" si="55"/>
        <v>6630</v>
      </c>
      <c r="AV65" s="122">
        <v>5837</v>
      </c>
      <c r="AW65" s="122">
        <v>793</v>
      </c>
      <c r="AX65" s="122"/>
      <c r="AY65" s="122">
        <v>274</v>
      </c>
      <c r="AZ65" s="122">
        <v>1004</v>
      </c>
      <c r="BA65" s="122">
        <v>1004</v>
      </c>
      <c r="BB65" s="122">
        <v>15</v>
      </c>
      <c r="BC65" s="122">
        <v>17</v>
      </c>
      <c r="BD65" s="122">
        <v>360</v>
      </c>
      <c r="BE65" s="122">
        <v>103</v>
      </c>
      <c r="BF65" s="122">
        <v>1</v>
      </c>
      <c r="BG65" s="122">
        <v>22237</v>
      </c>
      <c r="BH65" s="122">
        <v>1701</v>
      </c>
      <c r="BI65" s="122">
        <v>456</v>
      </c>
      <c r="BJ65" s="115">
        <f t="shared" si="38"/>
        <v>1</v>
      </c>
      <c r="BK65" s="115">
        <f t="shared" si="39"/>
        <v>5403.38</v>
      </c>
      <c r="BL65" s="115">
        <f t="shared" si="40"/>
        <v>3122.54</v>
      </c>
      <c r="BM65" s="115" t="str">
        <f t="shared" si="41"/>
        <v>0</v>
      </c>
      <c r="BN65" s="115" t="str">
        <f t="shared" si="42"/>
        <v>0</v>
      </c>
      <c r="BO65" s="115" t="str">
        <f t="shared" si="43"/>
        <v>0</v>
      </c>
      <c r="BP65" s="115" t="str">
        <f t="shared" si="44"/>
        <v>0</v>
      </c>
      <c r="BQ65" s="115" t="str">
        <f t="shared" si="45"/>
        <v>0</v>
      </c>
      <c r="BR65" s="115" t="str">
        <f t="shared" si="46"/>
        <v>0</v>
      </c>
      <c r="BS65" s="115"/>
      <c r="BT65" s="115">
        <v>1</v>
      </c>
      <c r="BU65" s="122">
        <v>1004</v>
      </c>
      <c r="BV65" s="115">
        <v>380</v>
      </c>
      <c r="BW65" s="115"/>
      <c r="BX65" s="115">
        <f>AP65</f>
        <v>5146</v>
      </c>
      <c r="BY65" s="275">
        <v>1835.41</v>
      </c>
      <c r="BZ65" s="253">
        <v>1050.6400000000001</v>
      </c>
      <c r="CA65" s="157">
        <v>2404</v>
      </c>
      <c r="CB65" s="275">
        <f t="shared" si="47"/>
        <v>1367</v>
      </c>
      <c r="CC65" s="209">
        <f t="shared" si="57"/>
        <v>1</v>
      </c>
      <c r="CD65" s="235">
        <f t="shared" si="58"/>
        <v>5837</v>
      </c>
      <c r="CE65" s="209"/>
      <c r="CF65" s="235">
        <f t="shared" si="60"/>
        <v>793</v>
      </c>
      <c r="CG65" s="235">
        <f t="shared" si="61"/>
        <v>1</v>
      </c>
      <c r="CH65" s="235">
        <f t="shared" si="62"/>
        <v>6630</v>
      </c>
      <c r="CI65" s="14">
        <v>68</v>
      </c>
      <c r="CJ65" s="284" t="str">
        <f t="shared" si="48"/>
        <v>0</v>
      </c>
      <c r="CK65" s="284" t="str">
        <f t="shared" si="49"/>
        <v>0</v>
      </c>
      <c r="CL65" s="243">
        <f t="shared" si="50"/>
        <v>8.5681554878613024</v>
      </c>
      <c r="CM65" s="216" t="str">
        <f t="shared" si="51"/>
        <v>0</v>
      </c>
      <c r="CN65" s="216" t="str">
        <f t="shared" si="52"/>
        <v>0</v>
      </c>
      <c r="CO65" s="243">
        <f t="shared" si="53"/>
        <v>10.685566973034341</v>
      </c>
      <c r="CP65" s="305">
        <v>1</v>
      </c>
      <c r="CQ65" s="305">
        <v>0</v>
      </c>
      <c r="CR65" s="305">
        <v>0</v>
      </c>
      <c r="CS65" s="305">
        <v>0</v>
      </c>
      <c r="CT65" s="305">
        <v>2</v>
      </c>
      <c r="CU65" s="305">
        <v>0</v>
      </c>
      <c r="CV65" s="305">
        <v>0</v>
      </c>
      <c r="CW65" s="305">
        <v>0</v>
      </c>
      <c r="CX65" s="306">
        <v>0</v>
      </c>
      <c r="CY65" s="306">
        <v>103</v>
      </c>
      <c r="CZ65" s="306">
        <f t="shared" si="63"/>
        <v>95</v>
      </c>
      <c r="DA65" s="306">
        <v>8</v>
      </c>
      <c r="DB65" s="306">
        <v>70</v>
      </c>
      <c r="DC65" s="306">
        <v>54</v>
      </c>
      <c r="DD65" s="306">
        <v>69</v>
      </c>
      <c r="DE65" s="306">
        <v>85</v>
      </c>
      <c r="DF65" s="306">
        <v>54</v>
      </c>
      <c r="DG65" s="306">
        <v>69</v>
      </c>
      <c r="DH65" s="306">
        <v>85</v>
      </c>
      <c r="DI65" s="306">
        <v>3</v>
      </c>
      <c r="DJ65" s="306">
        <v>2</v>
      </c>
      <c r="DK65" s="306">
        <v>4</v>
      </c>
      <c r="DL65" s="306">
        <v>3</v>
      </c>
      <c r="DM65" s="306">
        <v>2</v>
      </c>
      <c r="DN65" s="306">
        <v>4</v>
      </c>
      <c r="DO65" s="306">
        <v>3</v>
      </c>
      <c r="DP65" s="306">
        <v>103</v>
      </c>
      <c r="DQ65" s="306">
        <v>103</v>
      </c>
    </row>
    <row r="66" spans="1:126" x14ac:dyDescent="0.2">
      <c r="A66" s="149" t="s">
        <v>142</v>
      </c>
      <c r="B66" s="169">
        <v>60</v>
      </c>
      <c r="C66" s="12" t="s">
        <v>108</v>
      </c>
      <c r="D66" s="13">
        <v>1975</v>
      </c>
      <c r="E66" s="11"/>
      <c r="F66" s="169" t="s">
        <v>21</v>
      </c>
      <c r="G66" s="35">
        <v>1</v>
      </c>
      <c r="H66" s="45">
        <v>9</v>
      </c>
      <c r="I66" s="1" t="s">
        <v>19</v>
      </c>
      <c r="J66" s="122">
        <v>30348</v>
      </c>
      <c r="K66" s="122">
        <v>1037</v>
      </c>
      <c r="L66" s="122">
        <v>1053</v>
      </c>
      <c r="M66" s="122"/>
      <c r="N66" s="122">
        <v>105</v>
      </c>
      <c r="O66" s="122">
        <v>231</v>
      </c>
      <c r="P66" s="122">
        <v>105</v>
      </c>
      <c r="Q66" s="122">
        <v>192</v>
      </c>
      <c r="R66" s="179">
        <v>5534.12</v>
      </c>
      <c r="S66" s="121">
        <v>3225.28</v>
      </c>
      <c r="T66" s="122">
        <f t="shared" si="32"/>
        <v>98</v>
      </c>
      <c r="U66" s="180">
        <f t="shared" si="33"/>
        <v>5214.32</v>
      </c>
      <c r="V66" s="180">
        <f t="shared" si="34"/>
        <v>3044.84</v>
      </c>
      <c r="W66" s="122">
        <v>7</v>
      </c>
      <c r="X66" s="180">
        <v>319.8</v>
      </c>
      <c r="Y66" s="180">
        <v>180.44</v>
      </c>
      <c r="Z66" s="122"/>
      <c r="AA66" s="180"/>
      <c r="AB66" s="180"/>
      <c r="AC66" s="180">
        <f t="shared" si="35"/>
        <v>0</v>
      </c>
      <c r="AD66" s="179">
        <f t="shared" si="36"/>
        <v>0</v>
      </c>
      <c r="AE66" s="271"/>
      <c r="AF66" s="179"/>
      <c r="AG66" s="180"/>
      <c r="AH66" s="180"/>
      <c r="AI66" s="180">
        <f t="shared" si="37"/>
        <v>5534.12</v>
      </c>
      <c r="AJ66" s="122"/>
      <c r="AK66" s="122">
        <v>3</v>
      </c>
      <c r="AL66" s="122">
        <v>3</v>
      </c>
      <c r="AM66" s="122">
        <v>3</v>
      </c>
      <c r="AN66" s="122"/>
      <c r="AO66" s="122">
        <v>3</v>
      </c>
      <c r="AP66" s="122">
        <v>4257</v>
      </c>
      <c r="AQ66" s="138"/>
      <c r="AR66" s="122">
        <f>156+78+145</f>
        <v>379</v>
      </c>
      <c r="AS66" s="122">
        <v>227</v>
      </c>
      <c r="AT66" s="122">
        <v>150</v>
      </c>
      <c r="AU66" s="122">
        <f t="shared" si="55"/>
        <v>6631</v>
      </c>
      <c r="AV66" s="122">
        <v>5837</v>
      </c>
      <c r="AW66" s="122">
        <v>794</v>
      </c>
      <c r="AX66" s="122"/>
      <c r="AY66" s="122">
        <v>233</v>
      </c>
      <c r="AZ66" s="122">
        <v>994</v>
      </c>
      <c r="BA66" s="122">
        <v>994</v>
      </c>
      <c r="BB66" s="122">
        <v>15</v>
      </c>
      <c r="BC66" s="122">
        <v>17</v>
      </c>
      <c r="BD66" s="122">
        <v>360</v>
      </c>
      <c r="BE66" s="122">
        <v>105</v>
      </c>
      <c r="BF66" s="122">
        <v>1</v>
      </c>
      <c r="BG66" s="122">
        <v>22237</v>
      </c>
      <c r="BH66" s="122">
        <v>1701</v>
      </c>
      <c r="BI66" s="122">
        <v>456</v>
      </c>
      <c r="BJ66" s="115">
        <f t="shared" si="38"/>
        <v>1</v>
      </c>
      <c r="BK66" s="115">
        <f t="shared" si="39"/>
        <v>5534.12</v>
      </c>
      <c r="BL66" s="115">
        <f t="shared" si="40"/>
        <v>3225.28</v>
      </c>
      <c r="BM66" s="115" t="str">
        <f t="shared" si="41"/>
        <v>0</v>
      </c>
      <c r="BN66" s="115" t="str">
        <f t="shared" si="42"/>
        <v>0</v>
      </c>
      <c r="BO66" s="115" t="str">
        <f t="shared" si="43"/>
        <v>0</v>
      </c>
      <c r="BP66" s="115" t="str">
        <f t="shared" si="44"/>
        <v>0</v>
      </c>
      <c r="BQ66" s="115" t="str">
        <f t="shared" si="45"/>
        <v>0</v>
      </c>
      <c r="BR66" s="115" t="str">
        <f t="shared" si="46"/>
        <v>0</v>
      </c>
      <c r="BS66" s="115"/>
      <c r="BT66" s="115">
        <v>2</v>
      </c>
      <c r="BU66" s="122">
        <v>994</v>
      </c>
      <c r="BV66" s="115">
        <v>450</v>
      </c>
      <c r="BW66" s="115"/>
      <c r="BX66" s="115">
        <f>AP66</f>
        <v>4257</v>
      </c>
      <c r="BY66" s="275">
        <v>2249.4</v>
      </c>
      <c r="BZ66" s="253">
        <v>1131</v>
      </c>
      <c r="CA66" s="157">
        <v>2465</v>
      </c>
      <c r="CB66" s="275">
        <f t="shared" si="47"/>
        <v>1428</v>
      </c>
      <c r="CC66" s="209">
        <f t="shared" si="57"/>
        <v>1</v>
      </c>
      <c r="CD66" s="235">
        <f t="shared" si="58"/>
        <v>5837</v>
      </c>
      <c r="CE66" s="209"/>
      <c r="CF66" s="235">
        <f t="shared" si="60"/>
        <v>794</v>
      </c>
      <c r="CG66" s="235">
        <f t="shared" si="61"/>
        <v>1</v>
      </c>
      <c r="CH66" s="235">
        <f t="shared" si="62"/>
        <v>6631</v>
      </c>
      <c r="CI66" s="14">
        <v>69</v>
      </c>
      <c r="CJ66" s="284" t="str">
        <f t="shared" si="48"/>
        <v>0</v>
      </c>
      <c r="CK66" s="284" t="str">
        <f t="shared" si="49"/>
        <v>0</v>
      </c>
      <c r="CL66" s="243">
        <f t="shared" si="50"/>
        <v>5.7786965226630436</v>
      </c>
      <c r="CM66" s="216" t="str">
        <f t="shared" si="51"/>
        <v>0</v>
      </c>
      <c r="CN66" s="216" t="str">
        <f t="shared" si="52"/>
        <v>0</v>
      </c>
      <c r="CO66" s="243">
        <f t="shared" si="53"/>
        <v>5.7786965226630436</v>
      </c>
      <c r="CP66" s="305">
        <v>1</v>
      </c>
      <c r="CQ66" s="305">
        <v>0</v>
      </c>
      <c r="CR66" s="305">
        <v>0</v>
      </c>
      <c r="CS66" s="305">
        <v>0</v>
      </c>
      <c r="CT66" s="305">
        <v>2</v>
      </c>
      <c r="CU66" s="305">
        <v>0</v>
      </c>
      <c r="CV66" s="305">
        <v>0</v>
      </c>
      <c r="CW66" s="305">
        <v>0</v>
      </c>
      <c r="CX66" s="306">
        <v>0</v>
      </c>
      <c r="CY66" s="306">
        <v>105</v>
      </c>
      <c r="CZ66" s="306">
        <f t="shared" si="63"/>
        <v>97</v>
      </c>
      <c r="DA66" s="306">
        <v>8</v>
      </c>
      <c r="DB66" s="306">
        <v>74</v>
      </c>
      <c r="DC66" s="306">
        <v>39</v>
      </c>
      <c r="DD66" s="306">
        <v>97</v>
      </c>
      <c r="DE66" s="306">
        <v>59</v>
      </c>
      <c r="DF66" s="306">
        <v>39</v>
      </c>
      <c r="DG66" s="306">
        <v>95</v>
      </c>
      <c r="DH66" s="306">
        <v>61</v>
      </c>
      <c r="DI66" s="306">
        <v>5</v>
      </c>
      <c r="DJ66" s="306">
        <v>1</v>
      </c>
      <c r="DK66" s="306">
        <v>8</v>
      </c>
      <c r="DL66" s="306">
        <v>1</v>
      </c>
      <c r="DM66" s="306">
        <v>1</v>
      </c>
      <c r="DN66" s="306">
        <v>8</v>
      </c>
      <c r="DO66" s="306">
        <v>1</v>
      </c>
      <c r="DP66" s="306">
        <v>105</v>
      </c>
      <c r="DQ66" s="306">
        <v>105</v>
      </c>
    </row>
    <row r="67" spans="1:126" x14ac:dyDescent="0.2">
      <c r="A67" s="149" t="s">
        <v>142</v>
      </c>
      <c r="B67" s="169">
        <v>61</v>
      </c>
      <c r="C67" s="12" t="s">
        <v>156</v>
      </c>
      <c r="D67" s="13">
        <v>1980</v>
      </c>
      <c r="E67" s="11"/>
      <c r="F67" s="169">
        <v>84</v>
      </c>
      <c r="G67" s="35">
        <v>1</v>
      </c>
      <c r="H67" s="45">
        <v>9</v>
      </c>
      <c r="I67" s="1" t="s">
        <v>22</v>
      </c>
      <c r="J67" s="122">
        <v>15209</v>
      </c>
      <c r="K67" s="122">
        <v>779</v>
      </c>
      <c r="L67" s="122"/>
      <c r="M67" s="122">
        <v>580</v>
      </c>
      <c r="N67" s="122">
        <v>64</v>
      </c>
      <c r="O67" s="122">
        <v>128</v>
      </c>
      <c r="P67" s="122">
        <v>64</v>
      </c>
      <c r="Q67" s="122">
        <v>121</v>
      </c>
      <c r="R67" s="179">
        <f>3241.11+0.02</f>
        <v>3241.13</v>
      </c>
      <c r="S67" s="121">
        <v>1929.02</v>
      </c>
      <c r="T67" s="122">
        <f t="shared" si="32"/>
        <v>61</v>
      </c>
      <c r="U67" s="180">
        <f t="shared" si="33"/>
        <v>3108.2200000000003</v>
      </c>
      <c r="V67" s="180">
        <f t="shared" si="34"/>
        <v>1853.12</v>
      </c>
      <c r="W67" s="122">
        <v>3</v>
      </c>
      <c r="X67" s="180">
        <v>132.91</v>
      </c>
      <c r="Y67" s="180">
        <v>75.900000000000006</v>
      </c>
      <c r="Z67" s="122"/>
      <c r="AA67" s="180"/>
      <c r="AB67" s="180"/>
      <c r="AC67" s="180">
        <f t="shared" si="35"/>
        <v>410.9</v>
      </c>
      <c r="AD67" s="179">
        <f t="shared" si="36"/>
        <v>248</v>
      </c>
      <c r="AE67" s="271"/>
      <c r="AF67" s="179">
        <v>248</v>
      </c>
      <c r="AG67" s="180">
        <v>162.9</v>
      </c>
      <c r="AH67" s="180"/>
      <c r="AI67" s="180">
        <f t="shared" si="37"/>
        <v>3652.03</v>
      </c>
      <c r="AJ67" s="122"/>
      <c r="AK67" s="122">
        <v>2</v>
      </c>
      <c r="AL67" s="122">
        <v>2</v>
      </c>
      <c r="AM67" s="122">
        <v>2</v>
      </c>
      <c r="AN67" s="122"/>
      <c r="AO67" s="122">
        <v>2</v>
      </c>
      <c r="AP67" s="122">
        <v>3130</v>
      </c>
      <c r="AQ67" s="138"/>
      <c r="AR67" s="122">
        <f>704+37+202</f>
        <v>943</v>
      </c>
      <c r="AS67" s="122">
        <v>176</v>
      </c>
      <c r="AT67" s="122">
        <v>108</v>
      </c>
      <c r="AU67" s="122">
        <f t="shared" si="55"/>
        <v>4411</v>
      </c>
      <c r="AV67" s="122">
        <v>3963</v>
      </c>
      <c r="AW67" s="122">
        <v>448</v>
      </c>
      <c r="AX67" s="122">
        <v>1752</v>
      </c>
      <c r="AY67" s="122">
        <v>164</v>
      </c>
      <c r="AZ67" s="122">
        <v>580</v>
      </c>
      <c r="BA67" s="122">
        <v>580</v>
      </c>
      <c r="BB67" s="122">
        <v>32</v>
      </c>
      <c r="BC67" s="122">
        <v>12</v>
      </c>
      <c r="BD67" s="122">
        <v>200</v>
      </c>
      <c r="BE67" s="122">
        <v>64</v>
      </c>
      <c r="BF67" s="122">
        <v>1</v>
      </c>
      <c r="BG67" s="122">
        <v>8560</v>
      </c>
      <c r="BH67" s="122">
        <v>944</v>
      </c>
      <c r="BI67" s="122">
        <v>294</v>
      </c>
      <c r="BJ67" s="115" t="str">
        <f t="shared" si="38"/>
        <v>0</v>
      </c>
      <c r="BK67" s="115" t="str">
        <f t="shared" si="39"/>
        <v>0</v>
      </c>
      <c r="BL67" s="115" t="str">
        <f t="shared" si="40"/>
        <v>0</v>
      </c>
      <c r="BM67" s="115">
        <f t="shared" si="41"/>
        <v>1</v>
      </c>
      <c r="BN67" s="115">
        <f t="shared" si="42"/>
        <v>3241.13</v>
      </c>
      <c r="BO67" s="115">
        <f t="shared" si="43"/>
        <v>1929.02</v>
      </c>
      <c r="BP67" s="115" t="str">
        <f t="shared" si="44"/>
        <v>0</v>
      </c>
      <c r="BQ67" s="115" t="str">
        <f t="shared" si="45"/>
        <v>0</v>
      </c>
      <c r="BR67" s="115" t="str">
        <f t="shared" si="46"/>
        <v>0</v>
      </c>
      <c r="BS67" s="115">
        <v>2</v>
      </c>
      <c r="BT67" s="115"/>
      <c r="BU67" s="122">
        <v>580</v>
      </c>
      <c r="BV67" s="115">
        <v>196</v>
      </c>
      <c r="BW67" s="115"/>
      <c r="BX67" s="115"/>
      <c r="BY67" s="275">
        <v>1169.4099999999999</v>
      </c>
      <c r="BZ67" s="253">
        <v>530.03</v>
      </c>
      <c r="CA67" s="157">
        <v>1442</v>
      </c>
      <c r="CB67" s="275">
        <f t="shared" si="47"/>
        <v>663</v>
      </c>
      <c r="CC67" s="209">
        <f t="shared" si="57"/>
        <v>1</v>
      </c>
      <c r="CD67" s="235">
        <f t="shared" si="58"/>
        <v>3963</v>
      </c>
      <c r="CE67" s="209"/>
      <c r="CF67" s="235">
        <f t="shared" si="60"/>
        <v>448</v>
      </c>
      <c r="CG67" s="235">
        <f t="shared" si="61"/>
        <v>1</v>
      </c>
      <c r="CH67" s="235">
        <f t="shared" si="62"/>
        <v>4411</v>
      </c>
      <c r="CI67" s="14">
        <v>47</v>
      </c>
      <c r="CJ67" s="284" t="str">
        <f t="shared" si="48"/>
        <v>0</v>
      </c>
      <c r="CK67" s="284" t="str">
        <f t="shared" si="49"/>
        <v>0</v>
      </c>
      <c r="CL67" s="243">
        <f t="shared" si="50"/>
        <v>4.100730300851863</v>
      </c>
      <c r="CM67" s="216" t="str">
        <f t="shared" si="51"/>
        <v>0</v>
      </c>
      <c r="CN67" s="216" t="str">
        <f t="shared" si="52"/>
        <v>0</v>
      </c>
      <c r="CO67" s="243">
        <f t="shared" si="53"/>
        <v>10.430089566624588</v>
      </c>
      <c r="CP67" s="305">
        <v>1</v>
      </c>
      <c r="CQ67" s="305">
        <v>0</v>
      </c>
      <c r="CR67" s="305">
        <v>0</v>
      </c>
      <c r="CS67" s="305">
        <v>0</v>
      </c>
      <c r="CT67" s="305">
        <v>2</v>
      </c>
      <c r="CU67" s="305">
        <v>0</v>
      </c>
      <c r="CV67" s="305">
        <v>0</v>
      </c>
      <c r="CW67" s="305">
        <v>0</v>
      </c>
      <c r="CX67" s="306">
        <v>0</v>
      </c>
      <c r="CY67" s="306">
        <v>64</v>
      </c>
      <c r="CZ67" s="306">
        <f t="shared" si="63"/>
        <v>60</v>
      </c>
      <c r="DA67" s="306">
        <v>4</v>
      </c>
      <c r="DB67" s="306">
        <v>45</v>
      </c>
      <c r="DC67" s="306">
        <v>36</v>
      </c>
      <c r="DD67" s="306">
        <v>35</v>
      </c>
      <c r="DE67" s="306">
        <v>45</v>
      </c>
      <c r="DF67" s="306">
        <v>37</v>
      </c>
      <c r="DG67" s="306">
        <v>33</v>
      </c>
      <c r="DH67" s="306">
        <v>47</v>
      </c>
      <c r="DI67" s="306">
        <v>4</v>
      </c>
      <c r="DJ67" s="306">
        <v>1</v>
      </c>
      <c r="DK67" s="306">
        <v>4</v>
      </c>
      <c r="DL67" s="306">
        <v>1</v>
      </c>
      <c r="DM67" s="306">
        <v>1</v>
      </c>
      <c r="DN67" s="306">
        <v>4</v>
      </c>
      <c r="DO67" s="306">
        <v>1</v>
      </c>
      <c r="DP67" s="306">
        <v>64</v>
      </c>
      <c r="DQ67" s="306">
        <v>64</v>
      </c>
    </row>
    <row r="68" spans="1:126" x14ac:dyDescent="0.2">
      <c r="A68" s="149" t="s">
        <v>142</v>
      </c>
      <c r="B68" s="169">
        <v>62</v>
      </c>
      <c r="C68" s="12" t="s">
        <v>109</v>
      </c>
      <c r="D68" s="13">
        <v>1976</v>
      </c>
      <c r="E68" s="11"/>
      <c r="F68" s="169">
        <v>84</v>
      </c>
      <c r="G68" s="35">
        <v>1</v>
      </c>
      <c r="H68" s="45">
        <v>9</v>
      </c>
      <c r="I68" s="1" t="s">
        <v>22</v>
      </c>
      <c r="J68" s="122">
        <v>29804</v>
      </c>
      <c r="K68" s="122">
        <v>1245</v>
      </c>
      <c r="L68" s="122"/>
      <c r="M68" s="122">
        <v>1183</v>
      </c>
      <c r="N68" s="122">
        <v>143</v>
      </c>
      <c r="O68" s="122">
        <v>319</v>
      </c>
      <c r="P68" s="122">
        <v>143</v>
      </c>
      <c r="Q68" s="122">
        <v>306</v>
      </c>
      <c r="R68" s="179">
        <v>7619.77</v>
      </c>
      <c r="S68" s="121">
        <v>4550.45</v>
      </c>
      <c r="T68" s="122">
        <f t="shared" si="32"/>
        <v>132</v>
      </c>
      <c r="U68" s="180">
        <f t="shared" si="33"/>
        <v>7021.81</v>
      </c>
      <c r="V68" s="180">
        <f t="shared" si="34"/>
        <v>4193.82</v>
      </c>
      <c r="W68" s="122">
        <v>11</v>
      </c>
      <c r="X68" s="180">
        <v>597.96</v>
      </c>
      <c r="Y68" s="180">
        <v>356.63</v>
      </c>
      <c r="Z68" s="122"/>
      <c r="AA68" s="180"/>
      <c r="AB68" s="180"/>
      <c r="AC68" s="180">
        <f t="shared" si="35"/>
        <v>94.5</v>
      </c>
      <c r="AD68" s="179">
        <f t="shared" si="36"/>
        <v>94.5</v>
      </c>
      <c r="AE68" s="271"/>
      <c r="AF68" s="179">
        <v>94.5</v>
      </c>
      <c r="AG68" s="180"/>
      <c r="AH68" s="180"/>
      <c r="AI68" s="180">
        <f t="shared" si="37"/>
        <v>7714.27</v>
      </c>
      <c r="AJ68" s="122"/>
      <c r="AK68" s="122">
        <v>4</v>
      </c>
      <c r="AL68" s="122">
        <v>4</v>
      </c>
      <c r="AM68" s="122">
        <v>4</v>
      </c>
      <c r="AN68" s="122"/>
      <c r="AO68" s="122">
        <v>1</v>
      </c>
      <c r="AP68" s="122">
        <v>5585</v>
      </c>
      <c r="AQ68" s="138"/>
      <c r="AR68" s="122">
        <f>164+82+220</f>
        <v>466</v>
      </c>
      <c r="AS68" s="122">
        <v>330</v>
      </c>
      <c r="AT68" s="122">
        <v>216</v>
      </c>
      <c r="AU68" s="122">
        <f t="shared" si="55"/>
        <v>8548</v>
      </c>
      <c r="AV68" s="122">
        <v>7516</v>
      </c>
      <c r="AW68" s="122">
        <v>1032</v>
      </c>
      <c r="AX68" s="122">
        <v>3510</v>
      </c>
      <c r="AY68" s="122">
        <v>316</v>
      </c>
      <c r="AZ68" s="122">
        <v>1183</v>
      </c>
      <c r="BA68" s="122">
        <v>1183</v>
      </c>
      <c r="BB68" s="122">
        <v>64</v>
      </c>
      <c r="BC68" s="122">
        <v>24</v>
      </c>
      <c r="BD68" s="122">
        <v>460</v>
      </c>
      <c r="BE68" s="122">
        <v>143</v>
      </c>
      <c r="BF68" s="122">
        <v>1</v>
      </c>
      <c r="BG68" s="122">
        <v>17120</v>
      </c>
      <c r="BH68" s="122">
        <v>1888</v>
      </c>
      <c r="BI68" s="122">
        <v>648</v>
      </c>
      <c r="BJ68" s="115" t="str">
        <f t="shared" si="38"/>
        <v>0</v>
      </c>
      <c r="BK68" s="115" t="str">
        <f t="shared" si="39"/>
        <v>0</v>
      </c>
      <c r="BL68" s="115" t="str">
        <f t="shared" si="40"/>
        <v>0</v>
      </c>
      <c r="BM68" s="115">
        <f t="shared" si="41"/>
        <v>1</v>
      </c>
      <c r="BN68" s="115">
        <f t="shared" si="42"/>
        <v>7619.77</v>
      </c>
      <c r="BO68" s="115">
        <f t="shared" si="43"/>
        <v>4550.45</v>
      </c>
      <c r="BP68" s="115" t="str">
        <f t="shared" si="44"/>
        <v>0</v>
      </c>
      <c r="BQ68" s="115" t="str">
        <f t="shared" si="45"/>
        <v>0</v>
      </c>
      <c r="BR68" s="115" t="str">
        <f t="shared" si="46"/>
        <v>0</v>
      </c>
      <c r="BS68" s="115">
        <v>2</v>
      </c>
      <c r="BT68" s="115"/>
      <c r="BU68" s="122">
        <v>1183</v>
      </c>
      <c r="BV68" s="115">
        <v>56</v>
      </c>
      <c r="BW68" s="115"/>
      <c r="BX68" s="115"/>
      <c r="BY68" s="275">
        <v>2400.7199999999998</v>
      </c>
      <c r="BZ68" s="253">
        <v>1148.31</v>
      </c>
      <c r="CA68" s="157">
        <v>3386</v>
      </c>
      <c r="CB68" s="275">
        <f t="shared" si="47"/>
        <v>2141</v>
      </c>
      <c r="CC68" s="209">
        <f t="shared" si="57"/>
        <v>1</v>
      </c>
      <c r="CD68" s="235">
        <f t="shared" si="58"/>
        <v>7516</v>
      </c>
      <c r="CE68" s="209"/>
      <c r="CF68" s="235">
        <f t="shared" si="60"/>
        <v>1032</v>
      </c>
      <c r="CG68" s="235">
        <f t="shared" si="61"/>
        <v>1</v>
      </c>
      <c r="CH68" s="235">
        <f t="shared" si="62"/>
        <v>8548</v>
      </c>
      <c r="CI68" s="14">
        <v>51</v>
      </c>
      <c r="CJ68" s="284" t="str">
        <f t="shared" si="48"/>
        <v>0</v>
      </c>
      <c r="CK68" s="284" t="str">
        <f t="shared" si="49"/>
        <v>0</v>
      </c>
      <c r="CL68" s="243">
        <f t="shared" si="50"/>
        <v>7.8474809607114127</v>
      </c>
      <c r="CM68" s="216" t="str">
        <f t="shared" si="51"/>
        <v>0</v>
      </c>
      <c r="CN68" s="216" t="str">
        <f t="shared" si="52"/>
        <v>0</v>
      </c>
      <c r="CO68" s="243">
        <f t="shared" si="53"/>
        <v>8.9763516184940375</v>
      </c>
      <c r="CP68" s="305">
        <v>1</v>
      </c>
      <c r="CQ68" s="305">
        <v>0</v>
      </c>
      <c r="CR68" s="305">
        <v>0</v>
      </c>
      <c r="CS68" s="305">
        <v>0</v>
      </c>
      <c r="CT68" s="305">
        <v>2</v>
      </c>
      <c r="CU68" s="305">
        <v>0</v>
      </c>
      <c r="CV68" s="305">
        <v>0</v>
      </c>
      <c r="CW68" s="305">
        <v>0</v>
      </c>
      <c r="CX68" s="306">
        <v>0</v>
      </c>
      <c r="CY68" s="306">
        <v>143</v>
      </c>
      <c r="CZ68" s="306">
        <f t="shared" si="63"/>
        <v>131</v>
      </c>
      <c r="DA68" s="306">
        <v>12</v>
      </c>
      <c r="DB68" s="306">
        <v>97</v>
      </c>
      <c r="DC68" s="306">
        <v>65</v>
      </c>
      <c r="DD68" s="306">
        <v>106</v>
      </c>
      <c r="DE68" s="306">
        <v>89</v>
      </c>
      <c r="DF68" s="306">
        <v>67</v>
      </c>
      <c r="DG68" s="306">
        <v>104</v>
      </c>
      <c r="DH68" s="306">
        <v>91</v>
      </c>
      <c r="DI68" s="306">
        <v>6</v>
      </c>
      <c r="DJ68" s="306">
        <v>5</v>
      </c>
      <c r="DK68" s="306">
        <v>7</v>
      </c>
      <c r="DL68" s="306">
        <v>7</v>
      </c>
      <c r="DM68" s="306">
        <v>5</v>
      </c>
      <c r="DN68" s="306">
        <v>7</v>
      </c>
      <c r="DO68" s="306">
        <v>7</v>
      </c>
      <c r="DP68" s="306">
        <v>143</v>
      </c>
      <c r="DQ68" s="306">
        <v>143</v>
      </c>
    </row>
    <row r="69" spans="1:126" x14ac:dyDescent="0.2">
      <c r="A69" s="149" t="s">
        <v>142</v>
      </c>
      <c r="B69" s="169">
        <v>63</v>
      </c>
      <c r="C69" s="12" t="s">
        <v>110</v>
      </c>
      <c r="D69" s="13">
        <v>1975</v>
      </c>
      <c r="E69" s="11"/>
      <c r="F69" s="169" t="s">
        <v>21</v>
      </c>
      <c r="G69" s="35">
        <v>1</v>
      </c>
      <c r="H69" s="45">
        <v>9</v>
      </c>
      <c r="I69" s="1" t="s">
        <v>19</v>
      </c>
      <c r="J69" s="122">
        <v>31162</v>
      </c>
      <c r="K69" s="122">
        <v>1140</v>
      </c>
      <c r="L69" s="122">
        <v>1131</v>
      </c>
      <c r="M69" s="122"/>
      <c r="N69" s="122">
        <v>96</v>
      </c>
      <c r="O69" s="122">
        <v>208</v>
      </c>
      <c r="P69" s="122">
        <v>96</v>
      </c>
      <c r="Q69" s="122">
        <v>191</v>
      </c>
      <c r="R69" s="179">
        <f>5043.79-0.02</f>
        <v>5043.7699999999995</v>
      </c>
      <c r="S69" s="121">
        <v>2907.79</v>
      </c>
      <c r="T69" s="122">
        <f t="shared" si="32"/>
        <v>87</v>
      </c>
      <c r="U69" s="180">
        <f t="shared" si="33"/>
        <v>4508.8799999999992</v>
      </c>
      <c r="V69" s="180">
        <f t="shared" si="34"/>
        <v>2602.9</v>
      </c>
      <c r="W69" s="122">
        <v>9</v>
      </c>
      <c r="X69" s="180">
        <v>534.89</v>
      </c>
      <c r="Y69" s="180">
        <v>304.89</v>
      </c>
      <c r="Z69" s="122"/>
      <c r="AA69" s="180"/>
      <c r="AB69" s="180"/>
      <c r="AC69" s="180">
        <f t="shared" si="35"/>
        <v>541.11</v>
      </c>
      <c r="AD69" s="179">
        <f t="shared" si="36"/>
        <v>541.11</v>
      </c>
      <c r="AE69" s="271"/>
      <c r="AF69" s="179">
        <f>541.07-190.46+190.46+0.04</f>
        <v>541.11</v>
      </c>
      <c r="AG69" s="180"/>
      <c r="AH69" s="180"/>
      <c r="AI69" s="180">
        <f t="shared" si="37"/>
        <v>5584.8799999999992</v>
      </c>
      <c r="AJ69" s="122"/>
      <c r="AK69" s="122">
        <v>3</v>
      </c>
      <c r="AL69" s="122">
        <v>3</v>
      </c>
      <c r="AM69" s="122">
        <v>3</v>
      </c>
      <c r="AN69" s="122"/>
      <c r="AO69" s="122">
        <v>3</v>
      </c>
      <c r="AP69" s="122">
        <v>4757</v>
      </c>
      <c r="AQ69" s="138"/>
      <c r="AR69" s="122">
        <f>260+130+224</f>
        <v>614</v>
      </c>
      <c r="AS69" s="122">
        <v>183</v>
      </c>
      <c r="AT69" s="122">
        <v>150</v>
      </c>
      <c r="AU69" s="122">
        <f t="shared" si="55"/>
        <v>6616</v>
      </c>
      <c r="AV69" s="122">
        <v>5708</v>
      </c>
      <c r="AW69" s="122">
        <v>908</v>
      </c>
      <c r="AX69" s="122"/>
      <c r="AY69" s="122">
        <v>218</v>
      </c>
      <c r="AZ69" s="122">
        <v>1067</v>
      </c>
      <c r="BA69" s="122">
        <v>1067</v>
      </c>
      <c r="BB69" s="122">
        <v>15</v>
      </c>
      <c r="BC69" s="122">
        <v>17</v>
      </c>
      <c r="BD69" s="122">
        <v>300</v>
      </c>
      <c r="BE69" s="122">
        <v>96</v>
      </c>
      <c r="BF69" s="122">
        <v>1</v>
      </c>
      <c r="BG69" s="122">
        <v>22237</v>
      </c>
      <c r="BH69" s="122">
        <v>1701</v>
      </c>
      <c r="BI69" s="122">
        <v>456</v>
      </c>
      <c r="BJ69" s="115">
        <f t="shared" si="38"/>
        <v>1</v>
      </c>
      <c r="BK69" s="115">
        <f t="shared" si="39"/>
        <v>5043.7699999999995</v>
      </c>
      <c r="BL69" s="115">
        <f t="shared" si="40"/>
        <v>2907.79</v>
      </c>
      <c r="BM69" s="115" t="str">
        <f t="shared" si="41"/>
        <v>0</v>
      </c>
      <c r="BN69" s="115" t="str">
        <f t="shared" si="42"/>
        <v>0</v>
      </c>
      <c r="BO69" s="115" t="str">
        <f t="shared" si="43"/>
        <v>0</v>
      </c>
      <c r="BP69" s="115" t="str">
        <f t="shared" si="44"/>
        <v>0</v>
      </c>
      <c r="BQ69" s="115" t="str">
        <f t="shared" si="45"/>
        <v>0</v>
      </c>
      <c r="BR69" s="115" t="str">
        <f t="shared" si="46"/>
        <v>0</v>
      </c>
      <c r="BS69" s="115">
        <v>2</v>
      </c>
      <c r="BT69" s="115"/>
      <c r="BU69" s="122">
        <v>1067</v>
      </c>
      <c r="BV69" s="115">
        <v>380</v>
      </c>
      <c r="BW69" s="115"/>
      <c r="BX69" s="115">
        <f>AP69</f>
        <v>4757</v>
      </c>
      <c r="BY69" s="275">
        <v>2174.09</v>
      </c>
      <c r="BZ69" s="253">
        <v>1038.07</v>
      </c>
      <c r="CA69" s="157">
        <v>2246</v>
      </c>
      <c r="CB69" s="275">
        <f t="shared" si="47"/>
        <v>1106</v>
      </c>
      <c r="CC69" s="209">
        <f t="shared" si="57"/>
        <v>1</v>
      </c>
      <c r="CD69" s="235">
        <f t="shared" si="58"/>
        <v>5708</v>
      </c>
      <c r="CE69" s="209"/>
      <c r="CF69" s="235">
        <f t="shared" si="60"/>
        <v>908</v>
      </c>
      <c r="CG69" s="235">
        <f t="shared" si="61"/>
        <v>1</v>
      </c>
      <c r="CH69" s="235">
        <f t="shared" si="62"/>
        <v>6616</v>
      </c>
      <c r="CI69" s="14">
        <v>60</v>
      </c>
      <c r="CJ69" s="284" t="str">
        <f t="shared" si="48"/>
        <v>0</v>
      </c>
      <c r="CK69" s="284" t="str">
        <f t="shared" si="49"/>
        <v>0</v>
      </c>
      <c r="CL69" s="243">
        <f t="shared" si="50"/>
        <v>10.604964143884436</v>
      </c>
      <c r="CM69" s="216" t="str">
        <f t="shared" si="51"/>
        <v>0</v>
      </c>
      <c r="CN69" s="216" t="str">
        <f t="shared" si="52"/>
        <v>0</v>
      </c>
      <c r="CO69" s="243">
        <f t="shared" si="53"/>
        <v>19.266304737075821</v>
      </c>
      <c r="CP69" s="305">
        <v>1</v>
      </c>
      <c r="CQ69" s="305">
        <v>0</v>
      </c>
      <c r="CR69" s="305">
        <v>0</v>
      </c>
      <c r="CS69" s="305">
        <v>0</v>
      </c>
      <c r="CT69" s="305">
        <v>2</v>
      </c>
      <c r="CU69" s="305">
        <v>0</v>
      </c>
      <c r="CV69" s="305">
        <v>0</v>
      </c>
      <c r="CW69" s="305">
        <v>0</v>
      </c>
      <c r="CX69" s="306">
        <v>0</v>
      </c>
      <c r="CY69" s="306">
        <v>96</v>
      </c>
      <c r="CZ69" s="306">
        <f t="shared" si="63"/>
        <v>85</v>
      </c>
      <c r="DA69" s="306">
        <v>11</v>
      </c>
      <c r="DB69" s="306">
        <v>65</v>
      </c>
      <c r="DC69" s="306">
        <v>41</v>
      </c>
      <c r="DD69" s="306">
        <v>79</v>
      </c>
      <c r="DE69" s="306">
        <v>65</v>
      </c>
      <c r="DF69" s="306">
        <v>41</v>
      </c>
      <c r="DG69" s="306">
        <v>78</v>
      </c>
      <c r="DH69" s="306">
        <v>66</v>
      </c>
      <c r="DI69" s="306">
        <v>7</v>
      </c>
      <c r="DJ69" s="306">
        <v>4</v>
      </c>
      <c r="DK69" s="306">
        <v>8</v>
      </c>
      <c r="DL69" s="306">
        <v>6</v>
      </c>
      <c r="DM69" s="306">
        <v>4</v>
      </c>
      <c r="DN69" s="306">
        <v>8</v>
      </c>
      <c r="DO69" s="306">
        <v>6</v>
      </c>
      <c r="DP69" s="306">
        <v>96</v>
      </c>
      <c r="DQ69" s="306">
        <v>96</v>
      </c>
    </row>
    <row r="70" spans="1:126" s="52" customFormat="1" x14ac:dyDescent="0.2">
      <c r="A70" s="149" t="s">
        <v>142</v>
      </c>
      <c r="B70" s="169">
        <v>64</v>
      </c>
      <c r="C70" s="12" t="s">
        <v>157</v>
      </c>
      <c r="D70" s="13">
        <v>1986</v>
      </c>
      <c r="E70" s="11"/>
      <c r="F70" s="169" t="s">
        <v>24</v>
      </c>
      <c r="G70" s="35">
        <v>1</v>
      </c>
      <c r="H70" s="45">
        <v>9</v>
      </c>
      <c r="I70" s="1" t="s">
        <v>22</v>
      </c>
      <c r="J70" s="122">
        <v>10524</v>
      </c>
      <c r="K70" s="122">
        <v>408</v>
      </c>
      <c r="L70" s="122"/>
      <c r="M70" s="122">
        <v>382</v>
      </c>
      <c r="N70" s="122">
        <v>35</v>
      </c>
      <c r="O70" s="122">
        <v>107</v>
      </c>
      <c r="P70" s="122">
        <v>36</v>
      </c>
      <c r="Q70" s="122">
        <v>86</v>
      </c>
      <c r="R70" s="179">
        <v>2428.5</v>
      </c>
      <c r="S70" s="121">
        <v>1569.7</v>
      </c>
      <c r="T70" s="122">
        <f t="shared" si="32"/>
        <v>32</v>
      </c>
      <c r="U70" s="180">
        <f t="shared" si="33"/>
        <v>2179.8000000000002</v>
      </c>
      <c r="V70" s="180">
        <f t="shared" si="34"/>
        <v>1403.0700000000002</v>
      </c>
      <c r="W70" s="122">
        <v>3</v>
      </c>
      <c r="X70" s="180">
        <v>248.7</v>
      </c>
      <c r="Y70" s="180">
        <v>166.63</v>
      </c>
      <c r="Z70" s="122"/>
      <c r="AA70" s="180"/>
      <c r="AB70" s="180"/>
      <c r="AC70" s="180">
        <f t="shared" si="35"/>
        <v>0</v>
      </c>
      <c r="AD70" s="179">
        <f t="shared" si="36"/>
        <v>0</v>
      </c>
      <c r="AE70" s="271"/>
      <c r="AF70" s="180"/>
      <c r="AG70" s="180"/>
      <c r="AH70" s="180"/>
      <c r="AI70" s="180">
        <f t="shared" si="37"/>
        <v>2428.5</v>
      </c>
      <c r="AJ70" s="122"/>
      <c r="AK70" s="122">
        <v>1</v>
      </c>
      <c r="AL70" s="122">
        <v>1</v>
      </c>
      <c r="AM70" s="122">
        <v>1</v>
      </c>
      <c r="AN70" s="122"/>
      <c r="AO70" s="122">
        <v>1</v>
      </c>
      <c r="AP70" s="122">
        <v>2264</v>
      </c>
      <c r="AQ70" s="35"/>
      <c r="AR70" s="122">
        <f>36+18+72</f>
        <v>126</v>
      </c>
      <c r="AS70" s="122">
        <v>190</v>
      </c>
      <c r="AT70" s="122">
        <v>54</v>
      </c>
      <c r="AU70" s="122">
        <f t="shared" si="55"/>
        <v>2137</v>
      </c>
      <c r="AV70" s="122">
        <v>1715</v>
      </c>
      <c r="AW70" s="122">
        <v>422</v>
      </c>
      <c r="AX70" s="122">
        <v>1210</v>
      </c>
      <c r="AY70" s="122">
        <v>88</v>
      </c>
      <c r="AZ70" s="122">
        <v>382</v>
      </c>
      <c r="BA70" s="122">
        <v>382</v>
      </c>
      <c r="BB70" s="122">
        <v>18</v>
      </c>
      <c r="BC70" s="122">
        <v>24</v>
      </c>
      <c r="BD70" s="122">
        <v>150</v>
      </c>
      <c r="BE70" s="122">
        <v>35</v>
      </c>
      <c r="BF70" s="122">
        <v>1</v>
      </c>
      <c r="BG70" s="122">
        <v>4131</v>
      </c>
      <c r="BH70" s="122">
        <v>472</v>
      </c>
      <c r="BI70" s="122">
        <v>132</v>
      </c>
      <c r="BJ70" s="115" t="str">
        <f t="shared" si="38"/>
        <v>0</v>
      </c>
      <c r="BK70" s="115" t="str">
        <f t="shared" si="39"/>
        <v>0</v>
      </c>
      <c r="BL70" s="115" t="str">
        <f t="shared" si="40"/>
        <v>0</v>
      </c>
      <c r="BM70" s="115">
        <f t="shared" si="41"/>
        <v>1</v>
      </c>
      <c r="BN70" s="115">
        <f t="shared" si="42"/>
        <v>2428.5</v>
      </c>
      <c r="BO70" s="115">
        <f t="shared" si="43"/>
        <v>1569.7</v>
      </c>
      <c r="BP70" s="115" t="str">
        <f t="shared" si="44"/>
        <v>0</v>
      </c>
      <c r="BQ70" s="115" t="str">
        <f t="shared" si="45"/>
        <v>0</v>
      </c>
      <c r="BR70" s="115" t="str">
        <f t="shared" si="46"/>
        <v>0</v>
      </c>
      <c r="BS70" s="115">
        <v>1</v>
      </c>
      <c r="BT70" s="115"/>
      <c r="BU70" s="122">
        <v>382</v>
      </c>
      <c r="BV70" s="115">
        <v>18</v>
      </c>
      <c r="BW70" s="115"/>
      <c r="BX70" s="115"/>
      <c r="BY70" s="275">
        <v>588.49</v>
      </c>
      <c r="BZ70" s="253">
        <v>181.2</v>
      </c>
      <c r="CA70" s="157">
        <v>942</v>
      </c>
      <c r="CB70" s="275">
        <f t="shared" si="47"/>
        <v>534</v>
      </c>
      <c r="CC70" s="209">
        <f t="shared" si="57"/>
        <v>1</v>
      </c>
      <c r="CD70" s="235">
        <f t="shared" si="58"/>
        <v>1715</v>
      </c>
      <c r="CE70" s="209"/>
      <c r="CF70" s="235">
        <f t="shared" si="60"/>
        <v>422</v>
      </c>
      <c r="CG70" s="235">
        <f t="shared" si="61"/>
        <v>1</v>
      </c>
      <c r="CH70" s="235">
        <f t="shared" si="62"/>
        <v>2137</v>
      </c>
      <c r="CI70" s="14">
        <v>46</v>
      </c>
      <c r="CJ70" s="284" t="str">
        <f t="shared" si="48"/>
        <v>0</v>
      </c>
      <c r="CK70" s="284" t="str">
        <f t="shared" si="49"/>
        <v>0</v>
      </c>
      <c r="CL70" s="243">
        <f t="shared" si="50"/>
        <v>10.240889437924643</v>
      </c>
      <c r="CM70" s="216" t="str">
        <f t="shared" si="51"/>
        <v>0</v>
      </c>
      <c r="CN70" s="216" t="str">
        <f t="shared" si="52"/>
        <v>0</v>
      </c>
      <c r="CO70" s="243">
        <f t="shared" si="53"/>
        <v>10.240889437924643</v>
      </c>
      <c r="CP70" s="305">
        <v>1</v>
      </c>
      <c r="CQ70" s="305">
        <v>0</v>
      </c>
      <c r="CR70" s="305">
        <v>0</v>
      </c>
      <c r="CS70" s="305">
        <v>0</v>
      </c>
      <c r="CT70" s="305">
        <v>2</v>
      </c>
      <c r="CU70" s="305">
        <v>0</v>
      </c>
      <c r="CV70" s="305">
        <v>0</v>
      </c>
      <c r="CW70" s="305">
        <v>0</v>
      </c>
      <c r="CX70" s="306">
        <v>0</v>
      </c>
      <c r="CY70" s="306">
        <v>35</v>
      </c>
      <c r="CZ70" s="306">
        <f t="shared" si="63"/>
        <v>31</v>
      </c>
      <c r="DA70" s="306">
        <v>4</v>
      </c>
      <c r="DB70" s="306">
        <v>30</v>
      </c>
      <c r="DC70" s="306">
        <v>20</v>
      </c>
      <c r="DD70" s="306">
        <v>15</v>
      </c>
      <c r="DE70" s="306">
        <v>20</v>
      </c>
      <c r="DF70" s="306">
        <v>21</v>
      </c>
      <c r="DG70" s="306">
        <v>13</v>
      </c>
      <c r="DH70" s="306">
        <v>22</v>
      </c>
      <c r="DI70" s="306">
        <v>3</v>
      </c>
      <c r="DJ70" s="306">
        <v>3</v>
      </c>
      <c r="DK70" s="306">
        <v>1</v>
      </c>
      <c r="DL70" s="306">
        <v>3</v>
      </c>
      <c r="DM70" s="306">
        <v>3</v>
      </c>
      <c r="DN70" s="306">
        <v>1</v>
      </c>
      <c r="DO70" s="306">
        <v>3</v>
      </c>
      <c r="DP70" s="306">
        <v>35</v>
      </c>
      <c r="DQ70" s="306">
        <v>35</v>
      </c>
      <c r="DR70" s="3"/>
      <c r="DS70" s="3"/>
      <c r="DT70" s="3"/>
      <c r="DU70" s="3"/>
      <c r="DV70" s="3"/>
    </row>
    <row r="71" spans="1:126" x14ac:dyDescent="0.2">
      <c r="A71" s="149" t="s">
        <v>142</v>
      </c>
      <c r="B71" s="169">
        <v>65</v>
      </c>
      <c r="C71" s="12" t="s">
        <v>111</v>
      </c>
      <c r="D71" s="13">
        <v>1976</v>
      </c>
      <c r="E71" s="11"/>
      <c r="F71" s="169">
        <v>84</v>
      </c>
      <c r="G71" s="35">
        <v>1</v>
      </c>
      <c r="H71" s="45">
        <v>9</v>
      </c>
      <c r="I71" s="1" t="s">
        <v>22</v>
      </c>
      <c r="J71" s="122">
        <v>31343</v>
      </c>
      <c r="K71" s="122">
        <v>1262</v>
      </c>
      <c r="L71" s="122"/>
      <c r="M71" s="122">
        <v>1196</v>
      </c>
      <c r="N71" s="122">
        <f>143+1</f>
        <v>144</v>
      </c>
      <c r="O71" s="122">
        <v>320</v>
      </c>
      <c r="P71" s="122">
        <v>146</v>
      </c>
      <c r="Q71" s="122">
        <v>324</v>
      </c>
      <c r="R71" s="179">
        <f>7597.7-0.01+65</f>
        <v>7662.69</v>
      </c>
      <c r="S71" s="121">
        <v>4604.4799999999996</v>
      </c>
      <c r="T71" s="122">
        <f t="shared" ref="T71:T102" si="64">N71-W71-Z71</f>
        <v>135</v>
      </c>
      <c r="U71" s="180">
        <f t="shared" ref="U71:U102" si="65">R71-X71-AA71</f>
        <v>7204.0199999999995</v>
      </c>
      <c r="V71" s="180">
        <f t="shared" ref="V71:V102" si="66">S71-Y71-AB71</f>
        <v>4352.2099999999991</v>
      </c>
      <c r="W71" s="122">
        <v>9</v>
      </c>
      <c r="X71" s="180">
        <v>458.67</v>
      </c>
      <c r="Y71" s="180">
        <v>252.27</v>
      </c>
      <c r="Z71" s="122"/>
      <c r="AA71" s="180"/>
      <c r="AB71" s="180"/>
      <c r="AC71" s="180">
        <f t="shared" ref="AC71:AC102" si="67">AD71+AG71+AH71</f>
        <v>0</v>
      </c>
      <c r="AD71" s="179">
        <f t="shared" ref="AD71:AD102" si="68">AE71+AF71</f>
        <v>0</v>
      </c>
      <c r="AE71" s="271"/>
      <c r="AF71" s="180"/>
      <c r="AG71" s="180"/>
      <c r="AH71" s="180"/>
      <c r="AI71" s="180">
        <f t="shared" ref="AI71:AI102" si="69">R71+AC71</f>
        <v>7662.69</v>
      </c>
      <c r="AJ71" s="122"/>
      <c r="AK71" s="122">
        <v>4</v>
      </c>
      <c r="AL71" s="122">
        <v>4</v>
      </c>
      <c r="AM71" s="122">
        <v>4</v>
      </c>
      <c r="AN71" s="122"/>
      <c r="AO71" s="122">
        <v>1</v>
      </c>
      <c r="AP71" s="122">
        <v>5925</v>
      </c>
      <c r="AQ71" s="35"/>
      <c r="AR71" s="122">
        <f>155+77+240</f>
        <v>472</v>
      </c>
      <c r="AS71" s="122">
        <v>337</v>
      </c>
      <c r="AT71" s="122">
        <v>216</v>
      </c>
      <c r="AU71" s="122">
        <f t="shared" si="55"/>
        <v>8548</v>
      </c>
      <c r="AV71" s="122">
        <v>7516</v>
      </c>
      <c r="AW71" s="122">
        <v>1032</v>
      </c>
      <c r="AX71" s="122">
        <v>3510</v>
      </c>
      <c r="AY71" s="122">
        <v>297</v>
      </c>
      <c r="AZ71" s="122">
        <v>1196</v>
      </c>
      <c r="BA71" s="122">
        <v>1196</v>
      </c>
      <c r="BB71" s="122">
        <v>64</v>
      </c>
      <c r="BC71" s="122">
        <v>24</v>
      </c>
      <c r="BD71" s="122">
        <v>460</v>
      </c>
      <c r="BE71" s="122">
        <v>144</v>
      </c>
      <c r="BF71" s="122">
        <v>1</v>
      </c>
      <c r="BG71" s="122">
        <v>17120</v>
      </c>
      <c r="BH71" s="122">
        <v>1888</v>
      </c>
      <c r="BI71" s="122">
        <v>648</v>
      </c>
      <c r="BJ71" s="115" t="str">
        <f t="shared" ref="BJ71:BJ102" si="70">IF((I71="кир"),G71,"0")</f>
        <v>0</v>
      </c>
      <c r="BK71" s="115" t="str">
        <f t="shared" ref="BK71:BK102" si="71">IF((I71="кир"),R71,"0")</f>
        <v>0</v>
      </c>
      <c r="BL71" s="115" t="str">
        <f t="shared" ref="BL71:BL102" si="72">IF((I71="кир"),S71,"0")</f>
        <v>0</v>
      </c>
      <c r="BM71" s="115">
        <f t="shared" ref="BM71:BM102" si="73">IF((I71="пан"),G71,"0")</f>
        <v>1</v>
      </c>
      <c r="BN71" s="115">
        <f t="shared" ref="BN71:BN102" si="74">IF((I71="пан"),R71,"0")</f>
        <v>7662.69</v>
      </c>
      <c r="BO71" s="115">
        <f t="shared" ref="BO71:BO102" si="75">IF((I71="пан"),S71,"0")</f>
        <v>4604.4799999999996</v>
      </c>
      <c r="BP71" s="115" t="str">
        <f t="shared" ref="BP71:BP102" si="76">IF((I71="смеш"),G71,"0")</f>
        <v>0</v>
      </c>
      <c r="BQ71" s="115" t="str">
        <f t="shared" ref="BQ71:BQ102" si="77">IF((I71="смеш"),R71,"0")</f>
        <v>0</v>
      </c>
      <c r="BR71" s="115" t="str">
        <f t="shared" ref="BR71:BR102" si="78">IF((I71="смеш"),S71,"0")</f>
        <v>0</v>
      </c>
      <c r="BS71" s="115">
        <v>2</v>
      </c>
      <c r="BT71" s="115"/>
      <c r="BU71" s="122">
        <v>1196</v>
      </c>
      <c r="BV71" s="115">
        <v>64</v>
      </c>
      <c r="BW71" s="115"/>
      <c r="BX71" s="115"/>
      <c r="BY71" s="275">
        <v>2458.71</v>
      </c>
      <c r="BZ71" s="253">
        <v>1096.3900000000001</v>
      </c>
      <c r="CA71" s="157">
        <v>3430</v>
      </c>
      <c r="CB71" s="275">
        <f t="shared" ref="CB71:CB102" si="79">CA71-K71</f>
        <v>2168</v>
      </c>
      <c r="CC71" s="209">
        <f t="shared" si="57"/>
        <v>1</v>
      </c>
      <c r="CD71" s="235">
        <f t="shared" si="58"/>
        <v>7516</v>
      </c>
      <c r="CE71" s="209"/>
      <c r="CF71" s="235">
        <f t="shared" si="60"/>
        <v>1032</v>
      </c>
      <c r="CG71" s="235">
        <f t="shared" si="61"/>
        <v>1</v>
      </c>
      <c r="CH71" s="235">
        <f t="shared" si="62"/>
        <v>8548</v>
      </c>
      <c r="CI71" s="14">
        <v>49</v>
      </c>
      <c r="CJ71" s="284" t="str">
        <f t="shared" ref="CJ71:CJ102" si="80">IF((X71/R71*100&gt;=50), G71, "0")</f>
        <v>0</v>
      </c>
      <c r="CK71" s="284" t="str">
        <f t="shared" ref="CK71:CK102" si="81">IF((X71/R71*100&gt;=50), R71, "0")</f>
        <v>0</v>
      </c>
      <c r="CL71" s="243">
        <f t="shared" ref="CL71:CL102" si="82">X71/R71*100</f>
        <v>5.9857569600231777</v>
      </c>
      <c r="CM71" s="216" t="str">
        <f t="shared" ref="CM71:CM102" si="83">IF(((X71+AD71)/AI71*100&gt;=50), G71, "0")</f>
        <v>0</v>
      </c>
      <c r="CN71" s="216" t="str">
        <f t="shared" ref="CN71:CN102" si="84">IF(((X71+AD71)/AI71*100&gt;=50), AI71, "0")</f>
        <v>0</v>
      </c>
      <c r="CO71" s="243">
        <f t="shared" ref="CO71:CO102" si="85">(X71+AD71)/AI71*100</f>
        <v>5.9857569600231777</v>
      </c>
      <c r="CP71" s="305">
        <v>1</v>
      </c>
      <c r="CQ71" s="305">
        <v>0</v>
      </c>
      <c r="CR71" s="305">
        <v>0</v>
      </c>
      <c r="CS71" s="305">
        <v>0</v>
      </c>
      <c r="CT71" s="305">
        <v>2</v>
      </c>
      <c r="CU71" s="305">
        <v>0</v>
      </c>
      <c r="CV71" s="305">
        <v>0</v>
      </c>
      <c r="CW71" s="305">
        <v>0</v>
      </c>
      <c r="CX71" s="306">
        <v>0</v>
      </c>
      <c r="CY71" s="306">
        <v>144</v>
      </c>
      <c r="CZ71" s="306">
        <f t="shared" si="63"/>
        <v>134</v>
      </c>
      <c r="DA71" s="306">
        <v>10</v>
      </c>
      <c r="DB71" s="306">
        <v>104</v>
      </c>
      <c r="DC71" s="306">
        <v>77</v>
      </c>
      <c r="DD71" s="306">
        <v>86</v>
      </c>
      <c r="DE71" s="306">
        <v>109</v>
      </c>
      <c r="DF71" s="306">
        <v>76</v>
      </c>
      <c r="DG71" s="306">
        <v>83</v>
      </c>
      <c r="DH71" s="306">
        <v>112</v>
      </c>
      <c r="DI71" s="306">
        <v>6</v>
      </c>
      <c r="DJ71" s="306">
        <v>3</v>
      </c>
      <c r="DK71" s="306">
        <v>10</v>
      </c>
      <c r="DL71" s="306">
        <v>3</v>
      </c>
      <c r="DM71" s="306">
        <v>3</v>
      </c>
      <c r="DN71" s="306">
        <v>9</v>
      </c>
      <c r="DO71" s="306">
        <v>4</v>
      </c>
      <c r="DP71" s="306">
        <v>144</v>
      </c>
      <c r="DQ71" s="306">
        <v>144</v>
      </c>
    </row>
    <row r="72" spans="1:126" x14ac:dyDescent="0.2">
      <c r="A72" s="149" t="s">
        <v>142</v>
      </c>
      <c r="B72" s="169">
        <v>66</v>
      </c>
      <c r="C72" s="12" t="s">
        <v>87</v>
      </c>
      <c r="D72" s="13">
        <v>1965</v>
      </c>
      <c r="E72" s="11"/>
      <c r="F72" s="169" t="s">
        <v>20</v>
      </c>
      <c r="G72" s="35">
        <v>1</v>
      </c>
      <c r="H72" s="45">
        <v>5</v>
      </c>
      <c r="I72" s="1" t="s">
        <v>22</v>
      </c>
      <c r="J72" s="122">
        <v>9160</v>
      </c>
      <c r="K72" s="122">
        <v>666</v>
      </c>
      <c r="L72" s="122">
        <v>789</v>
      </c>
      <c r="M72" s="122"/>
      <c r="N72" s="122">
        <v>60</v>
      </c>
      <c r="O72" s="122">
        <v>115</v>
      </c>
      <c r="P72" s="122">
        <v>60</v>
      </c>
      <c r="Q72" s="122">
        <v>121</v>
      </c>
      <c r="R72" s="179">
        <f>2562.06+0.05</f>
        <v>2562.11</v>
      </c>
      <c r="S72" s="121">
        <v>1752.96</v>
      </c>
      <c r="T72" s="122">
        <f t="shared" si="64"/>
        <v>55</v>
      </c>
      <c r="U72" s="180">
        <f t="shared" si="65"/>
        <v>2373.37</v>
      </c>
      <c r="V72" s="180">
        <f t="shared" si="66"/>
        <v>1633.82</v>
      </c>
      <c r="W72" s="122">
        <v>5</v>
      </c>
      <c r="X72" s="180">
        <v>188.74</v>
      </c>
      <c r="Y72" s="180">
        <v>119.14</v>
      </c>
      <c r="Z72" s="122"/>
      <c r="AA72" s="180"/>
      <c r="AB72" s="180"/>
      <c r="AC72" s="180">
        <f t="shared" si="67"/>
        <v>0</v>
      </c>
      <c r="AD72" s="179">
        <f t="shared" si="68"/>
        <v>0</v>
      </c>
      <c r="AE72" s="271"/>
      <c r="AF72" s="180"/>
      <c r="AG72" s="180"/>
      <c r="AH72" s="180"/>
      <c r="AI72" s="180">
        <f t="shared" si="69"/>
        <v>2562.11</v>
      </c>
      <c r="AJ72" s="122"/>
      <c r="AK72" s="122"/>
      <c r="AL72" s="122">
        <v>3</v>
      </c>
      <c r="AM72" s="122"/>
      <c r="AN72" s="122"/>
      <c r="AO72" s="122">
        <v>1</v>
      </c>
      <c r="AP72" s="122">
        <v>1829</v>
      </c>
      <c r="AQ72" s="35"/>
      <c r="AR72" s="122">
        <f>99+38+98</f>
        <v>235</v>
      </c>
      <c r="AS72" s="122">
        <v>175</v>
      </c>
      <c r="AT72" s="122">
        <v>38</v>
      </c>
      <c r="AU72" s="122">
        <f t="shared" si="55"/>
        <v>2193</v>
      </c>
      <c r="AV72" s="122"/>
      <c r="AW72" s="122">
        <v>2193</v>
      </c>
      <c r="AX72" s="122">
        <v>1425</v>
      </c>
      <c r="AY72" s="122">
        <v>101</v>
      </c>
      <c r="AZ72" s="122">
        <v>658</v>
      </c>
      <c r="BA72" s="122">
        <v>658</v>
      </c>
      <c r="BB72" s="122">
        <v>15</v>
      </c>
      <c r="BC72" s="122">
        <v>10</v>
      </c>
      <c r="BD72" s="122">
        <v>176</v>
      </c>
      <c r="BE72" s="122">
        <v>60</v>
      </c>
      <c r="BF72" s="122">
        <v>1</v>
      </c>
      <c r="BG72" s="122">
        <v>11274</v>
      </c>
      <c r="BH72" s="122">
        <v>219</v>
      </c>
      <c r="BI72" s="122"/>
      <c r="BJ72" s="115" t="str">
        <f t="shared" si="70"/>
        <v>0</v>
      </c>
      <c r="BK72" s="115" t="str">
        <f t="shared" si="71"/>
        <v>0</v>
      </c>
      <c r="BL72" s="115" t="str">
        <f t="shared" si="72"/>
        <v>0</v>
      </c>
      <c r="BM72" s="115">
        <f t="shared" si="73"/>
        <v>1</v>
      </c>
      <c r="BN72" s="115">
        <f t="shared" si="74"/>
        <v>2562.11</v>
      </c>
      <c r="BO72" s="115">
        <f t="shared" si="75"/>
        <v>1752.96</v>
      </c>
      <c r="BP72" s="115" t="str">
        <f t="shared" si="76"/>
        <v>0</v>
      </c>
      <c r="BQ72" s="115" t="str">
        <f t="shared" si="77"/>
        <v>0</v>
      </c>
      <c r="BR72" s="115" t="str">
        <f t="shared" si="78"/>
        <v>0</v>
      </c>
      <c r="BS72" s="115">
        <v>2</v>
      </c>
      <c r="BT72" s="115"/>
      <c r="BU72" s="122"/>
      <c r="BV72" s="115"/>
      <c r="BW72" s="115"/>
      <c r="BX72" s="115"/>
      <c r="BY72" s="275">
        <v>862.43000000000006</v>
      </c>
      <c r="BZ72" s="253">
        <v>204.93</v>
      </c>
      <c r="CA72" s="157">
        <v>1632</v>
      </c>
      <c r="CB72" s="275">
        <f t="shared" si="79"/>
        <v>966</v>
      </c>
      <c r="CC72" s="209" t="str">
        <f t="shared" si="57"/>
        <v>0</v>
      </c>
      <c r="CD72" s="235">
        <f t="shared" si="58"/>
        <v>0</v>
      </c>
      <c r="CE72" s="209">
        <f>IF(CF72&gt;0,G72,"0")</f>
        <v>1</v>
      </c>
      <c r="CF72" s="235">
        <f t="shared" si="60"/>
        <v>2193</v>
      </c>
      <c r="CG72" s="235">
        <f t="shared" si="61"/>
        <v>1</v>
      </c>
      <c r="CH72" s="235">
        <f t="shared" si="62"/>
        <v>2193</v>
      </c>
      <c r="CI72" s="14">
        <v>54</v>
      </c>
      <c r="CJ72" s="284" t="str">
        <f t="shared" si="80"/>
        <v>0</v>
      </c>
      <c r="CK72" s="284" t="str">
        <f t="shared" si="81"/>
        <v>0</v>
      </c>
      <c r="CL72" s="243">
        <f t="shared" si="82"/>
        <v>7.3665845728715791</v>
      </c>
      <c r="CM72" s="216" t="str">
        <f t="shared" si="83"/>
        <v>0</v>
      </c>
      <c r="CN72" s="216" t="str">
        <f t="shared" si="84"/>
        <v>0</v>
      </c>
      <c r="CO72" s="243">
        <f t="shared" si="85"/>
        <v>7.3665845728715791</v>
      </c>
      <c r="CP72" s="305">
        <v>1</v>
      </c>
      <c r="CQ72" s="305">
        <v>0</v>
      </c>
      <c r="CR72" s="305">
        <v>0</v>
      </c>
      <c r="CS72" s="305">
        <v>0</v>
      </c>
      <c r="CT72" s="305">
        <v>1</v>
      </c>
      <c r="CU72" s="305">
        <v>0</v>
      </c>
      <c r="CV72" s="305">
        <v>0</v>
      </c>
      <c r="CW72" s="305">
        <v>0</v>
      </c>
      <c r="CX72" s="306">
        <v>0</v>
      </c>
      <c r="CY72" s="306">
        <v>60</v>
      </c>
      <c r="CZ72" s="306">
        <f t="shared" si="63"/>
        <v>53</v>
      </c>
      <c r="DA72" s="306">
        <v>7</v>
      </c>
      <c r="DB72" s="306">
        <v>48</v>
      </c>
      <c r="DC72" s="306">
        <v>25</v>
      </c>
      <c r="DD72" s="306">
        <v>35</v>
      </c>
      <c r="DE72" s="306">
        <v>25</v>
      </c>
      <c r="DF72" s="306">
        <v>26</v>
      </c>
      <c r="DG72" s="306">
        <v>34</v>
      </c>
      <c r="DH72" s="306">
        <v>26</v>
      </c>
      <c r="DI72" s="306">
        <v>6</v>
      </c>
      <c r="DJ72" s="306">
        <v>3</v>
      </c>
      <c r="DK72" s="306">
        <v>4</v>
      </c>
      <c r="DL72" s="306">
        <v>3</v>
      </c>
      <c r="DM72" s="306">
        <v>3</v>
      </c>
      <c r="DN72" s="306">
        <v>4</v>
      </c>
      <c r="DO72" s="306">
        <v>3</v>
      </c>
      <c r="DP72" s="306">
        <v>60</v>
      </c>
      <c r="DQ72" s="306">
        <v>60</v>
      </c>
    </row>
    <row r="73" spans="1:126" x14ac:dyDescent="0.2">
      <c r="A73" s="12" t="s">
        <v>142</v>
      </c>
      <c r="B73" s="169">
        <v>67</v>
      </c>
      <c r="C73" s="12" t="s">
        <v>160</v>
      </c>
      <c r="D73" s="13">
        <v>1981</v>
      </c>
      <c r="E73" s="11"/>
      <c r="F73" s="169">
        <v>84</v>
      </c>
      <c r="G73" s="35">
        <v>1</v>
      </c>
      <c r="H73" s="45">
        <v>9</v>
      </c>
      <c r="I73" s="1" t="s">
        <v>22</v>
      </c>
      <c r="J73" s="122">
        <v>14589</v>
      </c>
      <c r="K73" s="122">
        <v>616</v>
      </c>
      <c r="L73" s="122"/>
      <c r="M73" s="122">
        <v>568</v>
      </c>
      <c r="N73" s="122">
        <v>72</v>
      </c>
      <c r="O73" s="122">
        <v>142</v>
      </c>
      <c r="P73" s="122">
        <v>72</v>
      </c>
      <c r="Q73" s="122">
        <v>112</v>
      </c>
      <c r="R73" s="179">
        <f>3608.7+2.9</f>
        <v>3611.6</v>
      </c>
      <c r="S73" s="121">
        <v>2130</v>
      </c>
      <c r="T73" s="122">
        <f t="shared" si="64"/>
        <v>68</v>
      </c>
      <c r="U73" s="180">
        <f t="shared" si="65"/>
        <v>3426.2999999999997</v>
      </c>
      <c r="V73" s="180">
        <f t="shared" si="66"/>
        <v>2022.53</v>
      </c>
      <c r="W73" s="122">
        <v>4</v>
      </c>
      <c r="X73" s="180">
        <v>185.3</v>
      </c>
      <c r="Y73" s="180">
        <v>107.47</v>
      </c>
      <c r="Z73" s="122"/>
      <c r="AA73" s="180"/>
      <c r="AB73" s="180"/>
      <c r="AC73" s="180">
        <f t="shared" si="67"/>
        <v>0</v>
      </c>
      <c r="AD73" s="179">
        <f t="shared" si="68"/>
        <v>0</v>
      </c>
      <c r="AE73" s="271"/>
      <c r="AF73" s="180"/>
      <c r="AG73" s="180"/>
      <c r="AH73" s="180"/>
      <c r="AI73" s="180">
        <f t="shared" si="69"/>
        <v>3611.6</v>
      </c>
      <c r="AJ73" s="122"/>
      <c r="AK73" s="122">
        <v>2</v>
      </c>
      <c r="AL73" s="122">
        <v>2</v>
      </c>
      <c r="AM73" s="122">
        <v>2</v>
      </c>
      <c r="AN73" s="122"/>
      <c r="AO73" s="122">
        <v>2</v>
      </c>
      <c r="AP73" s="122">
        <v>3031</v>
      </c>
      <c r="AQ73" s="35">
        <v>12</v>
      </c>
      <c r="AR73" s="122">
        <f>98+42+114</f>
        <v>254</v>
      </c>
      <c r="AS73" s="122">
        <v>220</v>
      </c>
      <c r="AT73" s="122">
        <v>108</v>
      </c>
      <c r="AU73" s="122">
        <f t="shared" si="55"/>
        <v>4429</v>
      </c>
      <c r="AV73" s="122">
        <v>3967</v>
      </c>
      <c r="AW73" s="122">
        <v>462</v>
      </c>
      <c r="AX73" s="122">
        <v>1752</v>
      </c>
      <c r="AY73" s="122">
        <v>149</v>
      </c>
      <c r="AZ73" s="122">
        <v>568</v>
      </c>
      <c r="BA73" s="122">
        <v>568</v>
      </c>
      <c r="BB73" s="122">
        <v>32</v>
      </c>
      <c r="BC73" s="122">
        <v>15</v>
      </c>
      <c r="BD73" s="122">
        <v>208</v>
      </c>
      <c r="BE73" s="122">
        <v>72</v>
      </c>
      <c r="BF73" s="122">
        <v>1</v>
      </c>
      <c r="BG73" s="122">
        <v>11588</v>
      </c>
      <c r="BH73" s="122">
        <v>944</v>
      </c>
      <c r="BI73" s="122">
        <v>294</v>
      </c>
      <c r="BJ73" s="115" t="str">
        <f t="shared" si="70"/>
        <v>0</v>
      </c>
      <c r="BK73" s="115" t="str">
        <f t="shared" si="71"/>
        <v>0</v>
      </c>
      <c r="BL73" s="115" t="str">
        <f t="shared" si="72"/>
        <v>0</v>
      </c>
      <c r="BM73" s="115">
        <f t="shared" si="73"/>
        <v>1</v>
      </c>
      <c r="BN73" s="115">
        <f t="shared" si="74"/>
        <v>3611.6</v>
      </c>
      <c r="BO73" s="115">
        <f t="shared" si="75"/>
        <v>2130</v>
      </c>
      <c r="BP73" s="115" t="str">
        <f t="shared" si="76"/>
        <v>0</v>
      </c>
      <c r="BQ73" s="115" t="str">
        <f t="shared" si="77"/>
        <v>0</v>
      </c>
      <c r="BR73" s="115" t="str">
        <f t="shared" si="78"/>
        <v>0</v>
      </c>
      <c r="BS73" s="115">
        <v>2</v>
      </c>
      <c r="BT73" s="115"/>
      <c r="BU73" s="122">
        <v>568</v>
      </c>
      <c r="BV73" s="115">
        <v>170</v>
      </c>
      <c r="BW73" s="115"/>
      <c r="BX73" s="115"/>
      <c r="BY73" s="275">
        <v>1095.4000000000001</v>
      </c>
      <c r="BZ73" s="253">
        <v>603.1</v>
      </c>
      <c r="CA73" s="157">
        <v>1361</v>
      </c>
      <c r="CB73" s="275">
        <f t="shared" si="79"/>
        <v>745</v>
      </c>
      <c r="CC73" s="209">
        <f t="shared" si="57"/>
        <v>1</v>
      </c>
      <c r="CD73" s="235">
        <f t="shared" si="58"/>
        <v>3967</v>
      </c>
      <c r="CE73" s="209"/>
      <c r="CF73" s="235">
        <f t="shared" si="60"/>
        <v>462</v>
      </c>
      <c r="CG73" s="235">
        <f t="shared" si="61"/>
        <v>1</v>
      </c>
      <c r="CH73" s="235">
        <f t="shared" si="62"/>
        <v>4429</v>
      </c>
      <c r="CI73" s="14">
        <v>47</v>
      </c>
      <c r="CJ73" s="284" t="str">
        <f t="shared" si="80"/>
        <v>0</v>
      </c>
      <c r="CK73" s="284" t="str">
        <f t="shared" si="81"/>
        <v>0</v>
      </c>
      <c r="CL73" s="243">
        <f t="shared" si="82"/>
        <v>5.1306899988924588</v>
      </c>
      <c r="CM73" s="216" t="str">
        <f t="shared" si="83"/>
        <v>0</v>
      </c>
      <c r="CN73" s="216" t="str">
        <f t="shared" si="84"/>
        <v>0</v>
      </c>
      <c r="CO73" s="243">
        <f t="shared" si="85"/>
        <v>5.1306899988924588</v>
      </c>
      <c r="CP73" s="305">
        <v>1</v>
      </c>
      <c r="CQ73" s="305">
        <v>0</v>
      </c>
      <c r="CR73" s="305">
        <v>0</v>
      </c>
      <c r="CS73" s="305">
        <v>0</v>
      </c>
      <c r="CT73" s="305">
        <v>2</v>
      </c>
      <c r="CU73" s="305">
        <v>0</v>
      </c>
      <c r="CV73" s="305">
        <v>0</v>
      </c>
      <c r="CW73" s="305">
        <v>0</v>
      </c>
      <c r="CX73" s="306">
        <v>0</v>
      </c>
      <c r="CY73" s="306">
        <v>72</v>
      </c>
      <c r="CZ73" s="306">
        <f t="shared" si="63"/>
        <v>68</v>
      </c>
      <c r="DA73" s="306">
        <v>4</v>
      </c>
      <c r="DB73" s="306">
        <v>52</v>
      </c>
      <c r="DC73" s="306">
        <v>36</v>
      </c>
      <c r="DD73" s="306">
        <v>45</v>
      </c>
      <c r="DE73" s="306">
        <v>45</v>
      </c>
      <c r="DF73" s="306">
        <v>38</v>
      </c>
      <c r="DG73" s="306">
        <v>42</v>
      </c>
      <c r="DH73" s="306">
        <v>48</v>
      </c>
      <c r="DI73" s="306">
        <v>2</v>
      </c>
      <c r="DJ73" s="306">
        <v>0</v>
      </c>
      <c r="DK73" s="306">
        <v>3</v>
      </c>
      <c r="DL73" s="306">
        <v>0</v>
      </c>
      <c r="DM73" s="306">
        <v>0</v>
      </c>
      <c r="DN73" s="306">
        <v>3</v>
      </c>
      <c r="DO73" s="306">
        <v>0</v>
      </c>
      <c r="DP73" s="306">
        <v>72</v>
      </c>
      <c r="DQ73" s="306">
        <v>72</v>
      </c>
    </row>
    <row r="74" spans="1:126" x14ac:dyDescent="0.2">
      <c r="A74" s="12" t="s">
        <v>142</v>
      </c>
      <c r="B74" s="169">
        <v>68</v>
      </c>
      <c r="C74" s="12" t="s">
        <v>88</v>
      </c>
      <c r="D74" s="13">
        <v>1966</v>
      </c>
      <c r="E74" s="11"/>
      <c r="F74" s="169" t="s">
        <v>20</v>
      </c>
      <c r="G74" s="35">
        <v>1</v>
      </c>
      <c r="H74" s="45">
        <v>5</v>
      </c>
      <c r="I74" s="1" t="s">
        <v>22</v>
      </c>
      <c r="J74" s="122">
        <v>8935</v>
      </c>
      <c r="K74" s="122">
        <v>669</v>
      </c>
      <c r="L74" s="122">
        <v>781</v>
      </c>
      <c r="M74" s="122"/>
      <c r="N74" s="122">
        <v>59</v>
      </c>
      <c r="O74" s="122">
        <v>114</v>
      </c>
      <c r="P74" s="122">
        <v>59</v>
      </c>
      <c r="Q74" s="122">
        <v>100</v>
      </c>
      <c r="R74" s="179">
        <f>2541.54+0.01</f>
        <v>2541.5500000000002</v>
      </c>
      <c r="S74" s="121">
        <v>1698</v>
      </c>
      <c r="T74" s="122">
        <f t="shared" si="64"/>
        <v>57</v>
      </c>
      <c r="U74" s="180">
        <f t="shared" si="65"/>
        <v>2454.75</v>
      </c>
      <c r="V74" s="180">
        <f t="shared" si="66"/>
        <v>1640.36</v>
      </c>
      <c r="W74" s="122">
        <v>2</v>
      </c>
      <c r="X74" s="180">
        <v>86.8</v>
      </c>
      <c r="Y74" s="180">
        <v>57.64</v>
      </c>
      <c r="Z74" s="122"/>
      <c r="AA74" s="180"/>
      <c r="AB74" s="180"/>
      <c r="AC74" s="180">
        <f t="shared" si="67"/>
        <v>0</v>
      </c>
      <c r="AD74" s="179">
        <f t="shared" si="68"/>
        <v>0</v>
      </c>
      <c r="AE74" s="271"/>
      <c r="AF74" s="180"/>
      <c r="AG74" s="180"/>
      <c r="AH74" s="180"/>
      <c r="AI74" s="180">
        <f t="shared" si="69"/>
        <v>2541.5500000000002</v>
      </c>
      <c r="AJ74" s="122"/>
      <c r="AK74" s="122"/>
      <c r="AL74" s="122">
        <v>3</v>
      </c>
      <c r="AM74" s="122"/>
      <c r="AN74" s="122"/>
      <c r="AO74" s="122">
        <v>1</v>
      </c>
      <c r="AP74" s="122">
        <v>1810</v>
      </c>
      <c r="AQ74" s="35"/>
      <c r="AR74" s="122">
        <f>137+68+92</f>
        <v>297</v>
      </c>
      <c r="AS74" s="122">
        <v>180</v>
      </c>
      <c r="AT74" s="122">
        <v>38</v>
      </c>
      <c r="AU74" s="122">
        <f t="shared" si="55"/>
        <v>2193</v>
      </c>
      <c r="AV74" s="122"/>
      <c r="AW74" s="122">
        <v>2193</v>
      </c>
      <c r="AX74" s="122">
        <v>1425</v>
      </c>
      <c r="AY74" s="122">
        <v>141</v>
      </c>
      <c r="AZ74" s="122">
        <v>650</v>
      </c>
      <c r="BA74" s="122">
        <v>650</v>
      </c>
      <c r="BB74" s="122">
        <v>15</v>
      </c>
      <c r="BC74" s="122">
        <v>10</v>
      </c>
      <c r="BD74" s="122">
        <v>173</v>
      </c>
      <c r="BE74" s="122">
        <v>59</v>
      </c>
      <c r="BF74" s="122">
        <v>1</v>
      </c>
      <c r="BG74" s="122">
        <v>11274</v>
      </c>
      <c r="BH74" s="122">
        <v>219</v>
      </c>
      <c r="BI74" s="122"/>
      <c r="BJ74" s="115" t="str">
        <f t="shared" si="70"/>
        <v>0</v>
      </c>
      <c r="BK74" s="115" t="str">
        <f t="shared" si="71"/>
        <v>0</v>
      </c>
      <c r="BL74" s="115" t="str">
        <f t="shared" si="72"/>
        <v>0</v>
      </c>
      <c r="BM74" s="115">
        <f t="shared" si="73"/>
        <v>1</v>
      </c>
      <c r="BN74" s="115">
        <f t="shared" si="74"/>
        <v>2541.5500000000002</v>
      </c>
      <c r="BO74" s="115">
        <f t="shared" si="75"/>
        <v>1698</v>
      </c>
      <c r="BP74" s="115" t="str">
        <f t="shared" si="76"/>
        <v>0</v>
      </c>
      <c r="BQ74" s="115" t="str">
        <f t="shared" si="77"/>
        <v>0</v>
      </c>
      <c r="BR74" s="115" t="str">
        <f t="shared" si="78"/>
        <v>0</v>
      </c>
      <c r="BS74" s="115"/>
      <c r="BT74" s="115">
        <v>1</v>
      </c>
      <c r="BU74" s="122"/>
      <c r="BV74" s="115"/>
      <c r="BW74" s="115"/>
      <c r="BX74" s="115"/>
      <c r="BY74" s="275">
        <v>893.5</v>
      </c>
      <c r="BZ74" s="253">
        <v>203.86</v>
      </c>
      <c r="CA74" s="157">
        <v>1575</v>
      </c>
      <c r="CB74" s="275">
        <f t="shared" si="79"/>
        <v>906</v>
      </c>
      <c r="CC74" s="209" t="str">
        <f t="shared" si="57"/>
        <v>0</v>
      </c>
      <c r="CD74" s="235">
        <f t="shared" si="58"/>
        <v>0</v>
      </c>
      <c r="CE74" s="209">
        <f t="shared" ref="CE74:CE80" si="86">IF(CF74&gt;0,G74,"0")</f>
        <v>1</v>
      </c>
      <c r="CF74" s="235">
        <f t="shared" si="60"/>
        <v>2193</v>
      </c>
      <c r="CG74" s="235">
        <f t="shared" si="61"/>
        <v>1</v>
      </c>
      <c r="CH74" s="235">
        <f t="shared" si="62"/>
        <v>2193</v>
      </c>
      <c r="CI74" s="14">
        <v>54</v>
      </c>
      <c r="CJ74" s="284" t="str">
        <f t="shared" si="80"/>
        <v>0</v>
      </c>
      <c r="CK74" s="284" t="str">
        <f t="shared" si="81"/>
        <v>0</v>
      </c>
      <c r="CL74" s="243">
        <f t="shared" si="82"/>
        <v>3.4152387322696778</v>
      </c>
      <c r="CM74" s="216" t="str">
        <f t="shared" si="83"/>
        <v>0</v>
      </c>
      <c r="CN74" s="216" t="str">
        <f t="shared" si="84"/>
        <v>0</v>
      </c>
      <c r="CO74" s="243">
        <f t="shared" si="85"/>
        <v>3.4152387322696778</v>
      </c>
      <c r="CP74" s="305">
        <v>1</v>
      </c>
      <c r="CQ74" s="305">
        <v>0</v>
      </c>
      <c r="CR74" s="305">
        <v>0</v>
      </c>
      <c r="CS74" s="305">
        <v>0</v>
      </c>
      <c r="CT74" s="305">
        <v>1</v>
      </c>
      <c r="CU74" s="305">
        <v>0</v>
      </c>
      <c r="CV74" s="305">
        <v>0</v>
      </c>
      <c r="CW74" s="305">
        <v>0</v>
      </c>
      <c r="CX74" s="306">
        <v>0</v>
      </c>
      <c r="CY74" s="306">
        <v>59</v>
      </c>
      <c r="CZ74" s="306">
        <f t="shared" si="63"/>
        <v>59</v>
      </c>
      <c r="DA74" s="306">
        <v>0</v>
      </c>
      <c r="DB74" s="306">
        <v>50</v>
      </c>
      <c r="DC74" s="306">
        <v>31</v>
      </c>
      <c r="DD74" s="306">
        <v>28</v>
      </c>
      <c r="DE74" s="306">
        <v>31</v>
      </c>
      <c r="DF74" s="306">
        <v>33</v>
      </c>
      <c r="DG74" s="306">
        <v>26</v>
      </c>
      <c r="DH74" s="306">
        <v>33</v>
      </c>
      <c r="DI74" s="306">
        <v>0</v>
      </c>
      <c r="DJ74" s="306">
        <v>0</v>
      </c>
      <c r="DK74" s="306">
        <v>0</v>
      </c>
      <c r="DL74" s="306">
        <v>0</v>
      </c>
      <c r="DM74" s="306">
        <v>0</v>
      </c>
      <c r="DN74" s="306">
        <v>0</v>
      </c>
      <c r="DO74" s="306">
        <v>0</v>
      </c>
      <c r="DP74" s="306">
        <v>59</v>
      </c>
      <c r="DQ74" s="306">
        <v>59</v>
      </c>
    </row>
    <row r="75" spans="1:126" x14ac:dyDescent="0.2">
      <c r="A75" s="12" t="s">
        <v>142</v>
      </c>
      <c r="B75" s="169">
        <v>69</v>
      </c>
      <c r="C75" s="12" t="s">
        <v>161</v>
      </c>
      <c r="D75" s="13">
        <v>1970</v>
      </c>
      <c r="E75" s="11"/>
      <c r="F75" s="169" t="s">
        <v>13</v>
      </c>
      <c r="G75" s="35">
        <v>1</v>
      </c>
      <c r="H75" s="45">
        <v>5</v>
      </c>
      <c r="I75" s="1" t="s">
        <v>19</v>
      </c>
      <c r="J75" s="122">
        <v>10021</v>
      </c>
      <c r="K75" s="122">
        <v>715</v>
      </c>
      <c r="L75" s="122">
        <v>834</v>
      </c>
      <c r="M75" s="122"/>
      <c r="N75" s="122">
        <v>59</v>
      </c>
      <c r="O75" s="122">
        <v>115</v>
      </c>
      <c r="P75" s="122">
        <v>59</v>
      </c>
      <c r="Q75" s="122">
        <v>105</v>
      </c>
      <c r="R75" s="179">
        <f>2527+0.04</f>
        <v>2527.04</v>
      </c>
      <c r="S75" s="121">
        <v>1643</v>
      </c>
      <c r="T75" s="122">
        <f t="shared" si="64"/>
        <v>54</v>
      </c>
      <c r="U75" s="180">
        <f t="shared" si="65"/>
        <v>2311.77</v>
      </c>
      <c r="V75" s="180">
        <f t="shared" si="66"/>
        <v>1501.03</v>
      </c>
      <c r="W75" s="122">
        <v>5</v>
      </c>
      <c r="X75" s="180">
        <v>215.27</v>
      </c>
      <c r="Y75" s="180">
        <v>141.97</v>
      </c>
      <c r="Z75" s="122"/>
      <c r="AA75" s="180"/>
      <c r="AB75" s="180"/>
      <c r="AC75" s="180">
        <f t="shared" si="67"/>
        <v>0</v>
      </c>
      <c r="AD75" s="179">
        <f t="shared" si="68"/>
        <v>0</v>
      </c>
      <c r="AE75" s="271"/>
      <c r="AF75" s="180"/>
      <c r="AG75" s="180"/>
      <c r="AH75" s="180"/>
      <c r="AI75" s="180">
        <f t="shared" si="69"/>
        <v>2527.04</v>
      </c>
      <c r="AJ75" s="122"/>
      <c r="AK75" s="122"/>
      <c r="AL75" s="122">
        <v>3</v>
      </c>
      <c r="AM75" s="122"/>
      <c r="AN75" s="122"/>
      <c r="AO75" s="122">
        <v>1</v>
      </c>
      <c r="AP75" s="122">
        <v>1910</v>
      </c>
      <c r="AQ75" s="35"/>
      <c r="AR75" s="122">
        <f>68+34+92</f>
        <v>194</v>
      </c>
      <c r="AS75" s="122">
        <v>150</v>
      </c>
      <c r="AT75" s="122">
        <v>38</v>
      </c>
      <c r="AU75" s="122">
        <f t="shared" si="55"/>
        <v>2193</v>
      </c>
      <c r="AV75" s="122"/>
      <c r="AW75" s="122">
        <v>2193</v>
      </c>
      <c r="AX75" s="122"/>
      <c r="AY75" s="122">
        <v>83</v>
      </c>
      <c r="AZ75" s="122">
        <v>698</v>
      </c>
      <c r="BA75" s="122">
        <v>698</v>
      </c>
      <c r="BB75" s="122">
        <v>15</v>
      </c>
      <c r="BC75" s="122">
        <v>10</v>
      </c>
      <c r="BD75" s="122">
        <v>178</v>
      </c>
      <c r="BE75" s="122">
        <v>59</v>
      </c>
      <c r="BF75" s="122">
        <v>3</v>
      </c>
      <c r="BG75" s="122">
        <v>11154</v>
      </c>
      <c r="BH75" s="122">
        <v>369</v>
      </c>
      <c r="BI75" s="122"/>
      <c r="BJ75" s="115">
        <f t="shared" si="70"/>
        <v>1</v>
      </c>
      <c r="BK75" s="115">
        <f t="shared" si="71"/>
        <v>2527.04</v>
      </c>
      <c r="BL75" s="115">
        <f t="shared" si="72"/>
        <v>1643</v>
      </c>
      <c r="BM75" s="115" t="str">
        <f t="shared" si="73"/>
        <v>0</v>
      </c>
      <c r="BN75" s="115" t="str">
        <f t="shared" si="74"/>
        <v>0</v>
      </c>
      <c r="BO75" s="115" t="str">
        <f t="shared" si="75"/>
        <v>0</v>
      </c>
      <c r="BP75" s="115" t="str">
        <f t="shared" si="76"/>
        <v>0</v>
      </c>
      <c r="BQ75" s="115" t="str">
        <f t="shared" si="77"/>
        <v>0</v>
      </c>
      <c r="BR75" s="115" t="str">
        <f t="shared" si="78"/>
        <v>0</v>
      </c>
      <c r="BS75" s="115">
        <v>1</v>
      </c>
      <c r="BT75" s="115">
        <v>1</v>
      </c>
      <c r="BU75" s="122"/>
      <c r="BV75" s="115"/>
      <c r="BW75" s="115"/>
      <c r="BX75" s="115">
        <f>AP75</f>
        <v>1910</v>
      </c>
      <c r="BY75" s="275">
        <v>892.61999999999989</v>
      </c>
      <c r="BZ75" s="253">
        <v>186.17</v>
      </c>
      <c r="CA75" s="157">
        <v>1755</v>
      </c>
      <c r="CB75" s="275">
        <f t="shared" si="79"/>
        <v>1040</v>
      </c>
      <c r="CC75" s="209" t="str">
        <f t="shared" si="57"/>
        <v>0</v>
      </c>
      <c r="CD75" s="235">
        <f t="shared" si="58"/>
        <v>0</v>
      </c>
      <c r="CE75" s="209">
        <f t="shared" si="86"/>
        <v>1</v>
      </c>
      <c r="CF75" s="235">
        <f t="shared" si="60"/>
        <v>2193</v>
      </c>
      <c r="CG75" s="235">
        <f t="shared" si="61"/>
        <v>1</v>
      </c>
      <c r="CH75" s="235">
        <f t="shared" si="62"/>
        <v>2193</v>
      </c>
      <c r="CI75" s="14">
        <v>46</v>
      </c>
      <c r="CJ75" s="284" t="str">
        <f t="shared" si="80"/>
        <v>0</v>
      </c>
      <c r="CK75" s="284" t="str">
        <f t="shared" si="81"/>
        <v>0</v>
      </c>
      <c r="CL75" s="243">
        <f t="shared" si="82"/>
        <v>8.5186621501836139</v>
      </c>
      <c r="CM75" s="216" t="str">
        <f t="shared" si="83"/>
        <v>0</v>
      </c>
      <c r="CN75" s="216" t="str">
        <f t="shared" si="84"/>
        <v>0</v>
      </c>
      <c r="CO75" s="243">
        <f t="shared" si="85"/>
        <v>8.5186621501836139</v>
      </c>
      <c r="CP75" s="305">
        <v>1</v>
      </c>
      <c r="CQ75" s="305">
        <v>0</v>
      </c>
      <c r="CR75" s="305">
        <v>0</v>
      </c>
      <c r="CS75" s="305">
        <v>0</v>
      </c>
      <c r="CT75" s="305">
        <v>1</v>
      </c>
      <c r="CU75" s="305">
        <v>0</v>
      </c>
      <c r="CV75" s="305">
        <v>0</v>
      </c>
      <c r="CW75" s="305">
        <v>0</v>
      </c>
      <c r="CX75" s="306">
        <v>0</v>
      </c>
      <c r="CY75" s="306">
        <v>59</v>
      </c>
      <c r="CZ75" s="306">
        <f t="shared" si="63"/>
        <v>54</v>
      </c>
      <c r="DA75" s="306">
        <v>5</v>
      </c>
      <c r="DB75" s="306">
        <v>36</v>
      </c>
      <c r="DC75" s="306">
        <v>26</v>
      </c>
      <c r="DD75" s="306">
        <v>33</v>
      </c>
      <c r="DE75" s="306">
        <v>26</v>
      </c>
      <c r="DF75" s="306">
        <v>26</v>
      </c>
      <c r="DG75" s="306">
        <v>32</v>
      </c>
      <c r="DH75" s="306">
        <v>27</v>
      </c>
      <c r="DI75" s="306">
        <v>4</v>
      </c>
      <c r="DJ75" s="306">
        <v>3</v>
      </c>
      <c r="DK75" s="306">
        <v>1</v>
      </c>
      <c r="DL75" s="306">
        <v>3</v>
      </c>
      <c r="DM75" s="306">
        <v>3</v>
      </c>
      <c r="DN75" s="306">
        <v>1</v>
      </c>
      <c r="DO75" s="306">
        <v>3</v>
      </c>
      <c r="DP75" s="306">
        <v>59</v>
      </c>
      <c r="DQ75" s="306">
        <v>59</v>
      </c>
    </row>
    <row r="76" spans="1:126" x14ac:dyDescent="0.2">
      <c r="A76" s="12" t="s">
        <v>142</v>
      </c>
      <c r="B76" s="169">
        <v>70</v>
      </c>
      <c r="C76" s="12" t="s">
        <v>89</v>
      </c>
      <c r="D76" s="13">
        <v>1966</v>
      </c>
      <c r="E76" s="11"/>
      <c r="F76" s="169" t="s">
        <v>20</v>
      </c>
      <c r="G76" s="35">
        <v>1</v>
      </c>
      <c r="H76" s="45">
        <v>5</v>
      </c>
      <c r="I76" s="1" t="s">
        <v>22</v>
      </c>
      <c r="J76" s="122">
        <v>9077</v>
      </c>
      <c r="K76" s="122">
        <v>675</v>
      </c>
      <c r="L76" s="122">
        <v>787</v>
      </c>
      <c r="M76" s="122"/>
      <c r="N76" s="122">
        <v>60</v>
      </c>
      <c r="O76" s="122">
        <v>115</v>
      </c>
      <c r="P76" s="122">
        <v>60</v>
      </c>
      <c r="Q76" s="122">
        <v>117</v>
      </c>
      <c r="R76" s="179">
        <v>2593.9</v>
      </c>
      <c r="S76" s="121">
        <v>1771</v>
      </c>
      <c r="T76" s="122">
        <f t="shared" si="64"/>
        <v>51</v>
      </c>
      <c r="U76" s="180">
        <f t="shared" si="65"/>
        <v>2206.7000000000003</v>
      </c>
      <c r="V76" s="180">
        <f t="shared" si="66"/>
        <v>1496.09</v>
      </c>
      <c r="W76" s="122">
        <v>9</v>
      </c>
      <c r="X76" s="180">
        <v>387.2</v>
      </c>
      <c r="Y76" s="180">
        <v>274.91000000000003</v>
      </c>
      <c r="Z76" s="122"/>
      <c r="AA76" s="180"/>
      <c r="AB76" s="180"/>
      <c r="AC76" s="180">
        <f t="shared" si="67"/>
        <v>0</v>
      </c>
      <c r="AD76" s="179">
        <f t="shared" si="68"/>
        <v>0</v>
      </c>
      <c r="AE76" s="271"/>
      <c r="AF76" s="180"/>
      <c r="AG76" s="180"/>
      <c r="AH76" s="180"/>
      <c r="AI76" s="180">
        <f t="shared" si="69"/>
        <v>2593.9</v>
      </c>
      <c r="AJ76" s="122"/>
      <c r="AK76" s="122"/>
      <c r="AL76" s="122">
        <v>3</v>
      </c>
      <c r="AM76" s="122"/>
      <c r="AN76" s="122"/>
      <c r="AO76" s="122">
        <v>1</v>
      </c>
      <c r="AP76" s="122">
        <v>1813</v>
      </c>
      <c r="AQ76" s="35"/>
      <c r="AR76" s="122">
        <f>136+68+117</f>
        <v>321</v>
      </c>
      <c r="AS76" s="122">
        <v>166</v>
      </c>
      <c r="AT76" s="122">
        <v>38</v>
      </c>
      <c r="AU76" s="122">
        <f t="shared" si="55"/>
        <v>2193</v>
      </c>
      <c r="AV76" s="122"/>
      <c r="AW76" s="122">
        <v>2193</v>
      </c>
      <c r="AX76" s="122">
        <v>1425</v>
      </c>
      <c r="AY76" s="122">
        <v>143</v>
      </c>
      <c r="AZ76" s="122">
        <v>655</v>
      </c>
      <c r="BA76" s="122">
        <v>655</v>
      </c>
      <c r="BB76" s="122">
        <v>15</v>
      </c>
      <c r="BC76" s="122">
        <v>10</v>
      </c>
      <c r="BD76" s="122">
        <v>178</v>
      </c>
      <c r="BE76" s="122">
        <v>60</v>
      </c>
      <c r="BF76" s="122">
        <v>1</v>
      </c>
      <c r="BG76" s="122">
        <v>11274</v>
      </c>
      <c r="BH76" s="122">
        <v>219</v>
      </c>
      <c r="BI76" s="122"/>
      <c r="BJ76" s="115" t="str">
        <f t="shared" si="70"/>
        <v>0</v>
      </c>
      <c r="BK76" s="115" t="str">
        <f t="shared" si="71"/>
        <v>0</v>
      </c>
      <c r="BL76" s="115" t="str">
        <f t="shared" si="72"/>
        <v>0</v>
      </c>
      <c r="BM76" s="115">
        <f t="shared" si="73"/>
        <v>1</v>
      </c>
      <c r="BN76" s="115">
        <f t="shared" si="74"/>
        <v>2593.9</v>
      </c>
      <c r="BO76" s="115">
        <f t="shared" si="75"/>
        <v>1771</v>
      </c>
      <c r="BP76" s="115" t="str">
        <f t="shared" si="76"/>
        <v>0</v>
      </c>
      <c r="BQ76" s="115" t="str">
        <f t="shared" si="77"/>
        <v>0</v>
      </c>
      <c r="BR76" s="115" t="str">
        <f t="shared" si="78"/>
        <v>0</v>
      </c>
      <c r="BS76" s="115"/>
      <c r="BT76" s="115">
        <v>1</v>
      </c>
      <c r="BU76" s="122"/>
      <c r="BV76" s="115"/>
      <c r="BW76" s="115"/>
      <c r="BX76" s="115"/>
      <c r="BY76" s="275">
        <v>858.7</v>
      </c>
      <c r="BZ76" s="253">
        <v>203.3</v>
      </c>
      <c r="CA76" s="157">
        <v>1583</v>
      </c>
      <c r="CB76" s="275">
        <f t="shared" si="79"/>
        <v>908</v>
      </c>
      <c r="CC76" s="209" t="str">
        <f t="shared" si="57"/>
        <v>0</v>
      </c>
      <c r="CD76" s="235">
        <f t="shared" si="58"/>
        <v>0</v>
      </c>
      <c r="CE76" s="209">
        <f t="shared" si="86"/>
        <v>1</v>
      </c>
      <c r="CF76" s="235">
        <f t="shared" si="60"/>
        <v>2193</v>
      </c>
      <c r="CG76" s="235">
        <f t="shared" si="61"/>
        <v>1</v>
      </c>
      <c r="CH76" s="235">
        <f t="shared" si="62"/>
        <v>2193</v>
      </c>
      <c r="CI76" s="14">
        <v>53</v>
      </c>
      <c r="CJ76" s="284" t="str">
        <f t="shared" si="80"/>
        <v>0</v>
      </c>
      <c r="CK76" s="284" t="str">
        <f t="shared" si="81"/>
        <v>0</v>
      </c>
      <c r="CL76" s="243">
        <f t="shared" si="82"/>
        <v>14.927329503835921</v>
      </c>
      <c r="CM76" s="216" t="str">
        <f t="shared" si="83"/>
        <v>0</v>
      </c>
      <c r="CN76" s="216" t="str">
        <f t="shared" si="84"/>
        <v>0</v>
      </c>
      <c r="CO76" s="243">
        <f t="shared" si="85"/>
        <v>14.927329503835921</v>
      </c>
      <c r="CP76" s="305">
        <v>1</v>
      </c>
      <c r="CQ76" s="305">
        <v>0</v>
      </c>
      <c r="CR76" s="305">
        <v>0</v>
      </c>
      <c r="CS76" s="305">
        <v>0</v>
      </c>
      <c r="CT76" s="305">
        <v>1</v>
      </c>
      <c r="CU76" s="305">
        <v>0</v>
      </c>
      <c r="CV76" s="305">
        <v>0</v>
      </c>
      <c r="CW76" s="305">
        <v>0</v>
      </c>
      <c r="CX76" s="306">
        <v>0</v>
      </c>
      <c r="CY76" s="306">
        <v>60</v>
      </c>
      <c r="CZ76" s="306">
        <f t="shared" si="63"/>
        <v>52</v>
      </c>
      <c r="DA76" s="306">
        <v>8</v>
      </c>
      <c r="DB76" s="306">
        <v>50</v>
      </c>
      <c r="DC76" s="306">
        <v>30</v>
      </c>
      <c r="DD76" s="306">
        <v>29</v>
      </c>
      <c r="DE76" s="306">
        <v>31</v>
      </c>
      <c r="DF76" s="306">
        <v>29</v>
      </c>
      <c r="DG76" s="306">
        <v>31</v>
      </c>
      <c r="DH76" s="306">
        <v>29</v>
      </c>
      <c r="DI76" s="306">
        <v>6</v>
      </c>
      <c r="DJ76" s="306">
        <v>3</v>
      </c>
      <c r="DK76" s="306">
        <v>5</v>
      </c>
      <c r="DL76" s="306">
        <v>3</v>
      </c>
      <c r="DM76" s="306">
        <v>3</v>
      </c>
      <c r="DN76" s="306">
        <v>5</v>
      </c>
      <c r="DO76" s="306">
        <v>3</v>
      </c>
      <c r="DP76" s="306">
        <v>60</v>
      </c>
      <c r="DQ76" s="306">
        <v>60</v>
      </c>
    </row>
    <row r="77" spans="1:126" x14ac:dyDescent="0.2">
      <c r="A77" s="12" t="s">
        <v>142</v>
      </c>
      <c r="B77" s="169">
        <v>71</v>
      </c>
      <c r="C77" s="12" t="s">
        <v>90</v>
      </c>
      <c r="D77" s="13">
        <v>1970</v>
      </c>
      <c r="E77" s="11"/>
      <c r="F77" s="169" t="s">
        <v>13</v>
      </c>
      <c r="G77" s="35">
        <v>1</v>
      </c>
      <c r="H77" s="45">
        <v>5</v>
      </c>
      <c r="I77" s="1" t="s">
        <v>19</v>
      </c>
      <c r="J77" s="122">
        <v>12634</v>
      </c>
      <c r="K77" s="122">
        <v>911</v>
      </c>
      <c r="L77" s="122">
        <v>1051</v>
      </c>
      <c r="M77" s="122"/>
      <c r="N77" s="122">
        <v>76</v>
      </c>
      <c r="O77" s="122">
        <v>139</v>
      </c>
      <c r="P77" s="122">
        <v>76</v>
      </c>
      <c r="Q77" s="122">
        <v>129</v>
      </c>
      <c r="R77" s="179">
        <f>3140.08+0.01</f>
        <v>3140.09</v>
      </c>
      <c r="S77" s="121">
        <v>2096.25</v>
      </c>
      <c r="T77" s="122">
        <f t="shared" si="64"/>
        <v>69</v>
      </c>
      <c r="U77" s="180">
        <f t="shared" si="65"/>
        <v>2839.7400000000002</v>
      </c>
      <c r="V77" s="180">
        <f t="shared" si="66"/>
        <v>1891.27</v>
      </c>
      <c r="W77" s="122">
        <v>7</v>
      </c>
      <c r="X77" s="180">
        <v>300.35000000000002</v>
      </c>
      <c r="Y77" s="180">
        <v>204.98</v>
      </c>
      <c r="Z77" s="122"/>
      <c r="AA77" s="180"/>
      <c r="AB77" s="180"/>
      <c r="AC77" s="180">
        <f t="shared" si="67"/>
        <v>0</v>
      </c>
      <c r="AD77" s="179">
        <f t="shared" si="68"/>
        <v>0</v>
      </c>
      <c r="AE77" s="271"/>
      <c r="AF77" s="180"/>
      <c r="AG77" s="180"/>
      <c r="AH77" s="180"/>
      <c r="AI77" s="180">
        <f t="shared" si="69"/>
        <v>3140.09</v>
      </c>
      <c r="AJ77" s="122"/>
      <c r="AK77" s="122"/>
      <c r="AL77" s="122">
        <v>4</v>
      </c>
      <c r="AM77" s="122"/>
      <c r="AN77" s="122"/>
      <c r="AO77" s="122">
        <v>1</v>
      </c>
      <c r="AP77" s="122">
        <v>2329</v>
      </c>
      <c r="AQ77" s="35"/>
      <c r="AR77" s="122">
        <f>46+32+127</f>
        <v>205</v>
      </c>
      <c r="AS77" s="122">
        <v>326</v>
      </c>
      <c r="AT77" s="122">
        <v>51</v>
      </c>
      <c r="AU77" s="122">
        <f t="shared" si="55"/>
        <v>2923</v>
      </c>
      <c r="AV77" s="122"/>
      <c r="AW77" s="122">
        <v>2923</v>
      </c>
      <c r="AX77" s="122"/>
      <c r="AY77" s="122">
        <v>107</v>
      </c>
      <c r="AZ77" s="122">
        <v>884</v>
      </c>
      <c r="BA77" s="122">
        <v>884</v>
      </c>
      <c r="BB77" s="122">
        <v>20</v>
      </c>
      <c r="BC77" s="122">
        <v>13</v>
      </c>
      <c r="BD77" s="122">
        <v>220</v>
      </c>
      <c r="BE77" s="122">
        <v>76</v>
      </c>
      <c r="BF77" s="122">
        <v>4</v>
      </c>
      <c r="BG77" s="122">
        <v>14872</v>
      </c>
      <c r="BH77" s="122">
        <v>492</v>
      </c>
      <c r="BI77" s="122"/>
      <c r="BJ77" s="115">
        <f t="shared" si="70"/>
        <v>1</v>
      </c>
      <c r="BK77" s="115">
        <f t="shared" si="71"/>
        <v>3140.09</v>
      </c>
      <c r="BL77" s="115">
        <f t="shared" si="72"/>
        <v>2096.25</v>
      </c>
      <c r="BM77" s="115" t="str">
        <f t="shared" si="73"/>
        <v>0</v>
      </c>
      <c r="BN77" s="115" t="str">
        <f t="shared" si="74"/>
        <v>0</v>
      </c>
      <c r="BO77" s="115" t="str">
        <f t="shared" si="75"/>
        <v>0</v>
      </c>
      <c r="BP77" s="115" t="str">
        <f t="shared" si="76"/>
        <v>0</v>
      </c>
      <c r="BQ77" s="115" t="str">
        <f t="shared" si="77"/>
        <v>0</v>
      </c>
      <c r="BR77" s="115" t="str">
        <f t="shared" si="78"/>
        <v>0</v>
      </c>
      <c r="BS77" s="115">
        <v>2</v>
      </c>
      <c r="BT77" s="115"/>
      <c r="BU77" s="122"/>
      <c r="BV77" s="115"/>
      <c r="BW77" s="115"/>
      <c r="BX77" s="115">
        <f>AP77</f>
        <v>2329</v>
      </c>
      <c r="BY77" s="275">
        <v>1183.08</v>
      </c>
      <c r="BZ77" s="253">
        <v>288.77999999999997</v>
      </c>
      <c r="CA77" s="157">
        <v>2481</v>
      </c>
      <c r="CB77" s="275">
        <f t="shared" si="79"/>
        <v>1570</v>
      </c>
      <c r="CC77" s="209" t="str">
        <f t="shared" si="57"/>
        <v>0</v>
      </c>
      <c r="CD77" s="235">
        <f t="shared" si="58"/>
        <v>0</v>
      </c>
      <c r="CE77" s="209">
        <f t="shared" si="86"/>
        <v>1</v>
      </c>
      <c r="CF77" s="235">
        <f t="shared" si="60"/>
        <v>2923</v>
      </c>
      <c r="CG77" s="235">
        <f t="shared" si="61"/>
        <v>1</v>
      </c>
      <c r="CH77" s="235">
        <f t="shared" si="62"/>
        <v>2923</v>
      </c>
      <c r="CI77" s="14">
        <v>46</v>
      </c>
      <c r="CJ77" s="284" t="str">
        <f t="shared" si="80"/>
        <v>0</v>
      </c>
      <c r="CK77" s="284" t="str">
        <f t="shared" si="81"/>
        <v>0</v>
      </c>
      <c r="CL77" s="243">
        <f t="shared" si="82"/>
        <v>9.5650124677955102</v>
      </c>
      <c r="CM77" s="216" t="str">
        <f t="shared" si="83"/>
        <v>0</v>
      </c>
      <c r="CN77" s="216" t="str">
        <f t="shared" si="84"/>
        <v>0</v>
      </c>
      <c r="CO77" s="243">
        <f t="shared" si="85"/>
        <v>9.5650124677955102</v>
      </c>
      <c r="CP77" s="305">
        <v>1</v>
      </c>
      <c r="CQ77" s="305">
        <v>0</v>
      </c>
      <c r="CR77" s="305">
        <v>0</v>
      </c>
      <c r="CS77" s="305">
        <v>0</v>
      </c>
      <c r="CT77" s="305">
        <v>1</v>
      </c>
      <c r="CU77" s="305">
        <v>0</v>
      </c>
      <c r="CV77" s="305">
        <v>0</v>
      </c>
      <c r="CW77" s="305">
        <v>0</v>
      </c>
      <c r="CX77" s="306">
        <v>0</v>
      </c>
      <c r="CY77" s="306">
        <v>76</v>
      </c>
      <c r="CZ77" s="306">
        <f t="shared" si="63"/>
        <v>69</v>
      </c>
      <c r="DA77" s="306">
        <v>7</v>
      </c>
      <c r="DB77" s="306">
        <v>48</v>
      </c>
      <c r="DC77" s="306">
        <v>36</v>
      </c>
      <c r="DD77" s="306">
        <v>40</v>
      </c>
      <c r="DE77" s="306">
        <v>36</v>
      </c>
      <c r="DF77" s="306">
        <v>37</v>
      </c>
      <c r="DG77" s="306">
        <v>38</v>
      </c>
      <c r="DH77" s="306">
        <v>38</v>
      </c>
      <c r="DI77" s="306">
        <v>4</v>
      </c>
      <c r="DJ77" s="306">
        <v>3</v>
      </c>
      <c r="DK77" s="306">
        <v>4</v>
      </c>
      <c r="DL77" s="306">
        <v>3</v>
      </c>
      <c r="DM77" s="306">
        <v>3</v>
      </c>
      <c r="DN77" s="306">
        <v>4</v>
      </c>
      <c r="DO77" s="306">
        <v>3</v>
      </c>
      <c r="DP77" s="306">
        <v>76</v>
      </c>
      <c r="DQ77" s="306">
        <v>76</v>
      </c>
    </row>
    <row r="78" spans="1:126" x14ac:dyDescent="0.2">
      <c r="A78" s="27" t="s">
        <v>142</v>
      </c>
      <c r="B78" s="169">
        <v>72</v>
      </c>
      <c r="C78" s="12" t="s">
        <v>91</v>
      </c>
      <c r="D78" s="13">
        <v>1971</v>
      </c>
      <c r="E78" s="11"/>
      <c r="F78" s="169" t="s">
        <v>13</v>
      </c>
      <c r="G78" s="35">
        <v>1</v>
      </c>
      <c r="H78" s="45">
        <v>5</v>
      </c>
      <c r="I78" s="1" t="s">
        <v>19</v>
      </c>
      <c r="J78" s="122">
        <v>9968</v>
      </c>
      <c r="K78" s="122">
        <v>718</v>
      </c>
      <c r="L78" s="122">
        <v>833</v>
      </c>
      <c r="M78" s="122"/>
      <c r="N78" s="122">
        <v>56</v>
      </c>
      <c r="O78" s="122">
        <v>110</v>
      </c>
      <c r="P78" s="122">
        <v>56</v>
      </c>
      <c r="Q78" s="122">
        <v>117</v>
      </c>
      <c r="R78" s="179">
        <v>2339.14</v>
      </c>
      <c r="S78" s="121">
        <v>1508.43</v>
      </c>
      <c r="T78" s="122">
        <f t="shared" si="64"/>
        <v>53</v>
      </c>
      <c r="U78" s="180">
        <f t="shared" si="65"/>
        <v>2223.85</v>
      </c>
      <c r="V78" s="180">
        <f t="shared" si="66"/>
        <v>1433.49</v>
      </c>
      <c r="W78" s="122">
        <v>3</v>
      </c>
      <c r="X78" s="180">
        <v>115.29</v>
      </c>
      <c r="Y78" s="180">
        <v>74.94</v>
      </c>
      <c r="Z78" s="122"/>
      <c r="AA78" s="180"/>
      <c r="AB78" s="180"/>
      <c r="AC78" s="180">
        <f t="shared" si="67"/>
        <v>133.4</v>
      </c>
      <c r="AD78" s="179">
        <f t="shared" si="68"/>
        <v>0</v>
      </c>
      <c r="AE78" s="271"/>
      <c r="AF78" s="180"/>
      <c r="AG78" s="179">
        <v>133.4</v>
      </c>
      <c r="AH78" s="179"/>
      <c r="AI78" s="180">
        <f t="shared" si="69"/>
        <v>2472.54</v>
      </c>
      <c r="AJ78" s="122"/>
      <c r="AK78" s="122"/>
      <c r="AL78" s="122">
        <v>3</v>
      </c>
      <c r="AM78" s="122"/>
      <c r="AN78" s="122"/>
      <c r="AO78" s="122">
        <v>1</v>
      </c>
      <c r="AP78" s="122">
        <v>1916</v>
      </c>
      <c r="AQ78" s="35"/>
      <c r="AR78" s="122">
        <f>76+52+104</f>
        <v>232</v>
      </c>
      <c r="AS78" s="122">
        <v>186</v>
      </c>
      <c r="AT78" s="122">
        <v>38</v>
      </c>
      <c r="AU78" s="122">
        <f t="shared" si="55"/>
        <v>2193</v>
      </c>
      <c r="AV78" s="122"/>
      <c r="AW78" s="122">
        <v>2193</v>
      </c>
      <c r="AX78" s="122"/>
      <c r="AY78" s="122">
        <v>86</v>
      </c>
      <c r="AZ78" s="122">
        <v>697</v>
      </c>
      <c r="BA78" s="122">
        <v>697</v>
      </c>
      <c r="BB78" s="122">
        <v>15</v>
      </c>
      <c r="BC78" s="122">
        <v>10</v>
      </c>
      <c r="BD78" s="122">
        <v>180</v>
      </c>
      <c r="BE78" s="122">
        <v>59</v>
      </c>
      <c r="BF78" s="122">
        <v>3</v>
      </c>
      <c r="BG78" s="122">
        <v>11154</v>
      </c>
      <c r="BH78" s="122">
        <v>369</v>
      </c>
      <c r="BI78" s="122"/>
      <c r="BJ78" s="115">
        <f t="shared" si="70"/>
        <v>1</v>
      </c>
      <c r="BK78" s="115">
        <f t="shared" si="71"/>
        <v>2339.14</v>
      </c>
      <c r="BL78" s="115">
        <f t="shared" si="72"/>
        <v>1508.43</v>
      </c>
      <c r="BM78" s="115" t="str">
        <f t="shared" si="73"/>
        <v>0</v>
      </c>
      <c r="BN78" s="115" t="str">
        <f t="shared" si="74"/>
        <v>0</v>
      </c>
      <c r="BO78" s="115" t="str">
        <f t="shared" si="75"/>
        <v>0</v>
      </c>
      <c r="BP78" s="115" t="str">
        <f t="shared" si="76"/>
        <v>0</v>
      </c>
      <c r="BQ78" s="115" t="str">
        <f t="shared" si="77"/>
        <v>0</v>
      </c>
      <c r="BR78" s="115" t="str">
        <f t="shared" si="78"/>
        <v>0</v>
      </c>
      <c r="BS78" s="115">
        <v>1</v>
      </c>
      <c r="BT78" s="115"/>
      <c r="BU78" s="122"/>
      <c r="BV78" s="115"/>
      <c r="BW78" s="115"/>
      <c r="BX78" s="115">
        <f>AP78</f>
        <v>1916</v>
      </c>
      <c r="BY78" s="275">
        <v>916.42</v>
      </c>
      <c r="BZ78" s="253">
        <v>179.62</v>
      </c>
      <c r="CA78" s="157">
        <v>2346</v>
      </c>
      <c r="CB78" s="275">
        <f t="shared" si="79"/>
        <v>1628</v>
      </c>
      <c r="CC78" s="209" t="str">
        <f t="shared" si="57"/>
        <v>0</v>
      </c>
      <c r="CD78" s="235">
        <f t="shared" si="58"/>
        <v>0</v>
      </c>
      <c r="CE78" s="209">
        <f t="shared" si="86"/>
        <v>1</v>
      </c>
      <c r="CF78" s="235">
        <f t="shared" si="60"/>
        <v>2193</v>
      </c>
      <c r="CG78" s="235">
        <f t="shared" si="61"/>
        <v>1</v>
      </c>
      <c r="CH78" s="235">
        <f t="shared" si="62"/>
        <v>2193</v>
      </c>
      <c r="CI78" s="14">
        <v>43</v>
      </c>
      <c r="CJ78" s="284" t="str">
        <f t="shared" si="80"/>
        <v>0</v>
      </c>
      <c r="CK78" s="284" t="str">
        <f t="shared" si="81"/>
        <v>0</v>
      </c>
      <c r="CL78" s="243">
        <f t="shared" si="82"/>
        <v>4.9287344921637875</v>
      </c>
      <c r="CM78" s="216" t="str">
        <f t="shared" si="83"/>
        <v>0</v>
      </c>
      <c r="CN78" s="216" t="str">
        <f t="shared" si="84"/>
        <v>0</v>
      </c>
      <c r="CO78" s="243">
        <f t="shared" si="85"/>
        <v>4.6628163750636995</v>
      </c>
      <c r="CP78" s="305">
        <v>1</v>
      </c>
      <c r="CQ78" s="305">
        <v>0</v>
      </c>
      <c r="CR78" s="305">
        <v>0</v>
      </c>
      <c r="CS78" s="305">
        <v>0</v>
      </c>
      <c r="CT78" s="305">
        <v>1</v>
      </c>
      <c r="CU78" s="305">
        <v>0</v>
      </c>
      <c r="CV78" s="305">
        <v>0</v>
      </c>
      <c r="CW78" s="305">
        <v>0</v>
      </c>
      <c r="CX78" s="306">
        <v>0</v>
      </c>
      <c r="CY78" s="306">
        <v>57</v>
      </c>
      <c r="CZ78" s="306">
        <f t="shared" si="63"/>
        <v>51</v>
      </c>
      <c r="DA78" s="306">
        <v>6</v>
      </c>
      <c r="DB78" s="306">
        <v>32</v>
      </c>
      <c r="DC78" s="306">
        <v>24</v>
      </c>
      <c r="DD78" s="306">
        <v>32</v>
      </c>
      <c r="DE78" s="306">
        <v>24</v>
      </c>
      <c r="DF78" s="306">
        <v>25</v>
      </c>
      <c r="DG78" s="306">
        <v>31</v>
      </c>
      <c r="DH78" s="306">
        <v>25</v>
      </c>
      <c r="DI78" s="306">
        <v>3</v>
      </c>
      <c r="DJ78" s="306">
        <v>2</v>
      </c>
      <c r="DK78" s="306">
        <v>4</v>
      </c>
      <c r="DL78" s="306">
        <v>2</v>
      </c>
      <c r="DM78" s="306">
        <v>2</v>
      </c>
      <c r="DN78" s="306">
        <v>4</v>
      </c>
      <c r="DO78" s="306">
        <v>2</v>
      </c>
      <c r="DP78" s="306">
        <v>57</v>
      </c>
      <c r="DQ78" s="306">
        <v>57</v>
      </c>
    </row>
    <row r="79" spans="1:126" x14ac:dyDescent="0.2">
      <c r="A79" s="27" t="s">
        <v>142</v>
      </c>
      <c r="B79" s="169">
        <v>73</v>
      </c>
      <c r="C79" s="12" t="s">
        <v>92</v>
      </c>
      <c r="D79" s="13">
        <v>1971</v>
      </c>
      <c r="E79" s="11"/>
      <c r="F79" s="169" t="s">
        <v>13</v>
      </c>
      <c r="G79" s="35">
        <v>1</v>
      </c>
      <c r="H79" s="45">
        <v>5</v>
      </c>
      <c r="I79" s="1" t="s">
        <v>19</v>
      </c>
      <c r="J79" s="122">
        <v>18876</v>
      </c>
      <c r="K79" s="122">
        <v>1360</v>
      </c>
      <c r="L79" s="122">
        <v>1561</v>
      </c>
      <c r="M79" s="122"/>
      <c r="N79" s="122">
        <v>112</v>
      </c>
      <c r="O79" s="122">
        <v>209</v>
      </c>
      <c r="P79" s="122">
        <v>114</v>
      </c>
      <c r="Q79" s="122">
        <v>191</v>
      </c>
      <c r="R79" s="179">
        <f>4653.47-0.03</f>
        <v>4653.4400000000005</v>
      </c>
      <c r="S79" s="121">
        <v>3129.57</v>
      </c>
      <c r="T79" s="122">
        <f t="shared" si="64"/>
        <v>100</v>
      </c>
      <c r="U79" s="180">
        <f t="shared" si="65"/>
        <v>4134.25</v>
      </c>
      <c r="V79" s="180">
        <f t="shared" si="66"/>
        <v>2776.52</v>
      </c>
      <c r="W79" s="122">
        <v>12</v>
      </c>
      <c r="X79" s="180">
        <v>519.19000000000005</v>
      </c>
      <c r="Y79" s="180">
        <v>353.05</v>
      </c>
      <c r="Z79" s="122"/>
      <c r="AA79" s="180"/>
      <c r="AB79" s="180"/>
      <c r="AC79" s="180">
        <f t="shared" si="67"/>
        <v>0</v>
      </c>
      <c r="AD79" s="179">
        <f t="shared" si="68"/>
        <v>0</v>
      </c>
      <c r="AE79" s="271"/>
      <c r="AF79" s="180"/>
      <c r="AG79" s="180"/>
      <c r="AH79" s="180"/>
      <c r="AI79" s="180">
        <f t="shared" si="69"/>
        <v>4653.4400000000005</v>
      </c>
      <c r="AJ79" s="122"/>
      <c r="AK79" s="122"/>
      <c r="AL79" s="122">
        <v>6</v>
      </c>
      <c r="AM79" s="122"/>
      <c r="AN79" s="122">
        <v>1</v>
      </c>
      <c r="AO79" s="122">
        <v>1</v>
      </c>
      <c r="AP79" s="122">
        <v>3296</v>
      </c>
      <c r="AQ79" s="35"/>
      <c r="AR79" s="122">
        <f>145+73+167</f>
        <v>385</v>
      </c>
      <c r="AS79" s="122">
        <v>558</v>
      </c>
      <c r="AT79" s="122">
        <v>77</v>
      </c>
      <c r="AU79" s="122">
        <f t="shared" si="55"/>
        <v>4386</v>
      </c>
      <c r="AV79" s="122"/>
      <c r="AW79" s="122">
        <v>4386</v>
      </c>
      <c r="AX79" s="122"/>
      <c r="AY79" s="122">
        <v>186</v>
      </c>
      <c r="AZ79" s="122">
        <v>1320</v>
      </c>
      <c r="BA79" s="122">
        <v>1320</v>
      </c>
      <c r="BB79" s="122">
        <v>30</v>
      </c>
      <c r="BC79" s="122">
        <v>19</v>
      </c>
      <c r="BD79" s="122">
        <v>320</v>
      </c>
      <c r="BE79" s="122">
        <v>113</v>
      </c>
      <c r="BF79" s="122">
        <v>6</v>
      </c>
      <c r="BG79" s="122">
        <v>22308</v>
      </c>
      <c r="BH79" s="122">
        <v>828</v>
      </c>
      <c r="BI79" s="122"/>
      <c r="BJ79" s="115">
        <f t="shared" si="70"/>
        <v>1</v>
      </c>
      <c r="BK79" s="115">
        <f t="shared" si="71"/>
        <v>4653.4400000000005</v>
      </c>
      <c r="BL79" s="115">
        <f t="shared" si="72"/>
        <v>3129.57</v>
      </c>
      <c r="BM79" s="115" t="str">
        <f t="shared" si="73"/>
        <v>0</v>
      </c>
      <c r="BN79" s="115" t="str">
        <f t="shared" si="74"/>
        <v>0</v>
      </c>
      <c r="BO79" s="115" t="str">
        <f t="shared" si="75"/>
        <v>0</v>
      </c>
      <c r="BP79" s="115" t="str">
        <f t="shared" si="76"/>
        <v>0</v>
      </c>
      <c r="BQ79" s="115" t="str">
        <f t="shared" si="77"/>
        <v>0</v>
      </c>
      <c r="BR79" s="115" t="str">
        <f t="shared" si="78"/>
        <v>0</v>
      </c>
      <c r="BS79" s="115">
        <v>2</v>
      </c>
      <c r="BT79" s="115">
        <v>1</v>
      </c>
      <c r="BU79" s="122"/>
      <c r="BV79" s="115"/>
      <c r="BW79" s="115"/>
      <c r="BX79" s="115">
        <f>AP79</f>
        <v>3296</v>
      </c>
      <c r="BY79" s="275">
        <v>1796.6299999999999</v>
      </c>
      <c r="BZ79" s="253">
        <v>438.84</v>
      </c>
      <c r="CA79" s="157">
        <v>3714</v>
      </c>
      <c r="CB79" s="275">
        <f t="shared" si="79"/>
        <v>2354</v>
      </c>
      <c r="CC79" s="209" t="str">
        <f t="shared" si="57"/>
        <v>0</v>
      </c>
      <c r="CD79" s="235">
        <f t="shared" si="58"/>
        <v>0</v>
      </c>
      <c r="CE79" s="209">
        <f t="shared" si="86"/>
        <v>1</v>
      </c>
      <c r="CF79" s="235">
        <f t="shared" si="60"/>
        <v>4386</v>
      </c>
      <c r="CG79" s="235">
        <f t="shared" si="61"/>
        <v>1</v>
      </c>
      <c r="CH79" s="235">
        <f t="shared" si="62"/>
        <v>4386</v>
      </c>
      <c r="CI79" s="14">
        <v>48</v>
      </c>
      <c r="CJ79" s="284" t="str">
        <f t="shared" si="80"/>
        <v>0</v>
      </c>
      <c r="CK79" s="284" t="str">
        <f t="shared" si="81"/>
        <v>0</v>
      </c>
      <c r="CL79" s="243">
        <f t="shared" si="82"/>
        <v>11.157122472837298</v>
      </c>
      <c r="CM79" s="216" t="str">
        <f t="shared" si="83"/>
        <v>0</v>
      </c>
      <c r="CN79" s="216" t="str">
        <f t="shared" si="84"/>
        <v>0</v>
      </c>
      <c r="CO79" s="243">
        <f t="shared" si="85"/>
        <v>11.157122472837298</v>
      </c>
      <c r="CP79" s="305">
        <v>1</v>
      </c>
      <c r="CQ79" s="305">
        <v>0</v>
      </c>
      <c r="CR79" s="305">
        <v>0</v>
      </c>
      <c r="CS79" s="305">
        <v>0</v>
      </c>
      <c r="CT79" s="305">
        <v>2</v>
      </c>
      <c r="CU79" s="305">
        <v>0</v>
      </c>
      <c r="CV79" s="305">
        <v>0</v>
      </c>
      <c r="CW79" s="305">
        <v>0</v>
      </c>
      <c r="CX79" s="306">
        <v>0</v>
      </c>
      <c r="CY79" s="306">
        <v>113</v>
      </c>
      <c r="CZ79" s="306">
        <f t="shared" si="63"/>
        <v>102</v>
      </c>
      <c r="DA79" s="306">
        <v>11</v>
      </c>
      <c r="DB79" s="306">
        <v>65</v>
      </c>
      <c r="DC79" s="306">
        <v>43</v>
      </c>
      <c r="DD79" s="306">
        <v>67</v>
      </c>
      <c r="DE79" s="306">
        <v>45</v>
      </c>
      <c r="DF79" s="306">
        <v>43</v>
      </c>
      <c r="DG79" s="306">
        <v>67</v>
      </c>
      <c r="DH79" s="306">
        <v>45</v>
      </c>
      <c r="DI79" s="306">
        <v>4</v>
      </c>
      <c r="DJ79" s="306">
        <v>2</v>
      </c>
      <c r="DK79" s="306">
        <v>8</v>
      </c>
      <c r="DL79" s="306">
        <v>2</v>
      </c>
      <c r="DM79" s="306">
        <v>2</v>
      </c>
      <c r="DN79" s="306">
        <v>8</v>
      </c>
      <c r="DO79" s="306">
        <v>2</v>
      </c>
      <c r="DP79" s="306">
        <v>113</v>
      </c>
      <c r="DQ79" s="306">
        <v>113</v>
      </c>
    </row>
    <row r="80" spans="1:126" x14ac:dyDescent="0.2">
      <c r="A80" s="27" t="s">
        <v>142</v>
      </c>
      <c r="B80" s="169">
        <v>74</v>
      </c>
      <c r="C80" s="12" t="s">
        <v>158</v>
      </c>
      <c r="D80" s="13">
        <v>1961</v>
      </c>
      <c r="E80" s="11"/>
      <c r="F80" s="169" t="s">
        <v>13</v>
      </c>
      <c r="G80" s="35">
        <v>1</v>
      </c>
      <c r="H80" s="45">
        <v>5</v>
      </c>
      <c r="I80" s="1" t="s">
        <v>19</v>
      </c>
      <c r="J80" s="122">
        <f>13131+10171</f>
        <v>23302</v>
      </c>
      <c r="K80" s="122">
        <f>934+714</f>
        <v>1648</v>
      </c>
      <c r="L80" s="122">
        <f>1076+867</f>
        <v>1943</v>
      </c>
      <c r="M80" s="122"/>
      <c r="N80" s="122">
        <v>128</v>
      </c>
      <c r="O80" s="122">
        <v>234</v>
      </c>
      <c r="P80" s="122">
        <v>128</v>
      </c>
      <c r="Q80" s="122">
        <v>248</v>
      </c>
      <c r="R80" s="179">
        <f>5236.16-0.05</f>
        <v>5236.1099999999997</v>
      </c>
      <c r="S80" s="121">
        <v>3242.0299999999997</v>
      </c>
      <c r="T80" s="122">
        <f t="shared" si="64"/>
        <v>112</v>
      </c>
      <c r="U80" s="180">
        <f t="shared" si="65"/>
        <v>4603.5599999999995</v>
      </c>
      <c r="V80" s="180">
        <f t="shared" si="66"/>
        <v>2885.1899999999996</v>
      </c>
      <c r="W80" s="122">
        <v>16</v>
      </c>
      <c r="X80" s="180">
        <v>632.54999999999995</v>
      </c>
      <c r="Y80" s="180">
        <v>356.84</v>
      </c>
      <c r="Z80" s="122"/>
      <c r="AA80" s="180"/>
      <c r="AB80" s="180"/>
      <c r="AC80" s="180">
        <f t="shared" si="67"/>
        <v>419.4</v>
      </c>
      <c r="AD80" s="179">
        <f t="shared" si="68"/>
        <v>0</v>
      </c>
      <c r="AE80" s="271"/>
      <c r="AF80" s="180"/>
      <c r="AG80" s="180">
        <v>419.4</v>
      </c>
      <c r="AH80" s="180"/>
      <c r="AI80" s="180">
        <f t="shared" si="69"/>
        <v>5655.5099999999993</v>
      </c>
      <c r="AJ80" s="122"/>
      <c r="AK80" s="122"/>
      <c r="AL80" s="122">
        <f>4+3</f>
        <v>7</v>
      </c>
      <c r="AM80" s="122"/>
      <c r="AN80" s="122"/>
      <c r="AO80" s="122">
        <f>1+1</f>
        <v>2</v>
      </c>
      <c r="AP80" s="122">
        <f>2353+1940</f>
        <v>4293</v>
      </c>
      <c r="AQ80" s="35"/>
      <c r="AR80" s="122">
        <f>175+369</f>
        <v>544</v>
      </c>
      <c r="AS80" s="35">
        <f>280+280</f>
        <v>560</v>
      </c>
      <c r="AT80" s="122">
        <f>51+38</f>
        <v>89</v>
      </c>
      <c r="AU80" s="122">
        <f t="shared" si="55"/>
        <v>6116</v>
      </c>
      <c r="AV80" s="122"/>
      <c r="AW80" s="122">
        <f>3923+2193</f>
        <v>6116</v>
      </c>
      <c r="AX80" s="122"/>
      <c r="AY80" s="122">
        <f>203+83</f>
        <v>286</v>
      </c>
      <c r="AZ80" s="122">
        <f>912+706</f>
        <v>1618</v>
      </c>
      <c r="BA80" s="122">
        <f>912+706</f>
        <v>1618</v>
      </c>
      <c r="BB80" s="122">
        <f>20+15</f>
        <v>35</v>
      </c>
      <c r="BC80" s="122">
        <f>13+10</f>
        <v>23</v>
      </c>
      <c r="BD80" s="122">
        <f>220+175</f>
        <v>395</v>
      </c>
      <c r="BE80" s="122">
        <f>79+59</f>
        <v>138</v>
      </c>
      <c r="BF80" s="122">
        <f>4+3</f>
        <v>7</v>
      </c>
      <c r="BG80" s="122">
        <v>26026</v>
      </c>
      <c r="BH80" s="122">
        <f>492+369</f>
        <v>861</v>
      </c>
      <c r="BI80" s="122"/>
      <c r="BJ80" s="115">
        <f t="shared" si="70"/>
        <v>1</v>
      </c>
      <c r="BK80" s="115">
        <f t="shared" si="71"/>
        <v>5236.1099999999997</v>
      </c>
      <c r="BL80" s="115">
        <f t="shared" si="72"/>
        <v>3242.0299999999997</v>
      </c>
      <c r="BM80" s="115" t="str">
        <f t="shared" si="73"/>
        <v>0</v>
      </c>
      <c r="BN80" s="115" t="str">
        <f t="shared" si="74"/>
        <v>0</v>
      </c>
      <c r="BO80" s="115" t="str">
        <f t="shared" si="75"/>
        <v>0</v>
      </c>
      <c r="BP80" s="115" t="str">
        <f t="shared" si="76"/>
        <v>0</v>
      </c>
      <c r="BQ80" s="115" t="str">
        <f t="shared" si="77"/>
        <v>0</v>
      </c>
      <c r="BR80" s="115" t="str">
        <f t="shared" si="78"/>
        <v>0</v>
      </c>
      <c r="BS80" s="115"/>
      <c r="BT80" s="115">
        <f>2+2</f>
        <v>4</v>
      </c>
      <c r="BU80" s="122"/>
      <c r="BV80" s="115"/>
      <c r="BW80" s="115"/>
      <c r="BX80" s="115">
        <f>AP80</f>
        <v>4293</v>
      </c>
      <c r="BY80" s="275">
        <v>2066.19</v>
      </c>
      <c r="BZ80" s="253">
        <v>431.6</v>
      </c>
      <c r="CA80" s="157">
        <v>2842</v>
      </c>
      <c r="CB80" s="275">
        <f t="shared" si="79"/>
        <v>1194</v>
      </c>
      <c r="CC80" s="209" t="str">
        <f t="shared" si="57"/>
        <v>0</v>
      </c>
      <c r="CD80" s="235">
        <f t="shared" si="58"/>
        <v>0</v>
      </c>
      <c r="CE80" s="209">
        <f t="shared" si="86"/>
        <v>1</v>
      </c>
      <c r="CF80" s="235">
        <f t="shared" si="60"/>
        <v>6116</v>
      </c>
      <c r="CG80" s="235">
        <f t="shared" si="61"/>
        <v>1</v>
      </c>
      <c r="CH80" s="235">
        <f t="shared" si="62"/>
        <v>6116</v>
      </c>
      <c r="CI80" s="14">
        <v>50</v>
      </c>
      <c r="CJ80" s="284" t="str">
        <f t="shared" si="80"/>
        <v>0</v>
      </c>
      <c r="CK80" s="284" t="str">
        <f t="shared" si="81"/>
        <v>0</v>
      </c>
      <c r="CL80" s="243">
        <f t="shared" si="82"/>
        <v>12.080533067487123</v>
      </c>
      <c r="CM80" s="216" t="str">
        <f t="shared" si="83"/>
        <v>0</v>
      </c>
      <c r="CN80" s="216" t="str">
        <f t="shared" si="84"/>
        <v>0</v>
      </c>
      <c r="CO80" s="243">
        <f t="shared" si="85"/>
        <v>11.184667695751576</v>
      </c>
      <c r="CP80" s="305">
        <v>1</v>
      </c>
      <c r="CQ80" s="305">
        <v>0</v>
      </c>
      <c r="CR80" s="305">
        <v>0</v>
      </c>
      <c r="CS80" s="305">
        <v>0</v>
      </c>
      <c r="CT80" s="305">
        <v>2</v>
      </c>
      <c r="CU80" s="305">
        <v>0</v>
      </c>
      <c r="CV80" s="305">
        <v>0</v>
      </c>
      <c r="CW80" s="305">
        <v>0</v>
      </c>
      <c r="CX80" s="306">
        <v>0</v>
      </c>
      <c r="CY80" s="306">
        <v>132</v>
      </c>
      <c r="CZ80" s="306">
        <f t="shared" si="63"/>
        <v>126</v>
      </c>
      <c r="DA80" s="306">
        <v>6</v>
      </c>
      <c r="DB80" s="306">
        <v>86</v>
      </c>
      <c r="DC80" s="306">
        <v>61</v>
      </c>
      <c r="DD80" s="306">
        <v>68</v>
      </c>
      <c r="DE80" s="306">
        <v>61</v>
      </c>
      <c r="DF80" s="306">
        <v>61</v>
      </c>
      <c r="DG80" s="306">
        <v>68</v>
      </c>
      <c r="DH80" s="306">
        <v>61</v>
      </c>
      <c r="DI80" s="306">
        <v>2</v>
      </c>
      <c r="DJ80" s="306">
        <v>2</v>
      </c>
      <c r="DK80" s="306">
        <v>10</v>
      </c>
      <c r="DL80" s="306">
        <v>2</v>
      </c>
      <c r="DM80" s="306">
        <v>2</v>
      </c>
      <c r="DN80" s="306">
        <v>10</v>
      </c>
      <c r="DO80" s="306">
        <v>2</v>
      </c>
      <c r="DP80" s="306">
        <v>132</v>
      </c>
      <c r="DQ80" s="306">
        <v>132</v>
      </c>
    </row>
    <row r="81" spans="1:126" x14ac:dyDescent="0.2">
      <c r="A81" s="12" t="s">
        <v>142</v>
      </c>
      <c r="B81" s="169">
        <v>75</v>
      </c>
      <c r="C81" s="12" t="s">
        <v>159</v>
      </c>
      <c r="D81" s="13">
        <v>1981</v>
      </c>
      <c r="E81" s="11"/>
      <c r="F81" s="169">
        <v>84</v>
      </c>
      <c r="G81" s="35">
        <v>1</v>
      </c>
      <c r="H81" s="45">
        <v>9</v>
      </c>
      <c r="I81" s="1" t="s">
        <v>22</v>
      </c>
      <c r="J81" s="122">
        <v>14318</v>
      </c>
      <c r="K81" s="122">
        <v>613</v>
      </c>
      <c r="L81" s="122"/>
      <c r="M81" s="122">
        <v>564</v>
      </c>
      <c r="N81" s="122">
        <v>72</v>
      </c>
      <c r="O81" s="122">
        <v>142</v>
      </c>
      <c r="P81" s="122">
        <v>72</v>
      </c>
      <c r="Q81" s="122">
        <v>124</v>
      </c>
      <c r="R81" s="179">
        <v>3571.2</v>
      </c>
      <c r="S81" s="121">
        <v>2107.9</v>
      </c>
      <c r="T81" s="122">
        <f t="shared" si="64"/>
        <v>70</v>
      </c>
      <c r="U81" s="180">
        <f t="shared" si="65"/>
        <v>3499.7</v>
      </c>
      <c r="V81" s="180">
        <f t="shared" si="66"/>
        <v>2066.4300000000003</v>
      </c>
      <c r="W81" s="122">
        <v>2</v>
      </c>
      <c r="X81" s="180">
        <v>71.5</v>
      </c>
      <c r="Y81" s="180">
        <v>41.47</v>
      </c>
      <c r="Z81" s="122"/>
      <c r="AA81" s="180"/>
      <c r="AB81" s="180"/>
      <c r="AC81" s="180">
        <f t="shared" si="67"/>
        <v>0</v>
      </c>
      <c r="AD81" s="179">
        <f t="shared" si="68"/>
        <v>0</v>
      </c>
      <c r="AE81" s="271"/>
      <c r="AF81" s="180"/>
      <c r="AG81" s="180"/>
      <c r="AH81" s="180"/>
      <c r="AI81" s="180">
        <f t="shared" si="69"/>
        <v>3571.2</v>
      </c>
      <c r="AJ81" s="122"/>
      <c r="AK81" s="122">
        <v>2</v>
      </c>
      <c r="AL81" s="122">
        <v>2</v>
      </c>
      <c r="AM81" s="122">
        <v>2</v>
      </c>
      <c r="AN81" s="122"/>
      <c r="AO81" s="122">
        <v>2</v>
      </c>
      <c r="AP81" s="122">
        <v>2979</v>
      </c>
      <c r="AQ81" s="35"/>
      <c r="AR81" s="122">
        <f>98+42+114</f>
        <v>254</v>
      </c>
      <c r="AS81" s="122">
        <v>197</v>
      </c>
      <c r="AT81" s="122">
        <v>108</v>
      </c>
      <c r="AU81" s="122">
        <f t="shared" si="55"/>
        <v>4430</v>
      </c>
      <c r="AV81" s="122">
        <v>3967</v>
      </c>
      <c r="AW81" s="122">
        <v>463</v>
      </c>
      <c r="AX81" s="122">
        <v>1752</v>
      </c>
      <c r="AY81" s="122">
        <v>148</v>
      </c>
      <c r="AZ81" s="122">
        <v>564</v>
      </c>
      <c r="BA81" s="122">
        <v>564</v>
      </c>
      <c r="BB81" s="122">
        <v>32</v>
      </c>
      <c r="BC81" s="122">
        <v>15</v>
      </c>
      <c r="BD81" s="122">
        <v>240</v>
      </c>
      <c r="BE81" s="122">
        <v>72</v>
      </c>
      <c r="BF81" s="122">
        <v>1</v>
      </c>
      <c r="BG81" s="122">
        <v>8560</v>
      </c>
      <c r="BH81" s="122">
        <v>944</v>
      </c>
      <c r="BI81" s="122">
        <v>294</v>
      </c>
      <c r="BJ81" s="115" t="str">
        <f t="shared" si="70"/>
        <v>0</v>
      </c>
      <c r="BK81" s="115" t="str">
        <f t="shared" si="71"/>
        <v>0</v>
      </c>
      <c r="BL81" s="115" t="str">
        <f t="shared" si="72"/>
        <v>0</v>
      </c>
      <c r="BM81" s="115">
        <f t="shared" si="73"/>
        <v>1</v>
      </c>
      <c r="BN81" s="115">
        <f t="shared" si="74"/>
        <v>3571.2</v>
      </c>
      <c r="BO81" s="115">
        <f t="shared" si="75"/>
        <v>2107.9</v>
      </c>
      <c r="BP81" s="115" t="str">
        <f t="shared" si="76"/>
        <v>0</v>
      </c>
      <c r="BQ81" s="115" t="str">
        <f t="shared" si="77"/>
        <v>0</v>
      </c>
      <c r="BR81" s="115" t="str">
        <f t="shared" si="78"/>
        <v>0</v>
      </c>
      <c r="BS81" s="115">
        <v>1</v>
      </c>
      <c r="BT81" s="115">
        <v>1</v>
      </c>
      <c r="BU81" s="122">
        <v>564</v>
      </c>
      <c r="BV81" s="115">
        <v>170</v>
      </c>
      <c r="BW81" s="115"/>
      <c r="BX81" s="115"/>
      <c r="BY81" s="275">
        <v>1048.9000000000001</v>
      </c>
      <c r="BZ81" s="253">
        <v>557</v>
      </c>
      <c r="CA81" s="157">
        <v>1755</v>
      </c>
      <c r="CB81" s="275">
        <f t="shared" si="79"/>
        <v>1142</v>
      </c>
      <c r="CC81" s="209">
        <f t="shared" si="57"/>
        <v>1</v>
      </c>
      <c r="CD81" s="235">
        <f t="shared" si="58"/>
        <v>3967</v>
      </c>
      <c r="CE81" s="209"/>
      <c r="CF81" s="235">
        <f t="shared" si="60"/>
        <v>463</v>
      </c>
      <c r="CG81" s="235">
        <f t="shared" si="61"/>
        <v>1</v>
      </c>
      <c r="CH81" s="235">
        <f t="shared" si="62"/>
        <v>4430</v>
      </c>
      <c r="CI81" s="14">
        <v>47</v>
      </c>
      <c r="CJ81" s="284" t="str">
        <f t="shared" si="80"/>
        <v>0</v>
      </c>
      <c r="CK81" s="284" t="str">
        <f t="shared" si="81"/>
        <v>0</v>
      </c>
      <c r="CL81" s="243">
        <f t="shared" si="82"/>
        <v>2.0021281362007168</v>
      </c>
      <c r="CM81" s="216" t="str">
        <f t="shared" si="83"/>
        <v>0</v>
      </c>
      <c r="CN81" s="216" t="str">
        <f t="shared" si="84"/>
        <v>0</v>
      </c>
      <c r="CO81" s="243">
        <f t="shared" si="85"/>
        <v>2.0021281362007168</v>
      </c>
      <c r="CP81" s="305">
        <v>1</v>
      </c>
      <c r="CQ81" s="305">
        <v>0</v>
      </c>
      <c r="CR81" s="305">
        <v>0</v>
      </c>
      <c r="CS81" s="305">
        <v>0</v>
      </c>
      <c r="CT81" s="305">
        <v>2</v>
      </c>
      <c r="CU81" s="305">
        <v>0</v>
      </c>
      <c r="CV81" s="305">
        <v>0</v>
      </c>
      <c r="CW81" s="305">
        <v>0</v>
      </c>
      <c r="CX81" s="306">
        <v>0</v>
      </c>
      <c r="CY81" s="306">
        <v>72</v>
      </c>
      <c r="CZ81" s="306">
        <f t="shared" si="63"/>
        <v>68</v>
      </c>
      <c r="DA81" s="306">
        <v>4</v>
      </c>
      <c r="DB81" s="306">
        <v>50</v>
      </c>
      <c r="DC81" s="306">
        <v>39</v>
      </c>
      <c r="DD81" s="306">
        <v>40</v>
      </c>
      <c r="DE81" s="306">
        <v>49</v>
      </c>
      <c r="DF81" s="306">
        <v>40</v>
      </c>
      <c r="DG81" s="306">
        <v>39</v>
      </c>
      <c r="DH81" s="306">
        <v>50</v>
      </c>
      <c r="DI81" s="306">
        <v>2</v>
      </c>
      <c r="DJ81" s="306">
        <v>2</v>
      </c>
      <c r="DK81" s="306">
        <v>0</v>
      </c>
      <c r="DL81" s="306">
        <v>2</v>
      </c>
      <c r="DM81" s="306">
        <v>2</v>
      </c>
      <c r="DN81" s="306">
        <v>0</v>
      </c>
      <c r="DO81" s="306">
        <v>2</v>
      </c>
      <c r="DP81" s="306">
        <v>72</v>
      </c>
      <c r="DQ81" s="306">
        <v>72</v>
      </c>
    </row>
    <row r="82" spans="1:126" x14ac:dyDescent="0.2">
      <c r="A82" s="27" t="s">
        <v>142</v>
      </c>
      <c r="B82" s="169">
        <v>76</v>
      </c>
      <c r="C82" s="12" t="s">
        <v>167</v>
      </c>
      <c r="D82" s="13">
        <v>1965</v>
      </c>
      <c r="E82" s="11"/>
      <c r="F82" s="169" t="s">
        <v>20</v>
      </c>
      <c r="G82" s="35">
        <v>1</v>
      </c>
      <c r="H82" s="45">
        <v>5</v>
      </c>
      <c r="I82" s="1" t="s">
        <v>22</v>
      </c>
      <c r="J82" s="122">
        <v>5775</v>
      </c>
      <c r="K82" s="122">
        <v>424</v>
      </c>
      <c r="L82" s="122">
        <v>507</v>
      </c>
      <c r="M82" s="122"/>
      <c r="N82" s="122">
        <v>40</v>
      </c>
      <c r="O82" s="122">
        <v>70</v>
      </c>
      <c r="P82" s="122">
        <v>40</v>
      </c>
      <c r="Q82" s="122">
        <v>63</v>
      </c>
      <c r="R82" s="179">
        <v>1633.98</v>
      </c>
      <c r="S82" s="121">
        <v>1076</v>
      </c>
      <c r="T82" s="122">
        <f t="shared" si="64"/>
        <v>37</v>
      </c>
      <c r="U82" s="180">
        <f t="shared" si="65"/>
        <v>1504.26</v>
      </c>
      <c r="V82" s="180">
        <f t="shared" si="66"/>
        <v>991.88</v>
      </c>
      <c r="W82" s="122">
        <v>3</v>
      </c>
      <c r="X82" s="180">
        <v>129.72</v>
      </c>
      <c r="Y82" s="180">
        <v>84.12</v>
      </c>
      <c r="Z82" s="122"/>
      <c r="AA82" s="180"/>
      <c r="AB82" s="180"/>
      <c r="AC82" s="180">
        <f t="shared" si="67"/>
        <v>0</v>
      </c>
      <c r="AD82" s="179">
        <f t="shared" si="68"/>
        <v>0</v>
      </c>
      <c r="AE82" s="271"/>
      <c r="AF82" s="180"/>
      <c r="AG82" s="180"/>
      <c r="AH82" s="180"/>
      <c r="AI82" s="180">
        <f t="shared" si="69"/>
        <v>1633.98</v>
      </c>
      <c r="AJ82" s="122"/>
      <c r="AK82" s="122"/>
      <c r="AL82" s="123">
        <v>2</v>
      </c>
      <c r="AM82" s="122"/>
      <c r="AN82" s="122"/>
      <c r="AO82" s="122">
        <v>1</v>
      </c>
      <c r="AP82" s="122">
        <v>1288</v>
      </c>
      <c r="AQ82" s="35"/>
      <c r="AR82" s="122">
        <f>236+118+189</f>
        <v>543</v>
      </c>
      <c r="AS82" s="122">
        <v>156</v>
      </c>
      <c r="AT82" s="122">
        <v>26</v>
      </c>
      <c r="AU82" s="122">
        <f t="shared" si="55"/>
        <v>1462</v>
      </c>
      <c r="AV82" s="122"/>
      <c r="AW82" s="122">
        <v>1462</v>
      </c>
      <c r="AX82" s="122">
        <v>1178</v>
      </c>
      <c r="AY82" s="122">
        <v>67</v>
      </c>
      <c r="AZ82" s="122">
        <v>417</v>
      </c>
      <c r="BA82" s="122">
        <v>417</v>
      </c>
      <c r="BB82" s="122">
        <v>10</v>
      </c>
      <c r="BC82" s="122">
        <v>7</v>
      </c>
      <c r="BD82" s="122">
        <v>110</v>
      </c>
      <c r="BE82" s="122">
        <v>40</v>
      </c>
      <c r="BF82" s="122">
        <v>1</v>
      </c>
      <c r="BG82" s="122">
        <v>7516</v>
      </c>
      <c r="BH82" s="122">
        <v>146</v>
      </c>
      <c r="BI82" s="122"/>
      <c r="BJ82" s="115" t="str">
        <f t="shared" si="70"/>
        <v>0</v>
      </c>
      <c r="BK82" s="115" t="str">
        <f t="shared" si="71"/>
        <v>0</v>
      </c>
      <c r="BL82" s="115" t="str">
        <f t="shared" si="72"/>
        <v>0</v>
      </c>
      <c r="BM82" s="115">
        <f t="shared" si="73"/>
        <v>1</v>
      </c>
      <c r="BN82" s="115">
        <f t="shared" si="74"/>
        <v>1633.98</v>
      </c>
      <c r="BO82" s="115">
        <f t="shared" si="75"/>
        <v>1076</v>
      </c>
      <c r="BP82" s="115" t="str">
        <f t="shared" si="76"/>
        <v>0</v>
      </c>
      <c r="BQ82" s="115" t="str">
        <f t="shared" si="77"/>
        <v>0</v>
      </c>
      <c r="BR82" s="115" t="str">
        <f t="shared" si="78"/>
        <v>0</v>
      </c>
      <c r="BS82" s="115"/>
      <c r="BT82" s="115">
        <v>2</v>
      </c>
      <c r="BU82" s="122"/>
      <c r="BV82" s="115"/>
      <c r="BW82" s="115"/>
      <c r="BX82" s="115"/>
      <c r="BY82" s="275">
        <v>789.58</v>
      </c>
      <c r="BZ82" s="253">
        <v>137.08000000000001</v>
      </c>
      <c r="CA82" s="157">
        <v>2565</v>
      </c>
      <c r="CB82" s="275">
        <f t="shared" si="79"/>
        <v>2141</v>
      </c>
      <c r="CC82" s="209" t="str">
        <f t="shared" si="57"/>
        <v>0</v>
      </c>
      <c r="CD82" s="235">
        <f t="shared" si="58"/>
        <v>0</v>
      </c>
      <c r="CE82" s="209">
        <f t="shared" ref="CE82:CE97" si="87">IF(CF82&gt;0,G82,"0")</f>
        <v>1</v>
      </c>
      <c r="CF82" s="235">
        <f t="shared" si="60"/>
        <v>1462</v>
      </c>
      <c r="CG82" s="235">
        <f t="shared" si="61"/>
        <v>1</v>
      </c>
      <c r="CH82" s="235">
        <f t="shared" si="62"/>
        <v>1462</v>
      </c>
      <c r="CI82" s="14">
        <v>53</v>
      </c>
      <c r="CJ82" s="284" t="str">
        <f t="shared" si="80"/>
        <v>0</v>
      </c>
      <c r="CK82" s="284" t="str">
        <f t="shared" si="81"/>
        <v>0</v>
      </c>
      <c r="CL82" s="243">
        <f t="shared" si="82"/>
        <v>7.9388976609260826</v>
      </c>
      <c r="CM82" s="216" t="str">
        <f t="shared" si="83"/>
        <v>0</v>
      </c>
      <c r="CN82" s="216" t="str">
        <f t="shared" si="84"/>
        <v>0</v>
      </c>
      <c r="CO82" s="243">
        <f t="shared" si="85"/>
        <v>7.9388976609260826</v>
      </c>
      <c r="CP82" s="305">
        <v>1</v>
      </c>
      <c r="CQ82" s="305">
        <v>0</v>
      </c>
      <c r="CR82" s="305">
        <v>0</v>
      </c>
      <c r="CS82" s="305">
        <v>0</v>
      </c>
      <c r="CT82" s="305">
        <v>1</v>
      </c>
      <c r="CU82" s="305">
        <v>0</v>
      </c>
      <c r="CV82" s="305">
        <v>0</v>
      </c>
      <c r="CW82" s="305">
        <v>0</v>
      </c>
      <c r="CX82" s="306">
        <v>0</v>
      </c>
      <c r="CY82" s="306">
        <v>40</v>
      </c>
      <c r="CZ82" s="306">
        <f t="shared" si="63"/>
        <v>35</v>
      </c>
      <c r="DA82" s="306">
        <v>5</v>
      </c>
      <c r="DB82" s="306">
        <v>31</v>
      </c>
      <c r="DC82" s="306">
        <v>15</v>
      </c>
      <c r="DD82" s="306">
        <v>25</v>
      </c>
      <c r="DE82" s="306">
        <v>15</v>
      </c>
      <c r="DF82" s="306">
        <v>15</v>
      </c>
      <c r="DG82" s="306">
        <v>25</v>
      </c>
      <c r="DH82" s="306">
        <v>15</v>
      </c>
      <c r="DI82" s="306">
        <v>3</v>
      </c>
      <c r="DJ82" s="306">
        <v>1</v>
      </c>
      <c r="DK82" s="306">
        <v>3</v>
      </c>
      <c r="DL82" s="306">
        <v>1</v>
      </c>
      <c r="DM82" s="306">
        <v>1</v>
      </c>
      <c r="DN82" s="306">
        <v>3</v>
      </c>
      <c r="DO82" s="306">
        <v>1</v>
      </c>
      <c r="DP82" s="306">
        <v>40</v>
      </c>
      <c r="DQ82" s="306">
        <v>40</v>
      </c>
    </row>
    <row r="83" spans="1:126" x14ac:dyDescent="0.2">
      <c r="A83" s="198" t="s">
        <v>203</v>
      </c>
      <c r="B83" s="169">
        <v>77</v>
      </c>
      <c r="C83" s="12" t="s">
        <v>253</v>
      </c>
      <c r="D83" s="200">
        <v>1952</v>
      </c>
      <c r="E83" s="11"/>
      <c r="F83" s="169" t="s">
        <v>207</v>
      </c>
      <c r="G83" s="35">
        <v>1</v>
      </c>
      <c r="H83" s="201">
        <v>6</v>
      </c>
      <c r="I83" s="201" t="s">
        <v>19</v>
      </c>
      <c r="J83" s="115">
        <v>47012</v>
      </c>
      <c r="K83" s="115">
        <v>2212</v>
      </c>
      <c r="L83" s="157">
        <v>2567</v>
      </c>
      <c r="M83" s="115"/>
      <c r="N83" s="115">
        <f>79+1</f>
        <v>80</v>
      </c>
      <c r="O83" s="115">
        <v>253</v>
      </c>
      <c r="P83" s="115">
        <v>80</v>
      </c>
      <c r="Q83" s="115">
        <v>150</v>
      </c>
      <c r="R83" s="228">
        <f>6321.43+113.4</f>
        <v>6434.83</v>
      </c>
      <c r="S83" s="230">
        <v>3833.7</v>
      </c>
      <c r="T83" s="115">
        <f t="shared" si="64"/>
        <v>47</v>
      </c>
      <c r="U83" s="219">
        <f t="shared" si="65"/>
        <v>3707.63</v>
      </c>
      <c r="V83" s="180">
        <f t="shared" si="66"/>
        <v>2142.84</v>
      </c>
      <c r="W83" s="115">
        <v>33</v>
      </c>
      <c r="X83" s="207">
        <v>2727.2</v>
      </c>
      <c r="Y83" s="207">
        <v>1690.86</v>
      </c>
      <c r="Z83" s="204"/>
      <c r="AA83" s="207"/>
      <c r="AB83" s="207"/>
      <c r="AC83" s="207">
        <f t="shared" si="67"/>
        <v>3369.1</v>
      </c>
      <c r="AD83" s="248">
        <f t="shared" si="68"/>
        <v>306.60000000000002</v>
      </c>
      <c r="AE83" s="275"/>
      <c r="AF83" s="248">
        <v>306.60000000000002</v>
      </c>
      <c r="AG83" s="207">
        <v>3062.5</v>
      </c>
      <c r="AH83" s="207"/>
      <c r="AI83" s="207">
        <f t="shared" si="69"/>
        <v>9803.93</v>
      </c>
      <c r="AJ83" s="170"/>
      <c r="AK83" s="170"/>
      <c r="AL83" s="170">
        <v>4</v>
      </c>
      <c r="AM83" s="170"/>
      <c r="AN83" s="170">
        <v>1</v>
      </c>
      <c r="AO83" s="170">
        <v>1</v>
      </c>
      <c r="AP83" s="170">
        <v>4924</v>
      </c>
      <c r="AQ83" s="170"/>
      <c r="AR83" s="170">
        <v>769</v>
      </c>
      <c r="AS83" s="170">
        <v>626</v>
      </c>
      <c r="AT83" s="170">
        <v>128</v>
      </c>
      <c r="AU83" s="170">
        <f t="shared" si="55"/>
        <v>6508</v>
      </c>
      <c r="AV83" s="170"/>
      <c r="AW83" s="170">
        <v>6508</v>
      </c>
      <c r="AX83" s="170"/>
      <c r="AY83" s="170">
        <v>125</v>
      </c>
      <c r="AZ83" s="170">
        <v>1800</v>
      </c>
      <c r="BA83" s="170">
        <v>1800</v>
      </c>
      <c r="BB83" s="170">
        <v>44</v>
      </c>
      <c r="BC83" s="170">
        <v>16</v>
      </c>
      <c r="BD83" s="170">
        <v>393</v>
      </c>
      <c r="BE83" s="170">
        <v>898</v>
      </c>
      <c r="BF83" s="170">
        <v>1</v>
      </c>
      <c r="BG83" s="170">
        <f>5351+9933.8</f>
        <v>15284.8</v>
      </c>
      <c r="BH83" s="170">
        <f>152+990.4</f>
        <v>1142.4000000000001</v>
      </c>
      <c r="BI83" s="170"/>
      <c r="BJ83" s="115">
        <f t="shared" si="70"/>
        <v>1</v>
      </c>
      <c r="BK83" s="115">
        <f t="shared" si="71"/>
        <v>6434.83</v>
      </c>
      <c r="BL83" s="115">
        <f t="shared" si="72"/>
        <v>3833.7</v>
      </c>
      <c r="BM83" s="115" t="str">
        <f t="shared" si="73"/>
        <v>0</v>
      </c>
      <c r="BN83" s="115" t="str">
        <f t="shared" si="74"/>
        <v>0</v>
      </c>
      <c r="BO83" s="115" t="str">
        <f t="shared" si="75"/>
        <v>0</v>
      </c>
      <c r="BP83" s="115" t="str">
        <f t="shared" si="76"/>
        <v>0</v>
      </c>
      <c r="BQ83" s="115" t="str">
        <f t="shared" si="77"/>
        <v>0</v>
      </c>
      <c r="BR83" s="115" t="str">
        <f t="shared" si="78"/>
        <v>0</v>
      </c>
      <c r="BS83" s="115"/>
      <c r="BT83" s="115">
        <v>2</v>
      </c>
      <c r="BU83" s="115">
        <f t="shared" ref="BU83:BU90" si="88">BA83</f>
        <v>1800</v>
      </c>
      <c r="BV83" s="115">
        <v>2360</v>
      </c>
      <c r="BW83" s="115"/>
      <c r="BX83" s="115">
        <f t="shared" ref="BX83:BX97" si="89">AP83</f>
        <v>4924</v>
      </c>
      <c r="BY83" s="253">
        <v>2913.57</v>
      </c>
      <c r="BZ83" s="253">
        <v>771.1</v>
      </c>
      <c r="CA83" s="205">
        <v>5422</v>
      </c>
      <c r="CB83" s="282">
        <f t="shared" si="79"/>
        <v>3210</v>
      </c>
      <c r="CC83" s="209" t="str">
        <f t="shared" si="57"/>
        <v>0</v>
      </c>
      <c r="CD83" s="235">
        <f t="shared" si="58"/>
        <v>0</v>
      </c>
      <c r="CE83" s="209">
        <f t="shared" si="87"/>
        <v>1</v>
      </c>
      <c r="CF83" s="235">
        <f t="shared" si="60"/>
        <v>6508</v>
      </c>
      <c r="CG83" s="235">
        <f t="shared" si="61"/>
        <v>1</v>
      </c>
      <c r="CH83" s="235">
        <f t="shared" si="62"/>
        <v>6508</v>
      </c>
      <c r="CI83" s="234">
        <v>30</v>
      </c>
      <c r="CJ83" s="284" t="str">
        <f t="shared" si="80"/>
        <v>0</v>
      </c>
      <c r="CK83" s="284" t="str">
        <f t="shared" si="81"/>
        <v>0</v>
      </c>
      <c r="CL83" s="243">
        <f t="shared" si="82"/>
        <v>42.381850025563999</v>
      </c>
      <c r="CM83" s="216" t="str">
        <f t="shared" si="83"/>
        <v>0</v>
      </c>
      <c r="CN83" s="216" t="str">
        <f t="shared" si="84"/>
        <v>0</v>
      </c>
      <c r="CO83" s="243">
        <f t="shared" si="85"/>
        <v>30.944733387529283</v>
      </c>
      <c r="CP83" s="306">
        <v>1</v>
      </c>
      <c r="CQ83" s="306">
        <v>0</v>
      </c>
      <c r="CR83" s="306">
        <v>0</v>
      </c>
      <c r="CS83" s="306">
        <v>0</v>
      </c>
      <c r="CT83" s="306">
        <v>1</v>
      </c>
      <c r="CU83" s="306">
        <v>0</v>
      </c>
      <c r="CV83" s="306">
        <v>0</v>
      </c>
      <c r="CW83" s="306">
        <v>0</v>
      </c>
      <c r="CX83" s="306">
        <v>0</v>
      </c>
      <c r="CY83" s="306">
        <v>80</v>
      </c>
      <c r="CZ83" s="306">
        <f t="shared" si="63"/>
        <v>53</v>
      </c>
      <c r="DA83" s="306">
        <v>27</v>
      </c>
      <c r="DB83" s="306">
        <v>37</v>
      </c>
      <c r="DC83" s="306">
        <v>21</v>
      </c>
      <c r="DD83" s="306">
        <v>58</v>
      </c>
      <c r="DE83" s="306">
        <v>30</v>
      </c>
      <c r="DF83" s="306">
        <v>22</v>
      </c>
      <c r="DG83" s="306">
        <v>56</v>
      </c>
      <c r="DH83" s="306">
        <v>33</v>
      </c>
      <c r="DI83" s="306">
        <v>20</v>
      </c>
      <c r="DJ83" s="306">
        <v>16</v>
      </c>
      <c r="DK83" s="306">
        <v>0</v>
      </c>
      <c r="DL83" s="306">
        <v>17</v>
      </c>
      <c r="DM83" s="306">
        <v>16</v>
      </c>
      <c r="DN83" s="306">
        <v>0</v>
      </c>
      <c r="DO83" s="306">
        <v>17</v>
      </c>
      <c r="DP83" s="306">
        <v>80</v>
      </c>
      <c r="DQ83" s="306">
        <f>80-2</f>
        <v>78</v>
      </c>
      <c r="DR83" s="210"/>
      <c r="DS83" s="210"/>
      <c r="DT83" s="210"/>
      <c r="DU83" s="210"/>
      <c r="DV83" s="210"/>
    </row>
    <row r="84" spans="1:126" x14ac:dyDescent="0.2">
      <c r="A84" s="27" t="s">
        <v>197</v>
      </c>
      <c r="B84" s="169">
        <v>78</v>
      </c>
      <c r="C84" s="12" t="s">
        <v>254</v>
      </c>
      <c r="D84" s="200">
        <v>1954</v>
      </c>
      <c r="E84" s="11"/>
      <c r="F84" s="169" t="s">
        <v>207</v>
      </c>
      <c r="G84" s="35">
        <v>1</v>
      </c>
      <c r="H84" s="201">
        <v>5</v>
      </c>
      <c r="I84" s="201" t="s">
        <v>19</v>
      </c>
      <c r="J84" s="115">
        <v>53133</v>
      </c>
      <c r="K84" s="115">
        <v>2930</v>
      </c>
      <c r="L84" s="157">
        <v>3391</v>
      </c>
      <c r="M84" s="115"/>
      <c r="N84" s="115">
        <v>86</v>
      </c>
      <c r="O84" s="115">
        <v>216</v>
      </c>
      <c r="P84" s="115">
        <v>87</v>
      </c>
      <c r="Q84" s="115">
        <v>163</v>
      </c>
      <c r="R84" s="228">
        <f>5956.4-0.02+0.04-0.03</f>
        <v>5956.3899999999994</v>
      </c>
      <c r="S84" s="230">
        <v>3589.95</v>
      </c>
      <c r="T84" s="115">
        <f t="shared" si="64"/>
        <v>70</v>
      </c>
      <c r="U84" s="203">
        <f t="shared" si="65"/>
        <v>4920.4399999999996</v>
      </c>
      <c r="V84" s="180">
        <f t="shared" si="66"/>
        <v>2996.21</v>
      </c>
      <c r="W84" s="115">
        <v>15</v>
      </c>
      <c r="X84" s="207">
        <v>957.65</v>
      </c>
      <c r="Y84" s="207">
        <v>593.74</v>
      </c>
      <c r="Z84" s="115">
        <v>1</v>
      </c>
      <c r="AA84" s="207">
        <v>78.3</v>
      </c>
      <c r="AB84" s="207"/>
      <c r="AC84" s="207">
        <f t="shared" si="67"/>
        <v>5463.9</v>
      </c>
      <c r="AD84" s="248">
        <f t="shared" si="68"/>
        <v>674.3</v>
      </c>
      <c r="AE84" s="275"/>
      <c r="AF84" s="275">
        <f>667.3+7</f>
        <v>674.3</v>
      </c>
      <c r="AG84" s="207">
        <f>2639.3-27.4</f>
        <v>2611.9</v>
      </c>
      <c r="AH84" s="207">
        <v>2177.6999999999998</v>
      </c>
      <c r="AI84" s="207">
        <f t="shared" si="69"/>
        <v>11420.289999999999</v>
      </c>
      <c r="AJ84" s="170"/>
      <c r="AK84" s="170"/>
      <c r="AL84" s="170">
        <v>6</v>
      </c>
      <c r="AM84" s="170"/>
      <c r="AN84" s="170">
        <v>1</v>
      </c>
      <c r="AO84" s="170">
        <v>2</v>
      </c>
      <c r="AP84" s="170">
        <v>8544</v>
      </c>
      <c r="AQ84" s="170">
        <v>90.5</v>
      </c>
      <c r="AR84" s="170">
        <v>550</v>
      </c>
      <c r="AS84" s="170">
        <v>372</v>
      </c>
      <c r="AT84" s="170">
        <v>90</v>
      </c>
      <c r="AU84" s="170">
        <f t="shared" si="55"/>
        <v>5138</v>
      </c>
      <c r="AV84" s="170"/>
      <c r="AW84" s="170">
        <v>5138</v>
      </c>
      <c r="AX84" s="170"/>
      <c r="AY84" s="170">
        <v>160</v>
      </c>
      <c r="AZ84" s="170">
        <v>2890</v>
      </c>
      <c r="BA84" s="170">
        <v>2890</v>
      </c>
      <c r="BB84" s="170">
        <v>26</v>
      </c>
      <c r="BC84" s="170">
        <v>12</v>
      </c>
      <c r="BD84" s="170">
        <v>442</v>
      </c>
      <c r="BE84" s="170">
        <v>572</v>
      </c>
      <c r="BF84" s="170"/>
      <c r="BG84" s="170">
        <v>6540</v>
      </c>
      <c r="BH84" s="170">
        <v>190</v>
      </c>
      <c r="BI84" s="170"/>
      <c r="BJ84" s="115">
        <f t="shared" si="70"/>
        <v>1</v>
      </c>
      <c r="BK84" s="115">
        <f t="shared" si="71"/>
        <v>5956.3899999999994</v>
      </c>
      <c r="BL84" s="115">
        <f t="shared" si="72"/>
        <v>3589.95</v>
      </c>
      <c r="BM84" s="115" t="str">
        <f t="shared" si="73"/>
        <v>0</v>
      </c>
      <c r="BN84" s="115" t="str">
        <f t="shared" si="74"/>
        <v>0</v>
      </c>
      <c r="BO84" s="115" t="str">
        <f t="shared" si="75"/>
        <v>0</v>
      </c>
      <c r="BP84" s="115" t="str">
        <f t="shared" si="76"/>
        <v>0</v>
      </c>
      <c r="BQ84" s="115" t="str">
        <f t="shared" si="77"/>
        <v>0</v>
      </c>
      <c r="BR84" s="115" t="str">
        <f t="shared" si="78"/>
        <v>0</v>
      </c>
      <c r="BS84" s="115"/>
      <c r="BT84" s="115">
        <v>3</v>
      </c>
      <c r="BU84" s="115">
        <f t="shared" si="88"/>
        <v>2890</v>
      </c>
      <c r="BV84" s="115">
        <v>4914</v>
      </c>
      <c r="BW84" s="115"/>
      <c r="BX84" s="115">
        <f t="shared" si="89"/>
        <v>8544</v>
      </c>
      <c r="BY84" s="253">
        <v>3900.7</v>
      </c>
      <c r="BZ84" s="253">
        <v>1025.1500000000001</v>
      </c>
      <c r="CA84" s="205">
        <v>6865</v>
      </c>
      <c r="CB84" s="282">
        <f t="shared" si="79"/>
        <v>3935</v>
      </c>
      <c r="CC84" s="209" t="str">
        <f t="shared" si="57"/>
        <v>0</v>
      </c>
      <c r="CD84" s="235">
        <f t="shared" si="58"/>
        <v>0</v>
      </c>
      <c r="CE84" s="209">
        <f t="shared" si="87"/>
        <v>1</v>
      </c>
      <c r="CF84" s="235">
        <f t="shared" si="60"/>
        <v>5138</v>
      </c>
      <c r="CG84" s="235">
        <f t="shared" si="61"/>
        <v>1</v>
      </c>
      <c r="CH84" s="235">
        <f t="shared" si="62"/>
        <v>5138</v>
      </c>
      <c r="CI84" s="234">
        <v>49</v>
      </c>
      <c r="CJ84" s="284" t="str">
        <f t="shared" si="80"/>
        <v>0</v>
      </c>
      <c r="CK84" s="284" t="str">
        <f t="shared" si="81"/>
        <v>0</v>
      </c>
      <c r="CL84" s="243">
        <f t="shared" si="82"/>
        <v>16.077691353319715</v>
      </c>
      <c r="CM84" s="216" t="str">
        <f t="shared" si="83"/>
        <v>0</v>
      </c>
      <c r="CN84" s="216" t="str">
        <f t="shared" si="84"/>
        <v>0</v>
      </c>
      <c r="CO84" s="243">
        <f t="shared" si="85"/>
        <v>14.289917331346228</v>
      </c>
      <c r="CP84" s="306">
        <v>1</v>
      </c>
      <c r="CQ84" s="306">
        <v>0</v>
      </c>
      <c r="CR84" s="306">
        <v>0</v>
      </c>
      <c r="CS84" s="306">
        <v>0</v>
      </c>
      <c r="CT84" s="306">
        <v>2</v>
      </c>
      <c r="CU84" s="306">
        <v>0</v>
      </c>
      <c r="CV84" s="306">
        <v>0</v>
      </c>
      <c r="CW84" s="306">
        <v>0</v>
      </c>
      <c r="CX84" s="306">
        <v>0</v>
      </c>
      <c r="CY84" s="306">
        <v>88</v>
      </c>
      <c r="CZ84" s="306">
        <f t="shared" si="63"/>
        <v>78</v>
      </c>
      <c r="DA84" s="306">
        <v>10</v>
      </c>
      <c r="DB84" s="306">
        <v>51</v>
      </c>
      <c r="DC84" s="306">
        <v>17</v>
      </c>
      <c r="DD84" s="306">
        <v>69</v>
      </c>
      <c r="DE84" s="306">
        <v>19</v>
      </c>
      <c r="DF84" s="306">
        <v>20</v>
      </c>
      <c r="DG84" s="306">
        <v>65</v>
      </c>
      <c r="DH84" s="306">
        <v>24</v>
      </c>
      <c r="DI84" s="306">
        <v>2</v>
      </c>
      <c r="DJ84" s="306">
        <v>1</v>
      </c>
      <c r="DK84" s="306">
        <v>11</v>
      </c>
      <c r="DL84" s="306">
        <v>1</v>
      </c>
      <c r="DM84" s="306">
        <v>1</v>
      </c>
      <c r="DN84" s="306">
        <v>11</v>
      </c>
      <c r="DO84" s="306">
        <v>1</v>
      </c>
      <c r="DP84" s="306">
        <v>88</v>
      </c>
      <c r="DQ84" s="306">
        <f>88-7</f>
        <v>81</v>
      </c>
      <c r="DR84" s="210"/>
      <c r="DS84" s="210"/>
      <c r="DT84" s="210"/>
      <c r="DU84" s="210"/>
      <c r="DV84" s="210"/>
    </row>
    <row r="85" spans="1:126" x14ac:dyDescent="0.2">
      <c r="A85" s="12" t="s">
        <v>197</v>
      </c>
      <c r="B85" s="169">
        <v>79</v>
      </c>
      <c r="C85" s="12" t="s">
        <v>255</v>
      </c>
      <c r="D85" s="200">
        <v>1954</v>
      </c>
      <c r="E85" s="11"/>
      <c r="F85" s="169" t="s">
        <v>207</v>
      </c>
      <c r="G85" s="35">
        <v>1</v>
      </c>
      <c r="H85" s="201">
        <v>6</v>
      </c>
      <c r="I85" s="201" t="s">
        <v>19</v>
      </c>
      <c r="J85" s="115">
        <v>53684</v>
      </c>
      <c r="K85" s="115">
        <v>2972</v>
      </c>
      <c r="L85" s="157">
        <v>3580</v>
      </c>
      <c r="M85" s="115"/>
      <c r="N85" s="115">
        <v>122</v>
      </c>
      <c r="O85" s="115">
        <v>304</v>
      </c>
      <c r="P85" s="115">
        <v>122</v>
      </c>
      <c r="Q85" s="115">
        <v>211</v>
      </c>
      <c r="R85" s="228">
        <v>8081.15</v>
      </c>
      <c r="S85" s="230">
        <v>4881.1000000000004</v>
      </c>
      <c r="T85" s="115">
        <f t="shared" si="64"/>
        <v>100</v>
      </c>
      <c r="U85" s="203">
        <f t="shared" si="65"/>
        <v>6659.7099999999991</v>
      </c>
      <c r="V85" s="180">
        <f t="shared" si="66"/>
        <v>3999.8100000000004</v>
      </c>
      <c r="W85" s="115">
        <v>22</v>
      </c>
      <c r="X85" s="207">
        <v>1421.44</v>
      </c>
      <c r="Y85" s="207">
        <v>881.29</v>
      </c>
      <c r="Z85" s="204"/>
      <c r="AA85" s="207"/>
      <c r="AB85" s="207"/>
      <c r="AC85" s="207">
        <f t="shared" si="67"/>
        <v>2111.1999999999998</v>
      </c>
      <c r="AD85" s="248">
        <f t="shared" si="68"/>
        <v>501.5</v>
      </c>
      <c r="AE85" s="275"/>
      <c r="AF85" s="248">
        <v>501.5</v>
      </c>
      <c r="AG85" s="207">
        <v>1609.7</v>
      </c>
      <c r="AH85" s="207"/>
      <c r="AI85" s="207">
        <f t="shared" si="69"/>
        <v>10192.349999999999</v>
      </c>
      <c r="AJ85" s="170"/>
      <c r="AK85" s="170"/>
      <c r="AL85" s="170">
        <v>8</v>
      </c>
      <c r="AM85" s="170"/>
      <c r="AN85" s="170">
        <v>1</v>
      </c>
      <c r="AO85" s="170">
        <v>2</v>
      </c>
      <c r="AP85" s="170">
        <v>8544</v>
      </c>
      <c r="AQ85" s="170">
        <v>89.125</v>
      </c>
      <c r="AR85" s="170">
        <v>550</v>
      </c>
      <c r="AS85" s="170">
        <v>772</v>
      </c>
      <c r="AT85" s="170">
        <v>120</v>
      </c>
      <c r="AU85" s="170">
        <f t="shared" ref="AU85:AU116" si="90">AV85+AW85</f>
        <v>6854</v>
      </c>
      <c r="AV85" s="170"/>
      <c r="AW85" s="170">
        <f>6884-30</f>
        <v>6854</v>
      </c>
      <c r="AX85" s="170"/>
      <c r="AY85" s="170">
        <v>265</v>
      </c>
      <c r="AZ85" s="170">
        <v>2580</v>
      </c>
      <c r="BA85" s="170">
        <v>2869</v>
      </c>
      <c r="BB85" s="170">
        <v>34</v>
      </c>
      <c r="BC85" s="170">
        <v>16</v>
      </c>
      <c r="BD85" s="170">
        <f>442-3</f>
        <v>439</v>
      </c>
      <c r="BE85" s="170">
        <f>572-1</f>
        <v>571</v>
      </c>
      <c r="BF85" s="170"/>
      <c r="BG85" s="170">
        <f>9089-120</f>
        <v>8969</v>
      </c>
      <c r="BH85" s="170">
        <v>266</v>
      </c>
      <c r="BI85" s="170"/>
      <c r="BJ85" s="115">
        <f t="shared" si="70"/>
        <v>1</v>
      </c>
      <c r="BK85" s="115">
        <f t="shared" si="71"/>
        <v>8081.15</v>
      </c>
      <c r="BL85" s="115">
        <f t="shared" si="72"/>
        <v>4881.1000000000004</v>
      </c>
      <c r="BM85" s="115" t="str">
        <f t="shared" si="73"/>
        <v>0</v>
      </c>
      <c r="BN85" s="115" t="str">
        <f t="shared" si="74"/>
        <v>0</v>
      </c>
      <c r="BO85" s="115" t="str">
        <f t="shared" si="75"/>
        <v>0</v>
      </c>
      <c r="BP85" s="115" t="str">
        <f t="shared" si="76"/>
        <v>0</v>
      </c>
      <c r="BQ85" s="115" t="str">
        <f t="shared" si="77"/>
        <v>0</v>
      </c>
      <c r="BR85" s="115" t="str">
        <f t="shared" si="78"/>
        <v>0</v>
      </c>
      <c r="BS85" s="115"/>
      <c r="BT85" s="115">
        <v>4</v>
      </c>
      <c r="BU85" s="115">
        <f t="shared" si="88"/>
        <v>2869</v>
      </c>
      <c r="BV85" s="115">
        <v>6935</v>
      </c>
      <c r="BW85" s="115"/>
      <c r="BX85" s="115">
        <f t="shared" si="89"/>
        <v>8544</v>
      </c>
      <c r="BY85" s="253">
        <v>3947.27</v>
      </c>
      <c r="BZ85" s="253">
        <v>1018.12</v>
      </c>
      <c r="CA85" s="205">
        <v>6736</v>
      </c>
      <c r="CB85" s="282">
        <f t="shared" si="79"/>
        <v>3764</v>
      </c>
      <c r="CC85" s="209" t="str">
        <f t="shared" ref="CC85:CC116" si="91">IF(CD85&gt;0,G85,"0")</f>
        <v>0</v>
      </c>
      <c r="CD85" s="235">
        <f t="shared" ref="CD85:CD116" si="92">AV85</f>
        <v>0</v>
      </c>
      <c r="CE85" s="209">
        <f t="shared" si="87"/>
        <v>1</v>
      </c>
      <c r="CF85" s="235">
        <f t="shared" ref="CF85:CF116" si="93">AW85</f>
        <v>6854</v>
      </c>
      <c r="CG85" s="235">
        <f t="shared" ref="CG85:CG116" si="94">CC85+CE85</f>
        <v>1</v>
      </c>
      <c r="CH85" s="235">
        <f t="shared" ref="CH85:CH116" si="95">CD85+CF85</f>
        <v>6854</v>
      </c>
      <c r="CI85" s="234">
        <v>42</v>
      </c>
      <c r="CJ85" s="284" t="str">
        <f t="shared" si="80"/>
        <v>0</v>
      </c>
      <c r="CK85" s="284" t="str">
        <f t="shared" si="81"/>
        <v>0</v>
      </c>
      <c r="CL85" s="243">
        <f t="shared" si="82"/>
        <v>17.589575741076459</v>
      </c>
      <c r="CM85" s="216" t="str">
        <f t="shared" si="83"/>
        <v>0</v>
      </c>
      <c r="CN85" s="216" t="str">
        <f t="shared" si="84"/>
        <v>0</v>
      </c>
      <c r="CO85" s="243">
        <f t="shared" si="85"/>
        <v>18.866502818290193</v>
      </c>
      <c r="CP85" s="306">
        <v>1</v>
      </c>
      <c r="CQ85" s="306">
        <v>0</v>
      </c>
      <c r="CR85" s="306">
        <v>0</v>
      </c>
      <c r="CS85" s="306">
        <v>0</v>
      </c>
      <c r="CT85" s="306">
        <v>2</v>
      </c>
      <c r="CU85" s="306">
        <v>0</v>
      </c>
      <c r="CV85" s="306">
        <v>0</v>
      </c>
      <c r="CW85" s="306">
        <v>0</v>
      </c>
      <c r="CX85" s="306">
        <v>0</v>
      </c>
      <c r="CY85" s="306">
        <v>123</v>
      </c>
      <c r="CZ85" s="306">
        <f t="shared" ref="CZ85:CZ116" si="96">CY85-DA85</f>
        <v>114</v>
      </c>
      <c r="DA85" s="306">
        <v>9</v>
      </c>
      <c r="DB85" s="306">
        <v>76</v>
      </c>
      <c r="DC85" s="306">
        <v>33</v>
      </c>
      <c r="DD85" s="306">
        <v>92</v>
      </c>
      <c r="DE85" s="306">
        <v>39</v>
      </c>
      <c r="DF85" s="306">
        <v>34</v>
      </c>
      <c r="DG85" s="306">
        <v>88</v>
      </c>
      <c r="DH85" s="306">
        <v>47</v>
      </c>
      <c r="DI85" s="306">
        <v>4</v>
      </c>
      <c r="DJ85" s="306">
        <v>4</v>
      </c>
      <c r="DK85" s="306">
        <v>14</v>
      </c>
      <c r="DL85" s="306">
        <v>4</v>
      </c>
      <c r="DM85" s="306">
        <v>4</v>
      </c>
      <c r="DN85" s="306">
        <v>13</v>
      </c>
      <c r="DO85" s="306">
        <v>4</v>
      </c>
      <c r="DP85" s="306">
        <v>123</v>
      </c>
      <c r="DQ85" s="306">
        <f>123-8</f>
        <v>115</v>
      </c>
      <c r="DR85" s="210"/>
      <c r="DS85" s="210"/>
      <c r="DT85" s="210"/>
      <c r="DU85" s="210"/>
      <c r="DV85" s="210"/>
    </row>
    <row r="86" spans="1:126" x14ac:dyDescent="0.2">
      <c r="A86" s="27" t="s">
        <v>197</v>
      </c>
      <c r="B86" s="169">
        <v>80</v>
      </c>
      <c r="C86" s="12" t="s">
        <v>256</v>
      </c>
      <c r="D86" s="200">
        <v>1957</v>
      </c>
      <c r="E86" s="11"/>
      <c r="F86" s="169" t="s">
        <v>207</v>
      </c>
      <c r="G86" s="35">
        <v>1</v>
      </c>
      <c r="H86" s="201">
        <v>5</v>
      </c>
      <c r="I86" s="201" t="s">
        <v>19</v>
      </c>
      <c r="J86" s="115">
        <v>28682</v>
      </c>
      <c r="K86" s="115">
        <v>1879</v>
      </c>
      <c r="L86" s="157">
        <v>2088</v>
      </c>
      <c r="M86" s="115"/>
      <c r="N86" s="115">
        <v>71</v>
      </c>
      <c r="O86" s="115">
        <v>171</v>
      </c>
      <c r="P86" s="115">
        <v>72</v>
      </c>
      <c r="Q86" s="115">
        <v>140</v>
      </c>
      <c r="R86" s="228">
        <f>4815.89-1.3</f>
        <v>4814.59</v>
      </c>
      <c r="S86" s="230">
        <v>2779.9</v>
      </c>
      <c r="T86" s="115">
        <f t="shared" si="64"/>
        <v>69</v>
      </c>
      <c r="U86" s="203">
        <f t="shared" si="65"/>
        <v>4713.29</v>
      </c>
      <c r="V86" s="180">
        <f t="shared" si="66"/>
        <v>2717.09</v>
      </c>
      <c r="W86" s="115">
        <v>2</v>
      </c>
      <c r="X86" s="207">
        <v>101.3</v>
      </c>
      <c r="Y86" s="207">
        <v>62.81</v>
      </c>
      <c r="Z86" s="204"/>
      <c r="AA86" s="207"/>
      <c r="AB86" s="207"/>
      <c r="AC86" s="207">
        <f t="shared" si="67"/>
        <v>1267.5999999999999</v>
      </c>
      <c r="AD86" s="248">
        <f t="shared" si="68"/>
        <v>961.2</v>
      </c>
      <c r="AE86" s="275"/>
      <c r="AF86" s="248">
        <v>961.2</v>
      </c>
      <c r="AG86" s="207">
        <v>306.39999999999998</v>
      </c>
      <c r="AH86" s="207"/>
      <c r="AI86" s="207">
        <f t="shared" si="69"/>
        <v>6082.1900000000005</v>
      </c>
      <c r="AJ86" s="170"/>
      <c r="AK86" s="170"/>
      <c r="AL86" s="170">
        <v>4</v>
      </c>
      <c r="AM86" s="170"/>
      <c r="AN86" s="170"/>
      <c r="AO86" s="170">
        <v>1</v>
      </c>
      <c r="AP86" s="170">
        <v>4000</v>
      </c>
      <c r="AQ86" s="170"/>
      <c r="AR86" s="170">
        <v>563</v>
      </c>
      <c r="AS86" s="170">
        <v>250</v>
      </c>
      <c r="AT86" s="170">
        <v>130</v>
      </c>
      <c r="AU86" s="170">
        <f t="shared" si="90"/>
        <v>5279</v>
      </c>
      <c r="AV86" s="170"/>
      <c r="AW86" s="170">
        <v>5279</v>
      </c>
      <c r="AX86" s="170"/>
      <c r="AY86" s="170">
        <v>100</v>
      </c>
      <c r="AZ86" s="170">
        <v>1686</v>
      </c>
      <c r="BA86" s="170">
        <v>1686</v>
      </c>
      <c r="BB86" s="170">
        <v>16</v>
      </c>
      <c r="BC86" s="170">
        <v>8</v>
      </c>
      <c r="BD86" s="170">
        <v>330</v>
      </c>
      <c r="BE86" s="170">
        <v>72</v>
      </c>
      <c r="BF86" s="170">
        <v>1</v>
      </c>
      <c r="BG86" s="170">
        <v>6800</v>
      </c>
      <c r="BH86" s="170">
        <v>120</v>
      </c>
      <c r="BI86" s="170"/>
      <c r="BJ86" s="115">
        <f t="shared" si="70"/>
        <v>1</v>
      </c>
      <c r="BK86" s="115">
        <f t="shared" si="71"/>
        <v>4814.59</v>
      </c>
      <c r="BL86" s="115">
        <f t="shared" si="72"/>
        <v>2779.9</v>
      </c>
      <c r="BM86" s="115" t="str">
        <f t="shared" si="73"/>
        <v>0</v>
      </c>
      <c r="BN86" s="115" t="str">
        <f t="shared" si="74"/>
        <v>0</v>
      </c>
      <c r="BO86" s="115" t="str">
        <f t="shared" si="75"/>
        <v>0</v>
      </c>
      <c r="BP86" s="115" t="str">
        <f t="shared" si="76"/>
        <v>0</v>
      </c>
      <c r="BQ86" s="115" t="str">
        <f t="shared" si="77"/>
        <v>0</v>
      </c>
      <c r="BR86" s="115" t="str">
        <f t="shared" si="78"/>
        <v>0</v>
      </c>
      <c r="BS86" s="115"/>
      <c r="BT86" s="115">
        <v>2</v>
      </c>
      <c r="BU86" s="115">
        <f t="shared" si="88"/>
        <v>1686</v>
      </c>
      <c r="BV86" s="115">
        <v>5274</v>
      </c>
      <c r="BW86" s="115"/>
      <c r="BX86" s="115">
        <f t="shared" si="89"/>
        <v>4000</v>
      </c>
      <c r="BY86" s="253">
        <v>2258.9</v>
      </c>
      <c r="BZ86" s="253">
        <v>526</v>
      </c>
      <c r="CA86" s="205">
        <v>2932</v>
      </c>
      <c r="CB86" s="282">
        <f t="shared" si="79"/>
        <v>1053</v>
      </c>
      <c r="CC86" s="209" t="str">
        <f t="shared" si="91"/>
        <v>0</v>
      </c>
      <c r="CD86" s="235">
        <f t="shared" si="92"/>
        <v>0</v>
      </c>
      <c r="CE86" s="209">
        <f t="shared" si="87"/>
        <v>1</v>
      </c>
      <c r="CF86" s="235">
        <f t="shared" si="93"/>
        <v>5279</v>
      </c>
      <c r="CG86" s="235">
        <f t="shared" si="94"/>
        <v>1</v>
      </c>
      <c r="CH86" s="235">
        <f t="shared" si="95"/>
        <v>5279</v>
      </c>
      <c r="CI86" s="156">
        <v>39</v>
      </c>
      <c r="CJ86" s="284" t="str">
        <f t="shared" si="80"/>
        <v>0</v>
      </c>
      <c r="CK86" s="284" t="str">
        <f t="shared" si="81"/>
        <v>0</v>
      </c>
      <c r="CL86" s="243">
        <f t="shared" si="82"/>
        <v>2.104021318533873</v>
      </c>
      <c r="CM86" s="216" t="str">
        <f t="shared" si="83"/>
        <v>0</v>
      </c>
      <c r="CN86" s="216" t="str">
        <f t="shared" si="84"/>
        <v>0</v>
      </c>
      <c r="CO86" s="243">
        <f t="shared" si="85"/>
        <v>17.469036646339557</v>
      </c>
      <c r="CP86" s="306">
        <v>1</v>
      </c>
      <c r="CQ86" s="306">
        <v>0</v>
      </c>
      <c r="CR86" s="306">
        <v>0</v>
      </c>
      <c r="CS86" s="306">
        <v>0</v>
      </c>
      <c r="CT86" s="306">
        <v>2</v>
      </c>
      <c r="CU86" s="306">
        <v>0</v>
      </c>
      <c r="CV86" s="306">
        <v>0</v>
      </c>
      <c r="CW86" s="306">
        <v>0</v>
      </c>
      <c r="CX86" s="306">
        <v>0</v>
      </c>
      <c r="CY86" s="306">
        <v>72</v>
      </c>
      <c r="CZ86" s="306">
        <f t="shared" si="96"/>
        <v>70</v>
      </c>
      <c r="DA86" s="306">
        <v>2</v>
      </c>
      <c r="DB86" s="306">
        <v>53</v>
      </c>
      <c r="DC86" s="306">
        <v>32</v>
      </c>
      <c r="DD86" s="306">
        <v>40</v>
      </c>
      <c r="DE86" s="306">
        <v>32</v>
      </c>
      <c r="DF86" s="306">
        <v>33</v>
      </c>
      <c r="DG86" s="306">
        <v>39</v>
      </c>
      <c r="DH86" s="306">
        <v>33</v>
      </c>
      <c r="DI86" s="306">
        <v>1</v>
      </c>
      <c r="DJ86" s="306">
        <v>0</v>
      </c>
      <c r="DK86" s="306">
        <v>4</v>
      </c>
      <c r="DL86" s="306">
        <v>0</v>
      </c>
      <c r="DM86" s="306">
        <v>0</v>
      </c>
      <c r="DN86" s="306">
        <v>4</v>
      </c>
      <c r="DO86" s="306">
        <v>0</v>
      </c>
      <c r="DP86" s="306">
        <v>72</v>
      </c>
      <c r="DQ86" s="306">
        <v>72</v>
      </c>
    </row>
    <row r="87" spans="1:126" x14ac:dyDescent="0.2">
      <c r="A87" s="12" t="s">
        <v>197</v>
      </c>
      <c r="B87" s="169">
        <v>81</v>
      </c>
      <c r="C87" s="12" t="s">
        <v>257</v>
      </c>
      <c r="D87" s="200">
        <v>1960</v>
      </c>
      <c r="E87" s="11"/>
      <c r="F87" s="169" t="s">
        <v>13</v>
      </c>
      <c r="G87" s="35">
        <v>1</v>
      </c>
      <c r="H87" s="201">
        <v>5</v>
      </c>
      <c r="I87" s="201" t="s">
        <v>19</v>
      </c>
      <c r="J87" s="115">
        <v>9934</v>
      </c>
      <c r="K87" s="115">
        <v>733</v>
      </c>
      <c r="L87" s="157">
        <v>838</v>
      </c>
      <c r="M87" s="115"/>
      <c r="N87" s="115">
        <v>47</v>
      </c>
      <c r="O87" s="115">
        <v>90</v>
      </c>
      <c r="P87" s="115">
        <v>47</v>
      </c>
      <c r="Q87" s="115">
        <v>67</v>
      </c>
      <c r="R87" s="228">
        <v>1973.12</v>
      </c>
      <c r="S87" s="230">
        <v>1290.3599999999999</v>
      </c>
      <c r="T87" s="115">
        <f t="shared" si="64"/>
        <v>47</v>
      </c>
      <c r="U87" s="203">
        <f t="shared" si="65"/>
        <v>1973.12</v>
      </c>
      <c r="V87" s="180">
        <f t="shared" si="66"/>
        <v>1290.3599999999999</v>
      </c>
      <c r="W87" s="115">
        <v>0</v>
      </c>
      <c r="X87" s="207">
        <v>0</v>
      </c>
      <c r="Y87" s="207">
        <v>0</v>
      </c>
      <c r="Z87" s="204"/>
      <c r="AA87" s="207"/>
      <c r="AB87" s="207"/>
      <c r="AC87" s="207">
        <f t="shared" si="67"/>
        <v>551.1</v>
      </c>
      <c r="AD87" s="248">
        <f t="shared" si="68"/>
        <v>13.4</v>
      </c>
      <c r="AE87" s="248"/>
      <c r="AF87" s="248">
        <f>13.34+0.06</f>
        <v>13.4</v>
      </c>
      <c r="AG87" s="207">
        <v>483.3</v>
      </c>
      <c r="AH87" s="207">
        <v>54.4</v>
      </c>
      <c r="AI87" s="207">
        <f t="shared" si="69"/>
        <v>2524.2199999999998</v>
      </c>
      <c r="AJ87" s="170"/>
      <c r="AK87" s="170"/>
      <c r="AL87" s="170">
        <v>3</v>
      </c>
      <c r="AM87" s="170"/>
      <c r="AN87" s="170"/>
      <c r="AO87" s="170">
        <v>1</v>
      </c>
      <c r="AP87" s="170">
        <v>1920</v>
      </c>
      <c r="AQ87" s="170"/>
      <c r="AR87" s="170">
        <v>277</v>
      </c>
      <c r="AS87" s="170">
        <v>259</v>
      </c>
      <c r="AT87" s="170">
        <v>54</v>
      </c>
      <c r="AU87" s="170">
        <f t="shared" si="90"/>
        <v>2655</v>
      </c>
      <c r="AV87" s="170"/>
      <c r="AW87" s="170">
        <v>2655</v>
      </c>
      <c r="AX87" s="170"/>
      <c r="AY87" s="170">
        <v>159</v>
      </c>
      <c r="AZ87" s="170">
        <v>694</v>
      </c>
      <c r="BA87" s="170">
        <v>733</v>
      </c>
      <c r="BB87" s="170">
        <v>12</v>
      </c>
      <c r="BC87" s="170">
        <v>6</v>
      </c>
      <c r="BD87" s="170">
        <v>181</v>
      </c>
      <c r="BE87" s="170">
        <v>47</v>
      </c>
      <c r="BF87" s="170"/>
      <c r="BG87" s="170">
        <v>300</v>
      </c>
      <c r="BH87" s="170">
        <v>60</v>
      </c>
      <c r="BI87" s="170"/>
      <c r="BJ87" s="115">
        <f t="shared" si="70"/>
        <v>1</v>
      </c>
      <c r="BK87" s="115">
        <f t="shared" si="71"/>
        <v>1973.12</v>
      </c>
      <c r="BL87" s="115">
        <f t="shared" si="72"/>
        <v>1290.3599999999999</v>
      </c>
      <c r="BM87" s="115" t="str">
        <f t="shared" si="73"/>
        <v>0</v>
      </c>
      <c r="BN87" s="115" t="str">
        <f t="shared" si="74"/>
        <v>0</v>
      </c>
      <c r="BO87" s="115" t="str">
        <f t="shared" si="75"/>
        <v>0</v>
      </c>
      <c r="BP87" s="115" t="str">
        <f t="shared" si="76"/>
        <v>0</v>
      </c>
      <c r="BQ87" s="115" t="str">
        <f t="shared" si="77"/>
        <v>0</v>
      </c>
      <c r="BR87" s="115" t="str">
        <f t="shared" si="78"/>
        <v>0</v>
      </c>
      <c r="BS87" s="115"/>
      <c r="BT87" s="115">
        <v>2</v>
      </c>
      <c r="BU87" s="115">
        <f t="shared" si="88"/>
        <v>733</v>
      </c>
      <c r="BV87" s="115">
        <v>1910</v>
      </c>
      <c r="BW87" s="115"/>
      <c r="BX87" s="115">
        <f t="shared" si="89"/>
        <v>1920</v>
      </c>
      <c r="BY87" s="253">
        <v>928.7</v>
      </c>
      <c r="BZ87" s="253">
        <v>183.62</v>
      </c>
      <c r="CA87" s="205">
        <v>2601</v>
      </c>
      <c r="CB87" s="282">
        <f t="shared" si="79"/>
        <v>1868</v>
      </c>
      <c r="CC87" s="209" t="str">
        <f t="shared" si="91"/>
        <v>0</v>
      </c>
      <c r="CD87" s="235">
        <f t="shared" si="92"/>
        <v>0</v>
      </c>
      <c r="CE87" s="209">
        <f t="shared" si="87"/>
        <v>1</v>
      </c>
      <c r="CF87" s="235">
        <f t="shared" si="93"/>
        <v>2655</v>
      </c>
      <c r="CG87" s="235">
        <f t="shared" si="94"/>
        <v>1</v>
      </c>
      <c r="CH87" s="235">
        <f t="shared" si="95"/>
        <v>2655</v>
      </c>
      <c r="CI87" s="156">
        <v>34</v>
      </c>
      <c r="CJ87" s="284" t="str">
        <f t="shared" si="80"/>
        <v>0</v>
      </c>
      <c r="CK87" s="284" t="str">
        <f t="shared" si="81"/>
        <v>0</v>
      </c>
      <c r="CL87" s="243">
        <f t="shared" si="82"/>
        <v>0</v>
      </c>
      <c r="CM87" s="216" t="str">
        <f t="shared" si="83"/>
        <v>0</v>
      </c>
      <c r="CN87" s="216" t="str">
        <f t="shared" si="84"/>
        <v>0</v>
      </c>
      <c r="CO87" s="243">
        <f t="shared" si="85"/>
        <v>0.53085705683339812</v>
      </c>
      <c r="CP87" s="306">
        <v>1</v>
      </c>
      <c r="CQ87" s="306">
        <v>0</v>
      </c>
      <c r="CR87" s="306">
        <v>0</v>
      </c>
      <c r="CS87" s="306">
        <v>0</v>
      </c>
      <c r="CT87" s="306">
        <v>1</v>
      </c>
      <c r="CU87" s="306">
        <v>0</v>
      </c>
      <c r="CV87" s="306">
        <v>0</v>
      </c>
      <c r="CW87" s="306">
        <v>0</v>
      </c>
      <c r="CX87" s="306">
        <v>0</v>
      </c>
      <c r="CY87" s="306">
        <v>47</v>
      </c>
      <c r="CZ87" s="306">
        <f t="shared" si="96"/>
        <v>47</v>
      </c>
      <c r="DA87" s="306">
        <v>0</v>
      </c>
      <c r="DB87" s="306">
        <v>38</v>
      </c>
      <c r="DC87" s="306">
        <v>23</v>
      </c>
      <c r="DD87" s="306">
        <v>24</v>
      </c>
      <c r="DE87" s="306">
        <v>23</v>
      </c>
      <c r="DF87" s="306">
        <v>23</v>
      </c>
      <c r="DG87" s="306">
        <v>24</v>
      </c>
      <c r="DH87" s="306">
        <v>23</v>
      </c>
      <c r="DI87" s="306">
        <v>0</v>
      </c>
      <c r="DJ87" s="306">
        <v>0</v>
      </c>
      <c r="DK87" s="306">
        <v>2</v>
      </c>
      <c r="DL87" s="306">
        <v>0</v>
      </c>
      <c r="DM87" s="306">
        <v>0</v>
      </c>
      <c r="DN87" s="306">
        <v>2</v>
      </c>
      <c r="DO87" s="306">
        <v>0</v>
      </c>
      <c r="DP87" s="306">
        <v>47</v>
      </c>
      <c r="DQ87" s="306">
        <v>47</v>
      </c>
    </row>
    <row r="88" spans="1:126" x14ac:dyDescent="0.2">
      <c r="A88" s="27" t="s">
        <v>197</v>
      </c>
      <c r="B88" s="169">
        <v>82</v>
      </c>
      <c r="C88" s="12" t="s">
        <v>258</v>
      </c>
      <c r="D88" s="200">
        <v>1957</v>
      </c>
      <c r="E88" s="11"/>
      <c r="F88" s="169" t="s">
        <v>207</v>
      </c>
      <c r="G88" s="35">
        <v>1</v>
      </c>
      <c r="H88" s="201">
        <v>5</v>
      </c>
      <c r="I88" s="201" t="s">
        <v>19</v>
      </c>
      <c r="J88" s="115">
        <v>27960</v>
      </c>
      <c r="K88" s="115">
        <v>1736</v>
      </c>
      <c r="L88" s="157">
        <v>1976</v>
      </c>
      <c r="M88" s="115"/>
      <c r="N88" s="115">
        <f>67-1</f>
        <v>66</v>
      </c>
      <c r="O88" s="115">
        <f>156-1</f>
        <v>155</v>
      </c>
      <c r="P88" s="115">
        <v>66</v>
      </c>
      <c r="Q88" s="115">
        <v>122</v>
      </c>
      <c r="R88" s="228">
        <f>4410.41+57-62.6-0.01</f>
        <v>4404.7999999999993</v>
      </c>
      <c r="S88" s="230">
        <v>2508.1999999999998</v>
      </c>
      <c r="T88" s="115">
        <f t="shared" si="64"/>
        <v>64</v>
      </c>
      <c r="U88" s="203">
        <f t="shared" si="65"/>
        <v>4299.4999999999991</v>
      </c>
      <c r="V88" s="180">
        <f t="shared" si="66"/>
        <v>2442.9199999999996</v>
      </c>
      <c r="W88" s="115">
        <v>2</v>
      </c>
      <c r="X88" s="207">
        <v>105.3</v>
      </c>
      <c r="Y88" s="207">
        <v>65.28</v>
      </c>
      <c r="Z88" s="204"/>
      <c r="AA88" s="207"/>
      <c r="AB88" s="207"/>
      <c r="AC88" s="207">
        <f t="shared" si="67"/>
        <v>1557.1999999999998</v>
      </c>
      <c r="AD88" s="248">
        <f t="shared" si="68"/>
        <v>943.8</v>
      </c>
      <c r="AE88" s="275"/>
      <c r="AF88" s="248">
        <f>939.7-1.6+202.2-196.5</f>
        <v>943.8</v>
      </c>
      <c r="AG88" s="207">
        <v>613.4</v>
      </c>
      <c r="AH88" s="207"/>
      <c r="AI88" s="207">
        <f t="shared" si="69"/>
        <v>5961.9999999999991</v>
      </c>
      <c r="AJ88" s="170"/>
      <c r="AK88" s="170"/>
      <c r="AL88" s="170">
        <v>4</v>
      </c>
      <c r="AM88" s="170"/>
      <c r="AN88" s="170"/>
      <c r="AO88" s="170">
        <v>1</v>
      </c>
      <c r="AP88" s="170">
        <v>4000</v>
      </c>
      <c r="AQ88" s="170">
        <v>83.75</v>
      </c>
      <c r="AR88" s="170">
        <v>541</v>
      </c>
      <c r="AS88" s="170">
        <v>250</v>
      </c>
      <c r="AT88" s="170">
        <v>128</v>
      </c>
      <c r="AU88" s="170">
        <f t="shared" si="90"/>
        <v>5279</v>
      </c>
      <c r="AV88" s="170"/>
      <c r="AW88" s="170">
        <v>5279</v>
      </c>
      <c r="AX88" s="170"/>
      <c r="AY88" s="170">
        <v>98</v>
      </c>
      <c r="AZ88" s="170">
        <v>1686</v>
      </c>
      <c r="BA88" s="170">
        <v>1686</v>
      </c>
      <c r="BB88" s="170">
        <v>16</v>
      </c>
      <c r="BC88" s="170">
        <v>8</v>
      </c>
      <c r="BD88" s="170">
        <v>325</v>
      </c>
      <c r="BE88" s="170">
        <v>69</v>
      </c>
      <c r="BF88" s="170">
        <v>1</v>
      </c>
      <c r="BG88" s="170">
        <v>6800</v>
      </c>
      <c r="BH88" s="170">
        <v>120</v>
      </c>
      <c r="BI88" s="170"/>
      <c r="BJ88" s="115">
        <f t="shared" si="70"/>
        <v>1</v>
      </c>
      <c r="BK88" s="115">
        <f t="shared" si="71"/>
        <v>4404.7999999999993</v>
      </c>
      <c r="BL88" s="115">
        <f t="shared" si="72"/>
        <v>2508.1999999999998</v>
      </c>
      <c r="BM88" s="115" t="str">
        <f t="shared" si="73"/>
        <v>0</v>
      </c>
      <c r="BN88" s="115" t="str">
        <f t="shared" si="74"/>
        <v>0</v>
      </c>
      <c r="BO88" s="115" t="str">
        <f t="shared" si="75"/>
        <v>0</v>
      </c>
      <c r="BP88" s="115" t="str">
        <f t="shared" si="76"/>
        <v>0</v>
      </c>
      <c r="BQ88" s="115" t="str">
        <f t="shared" si="77"/>
        <v>0</v>
      </c>
      <c r="BR88" s="115" t="str">
        <f t="shared" si="78"/>
        <v>0</v>
      </c>
      <c r="BS88" s="115"/>
      <c r="BT88" s="115">
        <v>2</v>
      </c>
      <c r="BU88" s="115">
        <f t="shared" si="88"/>
        <v>1686</v>
      </c>
      <c r="BV88" s="115">
        <v>5272</v>
      </c>
      <c r="BW88" s="115"/>
      <c r="BX88" s="115">
        <f t="shared" si="89"/>
        <v>4000</v>
      </c>
      <c r="BY88" s="253">
        <v>2309.3000000000002</v>
      </c>
      <c r="BZ88" s="253">
        <v>585</v>
      </c>
      <c r="CA88" s="205">
        <v>3037</v>
      </c>
      <c r="CB88" s="282">
        <f t="shared" si="79"/>
        <v>1301</v>
      </c>
      <c r="CC88" s="209" t="str">
        <f t="shared" si="91"/>
        <v>0</v>
      </c>
      <c r="CD88" s="235">
        <f t="shared" si="92"/>
        <v>0</v>
      </c>
      <c r="CE88" s="209">
        <f t="shared" si="87"/>
        <v>1</v>
      </c>
      <c r="CF88" s="235">
        <f t="shared" si="93"/>
        <v>5279</v>
      </c>
      <c r="CG88" s="235">
        <f t="shared" si="94"/>
        <v>1</v>
      </c>
      <c r="CH88" s="235">
        <f t="shared" si="95"/>
        <v>5279</v>
      </c>
      <c r="CI88" s="156">
        <v>42</v>
      </c>
      <c r="CJ88" s="284" t="str">
        <f t="shared" si="80"/>
        <v>0</v>
      </c>
      <c r="CK88" s="284" t="str">
        <f t="shared" si="81"/>
        <v>0</v>
      </c>
      <c r="CL88" s="243">
        <f t="shared" si="82"/>
        <v>2.3905739193606976</v>
      </c>
      <c r="CM88" s="216" t="str">
        <f t="shared" si="83"/>
        <v>0</v>
      </c>
      <c r="CN88" s="216" t="str">
        <f t="shared" si="84"/>
        <v>0</v>
      </c>
      <c r="CO88" s="243">
        <f t="shared" si="85"/>
        <v>17.596444146259646</v>
      </c>
      <c r="CP88" s="306">
        <v>1</v>
      </c>
      <c r="CQ88" s="306">
        <v>0</v>
      </c>
      <c r="CR88" s="306">
        <v>0</v>
      </c>
      <c r="CS88" s="306">
        <v>0</v>
      </c>
      <c r="CT88" s="306">
        <v>2</v>
      </c>
      <c r="CU88" s="306">
        <v>0</v>
      </c>
      <c r="CV88" s="306">
        <v>0</v>
      </c>
      <c r="CW88" s="306">
        <v>0</v>
      </c>
      <c r="CX88" s="306">
        <v>0</v>
      </c>
      <c r="CY88" s="306">
        <v>67</v>
      </c>
      <c r="CZ88" s="306">
        <f t="shared" si="96"/>
        <v>64</v>
      </c>
      <c r="DA88" s="306">
        <v>3</v>
      </c>
      <c r="DB88" s="306">
        <v>47</v>
      </c>
      <c r="DC88" s="306">
        <v>32</v>
      </c>
      <c r="DD88" s="306">
        <v>37</v>
      </c>
      <c r="DE88" s="306">
        <v>33</v>
      </c>
      <c r="DF88" s="306">
        <v>32</v>
      </c>
      <c r="DG88" s="306">
        <v>37</v>
      </c>
      <c r="DH88" s="306">
        <v>33</v>
      </c>
      <c r="DI88" s="306">
        <v>0</v>
      </c>
      <c r="DJ88" s="306">
        <v>0</v>
      </c>
      <c r="DK88" s="306">
        <v>5</v>
      </c>
      <c r="DL88" s="306">
        <v>0</v>
      </c>
      <c r="DM88" s="306">
        <v>0</v>
      </c>
      <c r="DN88" s="306">
        <v>5</v>
      </c>
      <c r="DO88" s="306">
        <v>0</v>
      </c>
      <c r="DP88" s="306">
        <v>67</v>
      </c>
      <c r="DQ88" s="306">
        <f>67-3</f>
        <v>64</v>
      </c>
    </row>
    <row r="89" spans="1:126" x14ac:dyDescent="0.2">
      <c r="A89" s="27" t="s">
        <v>197</v>
      </c>
      <c r="B89" s="169">
        <v>83</v>
      </c>
      <c r="C89" s="12" t="s">
        <v>259</v>
      </c>
      <c r="D89" s="200">
        <v>1960</v>
      </c>
      <c r="E89" s="11"/>
      <c r="F89" s="169" t="s">
        <v>13</v>
      </c>
      <c r="G89" s="35">
        <v>1</v>
      </c>
      <c r="H89" s="201">
        <v>5</v>
      </c>
      <c r="I89" s="201" t="s">
        <v>19</v>
      </c>
      <c r="J89" s="115">
        <v>32432</v>
      </c>
      <c r="K89" s="115">
        <v>2398</v>
      </c>
      <c r="L89" s="157">
        <v>2714</v>
      </c>
      <c r="M89" s="115"/>
      <c r="N89" s="115">
        <v>187</v>
      </c>
      <c r="O89" s="115">
        <v>354</v>
      </c>
      <c r="P89" s="115">
        <v>187</v>
      </c>
      <c r="Q89" s="115">
        <v>269</v>
      </c>
      <c r="R89" s="228">
        <f>7823.34+0.03</f>
        <v>7823.37</v>
      </c>
      <c r="S89" s="230">
        <v>4813.5599999999995</v>
      </c>
      <c r="T89" s="115">
        <f t="shared" si="64"/>
        <v>172</v>
      </c>
      <c r="U89" s="203">
        <f t="shared" si="65"/>
        <v>7206.62</v>
      </c>
      <c r="V89" s="180">
        <f t="shared" si="66"/>
        <v>4431.1699999999992</v>
      </c>
      <c r="W89" s="115">
        <v>15</v>
      </c>
      <c r="X89" s="207">
        <v>616.75</v>
      </c>
      <c r="Y89" s="207">
        <v>382.39</v>
      </c>
      <c r="Z89" s="204"/>
      <c r="AA89" s="207"/>
      <c r="AB89" s="207"/>
      <c r="AC89" s="207">
        <f t="shared" si="67"/>
        <v>412.8</v>
      </c>
      <c r="AD89" s="248">
        <f t="shared" si="68"/>
        <v>0</v>
      </c>
      <c r="AE89" s="275"/>
      <c r="AF89" s="248"/>
      <c r="AG89" s="207">
        <f>413.18-0.38</f>
        <v>412.8</v>
      </c>
      <c r="AH89" s="207"/>
      <c r="AI89" s="207">
        <f t="shared" si="69"/>
        <v>8236.17</v>
      </c>
      <c r="AJ89" s="170"/>
      <c r="AK89" s="170"/>
      <c r="AL89" s="170">
        <v>10</v>
      </c>
      <c r="AM89" s="170"/>
      <c r="AN89" s="170">
        <v>1</v>
      </c>
      <c r="AO89" s="170">
        <v>2</v>
      </c>
      <c r="AP89" s="170">
        <v>8892</v>
      </c>
      <c r="AQ89" s="170">
        <v>53.5</v>
      </c>
      <c r="AR89" s="170">
        <v>522</v>
      </c>
      <c r="AS89" s="170">
        <v>671</v>
      </c>
      <c r="AT89" s="170">
        <v>180</v>
      </c>
      <c r="AU89" s="170">
        <f t="shared" si="90"/>
        <v>8850</v>
      </c>
      <c r="AV89" s="170"/>
      <c r="AW89" s="170">
        <v>8850</v>
      </c>
      <c r="AX89" s="170"/>
      <c r="AY89" s="170">
        <v>569</v>
      </c>
      <c r="AZ89" s="170">
        <v>2172</v>
      </c>
      <c r="BA89" s="170">
        <v>2385</v>
      </c>
      <c r="BB89" s="170">
        <v>40</v>
      </c>
      <c r="BC89" s="170">
        <v>20</v>
      </c>
      <c r="BD89" s="170">
        <f>387-3</f>
        <v>384</v>
      </c>
      <c r="BE89" s="170">
        <f>188-1</f>
        <v>187</v>
      </c>
      <c r="BF89" s="170"/>
      <c r="BG89" s="170">
        <v>1000</v>
      </c>
      <c r="BH89" s="170">
        <v>200</v>
      </c>
      <c r="BI89" s="170"/>
      <c r="BJ89" s="115">
        <f t="shared" si="70"/>
        <v>1</v>
      </c>
      <c r="BK89" s="115">
        <f t="shared" si="71"/>
        <v>7823.37</v>
      </c>
      <c r="BL89" s="115">
        <f t="shared" si="72"/>
        <v>4813.5599999999995</v>
      </c>
      <c r="BM89" s="115" t="str">
        <f t="shared" si="73"/>
        <v>0</v>
      </c>
      <c r="BN89" s="115" t="str">
        <f t="shared" si="74"/>
        <v>0</v>
      </c>
      <c r="BO89" s="115" t="str">
        <f t="shared" si="75"/>
        <v>0</v>
      </c>
      <c r="BP89" s="115" t="str">
        <f t="shared" si="76"/>
        <v>0</v>
      </c>
      <c r="BQ89" s="115" t="str">
        <f t="shared" si="77"/>
        <v>0</v>
      </c>
      <c r="BR89" s="115" t="str">
        <f t="shared" si="78"/>
        <v>0</v>
      </c>
      <c r="BS89" s="115"/>
      <c r="BT89" s="115">
        <v>3</v>
      </c>
      <c r="BU89" s="115">
        <f t="shared" si="88"/>
        <v>2385</v>
      </c>
      <c r="BV89" s="115">
        <v>6924</v>
      </c>
      <c r="BW89" s="115">
        <v>3</v>
      </c>
      <c r="BX89" s="115">
        <f t="shared" si="89"/>
        <v>8892</v>
      </c>
      <c r="BY89" s="253">
        <v>2942.34</v>
      </c>
      <c r="BZ89" s="253">
        <v>612.85</v>
      </c>
      <c r="CA89" s="205">
        <v>6235</v>
      </c>
      <c r="CB89" s="282">
        <f t="shared" si="79"/>
        <v>3837</v>
      </c>
      <c r="CC89" s="209" t="str">
        <f t="shared" si="91"/>
        <v>0</v>
      </c>
      <c r="CD89" s="235">
        <f t="shared" si="92"/>
        <v>0</v>
      </c>
      <c r="CE89" s="209">
        <f t="shared" si="87"/>
        <v>1</v>
      </c>
      <c r="CF89" s="235">
        <f t="shared" si="93"/>
        <v>8850</v>
      </c>
      <c r="CG89" s="235">
        <f t="shared" si="94"/>
        <v>1</v>
      </c>
      <c r="CH89" s="235">
        <f t="shared" si="95"/>
        <v>8850</v>
      </c>
      <c r="CI89" s="156">
        <v>60</v>
      </c>
      <c r="CJ89" s="284" t="str">
        <f t="shared" si="80"/>
        <v>0</v>
      </c>
      <c r="CK89" s="284" t="str">
        <f t="shared" si="81"/>
        <v>0</v>
      </c>
      <c r="CL89" s="243">
        <f t="shared" si="82"/>
        <v>7.8834313090138899</v>
      </c>
      <c r="CM89" s="216" t="str">
        <f t="shared" si="83"/>
        <v>0</v>
      </c>
      <c r="CN89" s="216" t="str">
        <f t="shared" si="84"/>
        <v>0</v>
      </c>
      <c r="CO89" s="243">
        <f t="shared" si="85"/>
        <v>7.4883107075254642</v>
      </c>
      <c r="CP89" s="306">
        <v>1</v>
      </c>
      <c r="CQ89" s="306">
        <v>0</v>
      </c>
      <c r="CR89" s="306">
        <v>0</v>
      </c>
      <c r="CS89" s="306">
        <v>0</v>
      </c>
      <c r="CT89" s="306">
        <v>2</v>
      </c>
      <c r="CU89" s="306">
        <v>0</v>
      </c>
      <c r="CV89" s="306">
        <v>0</v>
      </c>
      <c r="CW89" s="306">
        <v>0</v>
      </c>
      <c r="CX89" s="306">
        <v>0</v>
      </c>
      <c r="CY89" s="306">
        <v>185</v>
      </c>
      <c r="CZ89" s="306">
        <f t="shared" si="96"/>
        <v>170</v>
      </c>
      <c r="DA89" s="306">
        <v>15</v>
      </c>
      <c r="DB89" s="306">
        <v>132</v>
      </c>
      <c r="DC89" s="306">
        <v>78</v>
      </c>
      <c r="DD89" s="306">
        <v>109</v>
      </c>
      <c r="DE89" s="306">
        <v>79</v>
      </c>
      <c r="DF89" s="306">
        <v>78</v>
      </c>
      <c r="DG89" s="306">
        <v>110</v>
      </c>
      <c r="DH89" s="306">
        <v>78</v>
      </c>
      <c r="DI89" s="306">
        <v>6</v>
      </c>
      <c r="DJ89" s="306">
        <v>6</v>
      </c>
      <c r="DK89" s="306">
        <v>16</v>
      </c>
      <c r="DL89" s="306">
        <v>6</v>
      </c>
      <c r="DM89" s="306">
        <v>6</v>
      </c>
      <c r="DN89" s="306">
        <v>16</v>
      </c>
      <c r="DO89" s="306">
        <v>6</v>
      </c>
      <c r="DP89" s="306">
        <v>185</v>
      </c>
      <c r="DQ89" s="306">
        <v>185</v>
      </c>
    </row>
    <row r="90" spans="1:126" x14ac:dyDescent="0.2">
      <c r="A90" s="208" t="s">
        <v>203</v>
      </c>
      <c r="B90" s="169">
        <v>84</v>
      </c>
      <c r="C90" s="12" t="s">
        <v>260</v>
      </c>
      <c r="D90" s="200">
        <v>1958</v>
      </c>
      <c r="E90" s="11"/>
      <c r="F90" s="169" t="s">
        <v>207</v>
      </c>
      <c r="G90" s="35">
        <v>1</v>
      </c>
      <c r="H90" s="201">
        <v>5</v>
      </c>
      <c r="I90" s="201" t="s">
        <v>19</v>
      </c>
      <c r="J90" s="115">
        <v>47301</v>
      </c>
      <c r="K90" s="115">
        <v>3086</v>
      </c>
      <c r="L90" s="157">
        <v>3500</v>
      </c>
      <c r="M90" s="115"/>
      <c r="N90" s="115">
        <v>139</v>
      </c>
      <c r="O90" s="115">
        <v>312</v>
      </c>
      <c r="P90" s="115">
        <v>139</v>
      </c>
      <c r="Q90" s="115">
        <v>290</v>
      </c>
      <c r="R90" s="228">
        <f>8691.64-0.4</f>
        <v>8691.24</v>
      </c>
      <c r="S90" s="230">
        <v>4943.43</v>
      </c>
      <c r="T90" s="115">
        <f t="shared" si="64"/>
        <v>133</v>
      </c>
      <c r="U90" s="203">
        <f t="shared" si="65"/>
        <v>8336.93</v>
      </c>
      <c r="V90" s="180">
        <f t="shared" si="66"/>
        <v>4723.76</v>
      </c>
      <c r="W90" s="115">
        <v>6</v>
      </c>
      <c r="X90" s="207">
        <v>354.31</v>
      </c>
      <c r="Y90" s="207">
        <v>219.67</v>
      </c>
      <c r="Z90" s="204"/>
      <c r="AA90" s="207"/>
      <c r="AB90" s="207"/>
      <c r="AC90" s="207">
        <f t="shared" si="67"/>
        <v>1992.1000000000001</v>
      </c>
      <c r="AD90" s="248">
        <f t="shared" si="68"/>
        <v>1011.4000000000001</v>
      </c>
      <c r="AE90" s="275"/>
      <c r="AF90" s="248">
        <f>1003.2+8.2</f>
        <v>1011.4000000000001</v>
      </c>
      <c r="AG90" s="207">
        <f>980.7</f>
        <v>980.7</v>
      </c>
      <c r="AH90" s="207"/>
      <c r="AI90" s="207">
        <f t="shared" si="69"/>
        <v>10683.34</v>
      </c>
      <c r="AJ90" s="170"/>
      <c r="AK90" s="170"/>
      <c r="AL90" s="170">
        <v>8</v>
      </c>
      <c r="AM90" s="170"/>
      <c r="AN90" s="170"/>
      <c r="AO90" s="170">
        <v>2</v>
      </c>
      <c r="AP90" s="170">
        <v>6418</v>
      </c>
      <c r="AQ90" s="170"/>
      <c r="AR90" s="170">
        <v>493</v>
      </c>
      <c r="AS90" s="170">
        <v>542</v>
      </c>
      <c r="AT90" s="170">
        <v>256</v>
      </c>
      <c r="AU90" s="170">
        <f t="shared" si="90"/>
        <v>10419</v>
      </c>
      <c r="AV90" s="170"/>
      <c r="AW90" s="170">
        <v>10419</v>
      </c>
      <c r="AX90" s="170"/>
      <c r="AY90" s="170">
        <v>209</v>
      </c>
      <c r="AZ90" s="170">
        <v>3086</v>
      </c>
      <c r="BA90" s="170">
        <v>3086</v>
      </c>
      <c r="BB90" s="170">
        <v>32</v>
      </c>
      <c r="BC90" s="170">
        <v>16</v>
      </c>
      <c r="BD90" s="170">
        <v>590</v>
      </c>
      <c r="BE90" s="170">
        <v>139</v>
      </c>
      <c r="BF90" s="170">
        <v>1</v>
      </c>
      <c r="BG90" s="170">
        <v>13600</v>
      </c>
      <c r="BH90" s="170">
        <v>240</v>
      </c>
      <c r="BI90" s="170"/>
      <c r="BJ90" s="115">
        <f t="shared" si="70"/>
        <v>1</v>
      </c>
      <c r="BK90" s="115">
        <f t="shared" si="71"/>
        <v>8691.24</v>
      </c>
      <c r="BL90" s="115">
        <f t="shared" si="72"/>
        <v>4943.43</v>
      </c>
      <c r="BM90" s="115" t="str">
        <f t="shared" si="73"/>
        <v>0</v>
      </c>
      <c r="BN90" s="115" t="str">
        <f t="shared" si="74"/>
        <v>0</v>
      </c>
      <c r="BO90" s="115" t="str">
        <f t="shared" si="75"/>
        <v>0</v>
      </c>
      <c r="BP90" s="115" t="str">
        <f t="shared" si="76"/>
        <v>0</v>
      </c>
      <c r="BQ90" s="115" t="str">
        <f t="shared" si="77"/>
        <v>0</v>
      </c>
      <c r="BR90" s="115" t="str">
        <f t="shared" si="78"/>
        <v>0</v>
      </c>
      <c r="BS90" s="115"/>
      <c r="BT90" s="115">
        <v>3</v>
      </c>
      <c r="BU90" s="115">
        <f t="shared" si="88"/>
        <v>3086</v>
      </c>
      <c r="BV90" s="115">
        <v>9116</v>
      </c>
      <c r="BW90" s="115">
        <v>15</v>
      </c>
      <c r="BX90" s="115">
        <f t="shared" si="89"/>
        <v>6418</v>
      </c>
      <c r="BY90" s="253">
        <v>4020.78</v>
      </c>
      <c r="BZ90" s="253">
        <v>1016.38</v>
      </c>
      <c r="CA90" s="205">
        <v>5176</v>
      </c>
      <c r="CB90" s="282">
        <f t="shared" si="79"/>
        <v>2090</v>
      </c>
      <c r="CC90" s="209" t="str">
        <f t="shared" si="91"/>
        <v>0</v>
      </c>
      <c r="CD90" s="235">
        <f t="shared" si="92"/>
        <v>0</v>
      </c>
      <c r="CE90" s="209">
        <f t="shared" si="87"/>
        <v>1</v>
      </c>
      <c r="CF90" s="235">
        <f t="shared" si="93"/>
        <v>10419</v>
      </c>
      <c r="CG90" s="235">
        <f t="shared" si="94"/>
        <v>1</v>
      </c>
      <c r="CH90" s="235">
        <f t="shared" si="95"/>
        <v>10419</v>
      </c>
      <c r="CI90" s="156">
        <v>43</v>
      </c>
      <c r="CJ90" s="284" t="str">
        <f t="shared" si="80"/>
        <v>0</v>
      </c>
      <c r="CK90" s="284" t="str">
        <f t="shared" si="81"/>
        <v>0</v>
      </c>
      <c r="CL90" s="243">
        <f t="shared" si="82"/>
        <v>4.0766334838296956</v>
      </c>
      <c r="CM90" s="216" t="str">
        <f t="shared" si="83"/>
        <v>0</v>
      </c>
      <c r="CN90" s="216" t="str">
        <f t="shared" si="84"/>
        <v>0</v>
      </c>
      <c r="CO90" s="243">
        <f t="shared" si="85"/>
        <v>12.783548965024046</v>
      </c>
      <c r="CP90" s="306">
        <v>1</v>
      </c>
      <c r="CQ90" s="306">
        <v>0</v>
      </c>
      <c r="CR90" s="306">
        <v>0</v>
      </c>
      <c r="CS90" s="306">
        <v>0</v>
      </c>
      <c r="CT90" s="306">
        <v>2</v>
      </c>
      <c r="CU90" s="306">
        <v>0</v>
      </c>
      <c r="CV90" s="306">
        <v>0</v>
      </c>
      <c r="CW90" s="306">
        <v>0</v>
      </c>
      <c r="CX90" s="306">
        <v>0</v>
      </c>
      <c r="CY90" s="306">
        <v>139</v>
      </c>
      <c r="CZ90" s="306">
        <f t="shared" si="96"/>
        <v>132</v>
      </c>
      <c r="DA90" s="306">
        <v>7</v>
      </c>
      <c r="DB90" s="306">
        <v>101</v>
      </c>
      <c r="DC90" s="306">
        <v>59</v>
      </c>
      <c r="DD90" s="306">
        <v>80</v>
      </c>
      <c r="DE90" s="306">
        <v>59</v>
      </c>
      <c r="DF90" s="306">
        <v>59</v>
      </c>
      <c r="DG90" s="306">
        <v>80</v>
      </c>
      <c r="DH90" s="306">
        <v>59</v>
      </c>
      <c r="DI90" s="306">
        <v>3</v>
      </c>
      <c r="DJ90" s="306">
        <v>3</v>
      </c>
      <c r="DK90" s="306">
        <v>6</v>
      </c>
      <c r="DL90" s="306">
        <v>4</v>
      </c>
      <c r="DM90" s="306">
        <v>3</v>
      </c>
      <c r="DN90" s="306">
        <v>6</v>
      </c>
      <c r="DO90" s="306">
        <v>4</v>
      </c>
      <c r="DP90" s="306">
        <v>139</v>
      </c>
      <c r="DQ90" s="306">
        <f>139-2</f>
        <v>137</v>
      </c>
    </row>
    <row r="91" spans="1:126" x14ac:dyDescent="0.2">
      <c r="A91" s="27" t="s">
        <v>142</v>
      </c>
      <c r="B91" s="169">
        <v>85</v>
      </c>
      <c r="C91" s="12" t="s">
        <v>172</v>
      </c>
      <c r="D91" s="13">
        <v>1960</v>
      </c>
      <c r="E91" s="11"/>
      <c r="F91" s="169" t="s">
        <v>13</v>
      </c>
      <c r="G91" s="35">
        <v>1</v>
      </c>
      <c r="H91" s="45">
        <v>5</v>
      </c>
      <c r="I91" s="1" t="s">
        <v>19</v>
      </c>
      <c r="J91" s="116">
        <v>43621</v>
      </c>
      <c r="K91" s="116">
        <v>3248</v>
      </c>
      <c r="L91" s="122">
        <f>835+834+1193+834</f>
        <v>3696</v>
      </c>
      <c r="M91" s="122"/>
      <c r="N91" s="122">
        <v>218</v>
      </c>
      <c r="O91" s="122">
        <v>434</v>
      </c>
      <c r="P91" s="122">
        <v>221</v>
      </c>
      <c r="Q91" s="122">
        <v>413</v>
      </c>
      <c r="R91" s="180">
        <v>9353.7999999999993</v>
      </c>
      <c r="S91" s="122">
        <v>5771.6</v>
      </c>
      <c r="T91" s="122">
        <f t="shared" si="64"/>
        <v>202</v>
      </c>
      <c r="U91" s="180">
        <f t="shared" si="65"/>
        <v>8703.2999999999993</v>
      </c>
      <c r="V91" s="180">
        <f t="shared" si="66"/>
        <v>5374.79</v>
      </c>
      <c r="W91" s="122">
        <v>16</v>
      </c>
      <c r="X91" s="180">
        <v>650.5</v>
      </c>
      <c r="Y91" s="180">
        <v>396.81</v>
      </c>
      <c r="Z91" s="122"/>
      <c r="AA91" s="180"/>
      <c r="AB91" s="180"/>
      <c r="AC91" s="180">
        <f t="shared" si="67"/>
        <v>1651.3</v>
      </c>
      <c r="AD91" s="179">
        <f t="shared" si="68"/>
        <v>0</v>
      </c>
      <c r="AE91" s="272"/>
      <c r="AF91" s="179"/>
      <c r="AG91" s="180">
        <v>1651.3</v>
      </c>
      <c r="AH91" s="180"/>
      <c r="AI91" s="180">
        <f t="shared" si="69"/>
        <v>11005.099999999999</v>
      </c>
      <c r="AJ91" s="122"/>
      <c r="AK91" s="122"/>
      <c r="AL91" s="122">
        <f>3+3+4+3</f>
        <v>13</v>
      </c>
      <c r="AM91" s="122"/>
      <c r="AN91" s="122"/>
      <c r="AO91" s="122">
        <f>1+2</f>
        <v>3</v>
      </c>
      <c r="AP91" s="122">
        <f>1877+1988+2127+1750</f>
        <v>7742</v>
      </c>
      <c r="AQ91" s="35">
        <v>98.25</v>
      </c>
      <c r="AR91" s="122">
        <f>219+215+233+257</f>
        <v>924</v>
      </c>
      <c r="AS91" s="35">
        <f>292+232+232+232</f>
        <v>988</v>
      </c>
      <c r="AT91" s="122">
        <f>38+38+51+38</f>
        <v>165</v>
      </c>
      <c r="AU91" s="122">
        <f t="shared" si="90"/>
        <v>9989</v>
      </c>
      <c r="AV91" s="122"/>
      <c r="AW91" s="122">
        <f>2305+2305+3074+2305</f>
        <v>9989</v>
      </c>
      <c r="AX91" s="122"/>
      <c r="AY91" s="122">
        <f>164+165+220+164</f>
        <v>713</v>
      </c>
      <c r="AZ91" s="122">
        <f>699+699+883+698</f>
        <v>2979</v>
      </c>
      <c r="BA91" s="122">
        <f>699+699+883+698</f>
        <v>2979</v>
      </c>
      <c r="BB91" s="122">
        <f>15+15+15+20</f>
        <v>65</v>
      </c>
      <c r="BC91" s="122">
        <f>9+9+9+12</f>
        <v>39</v>
      </c>
      <c r="BD91" s="122">
        <f>175+148+192+148</f>
        <v>663</v>
      </c>
      <c r="BE91" s="122">
        <f>59+48+48+64</f>
        <v>219</v>
      </c>
      <c r="BF91" s="122">
        <f>3+10</f>
        <v>13</v>
      </c>
      <c r="BG91" s="122">
        <f>11454+11154+14872+11154</f>
        <v>48634</v>
      </c>
      <c r="BH91" s="122">
        <f>369+369+369+492</f>
        <v>1599</v>
      </c>
      <c r="BI91" s="122"/>
      <c r="BJ91" s="115">
        <f t="shared" si="70"/>
        <v>1</v>
      </c>
      <c r="BK91" s="115">
        <f t="shared" si="71"/>
        <v>9353.7999999999993</v>
      </c>
      <c r="BL91" s="115">
        <f t="shared" si="72"/>
        <v>5771.6</v>
      </c>
      <c r="BM91" s="115" t="str">
        <f t="shared" si="73"/>
        <v>0</v>
      </c>
      <c r="BN91" s="115" t="str">
        <f t="shared" si="74"/>
        <v>0</v>
      </c>
      <c r="BO91" s="115" t="str">
        <f t="shared" si="75"/>
        <v>0</v>
      </c>
      <c r="BP91" s="115" t="str">
        <f t="shared" si="76"/>
        <v>0</v>
      </c>
      <c r="BQ91" s="115" t="str">
        <f t="shared" si="77"/>
        <v>0</v>
      </c>
      <c r="BR91" s="115" t="str">
        <f t="shared" si="78"/>
        <v>0</v>
      </c>
      <c r="BS91" s="115"/>
      <c r="BT91" s="115">
        <f>1+5</f>
        <v>6</v>
      </c>
      <c r="BU91" s="122">
        <v>698</v>
      </c>
      <c r="BV91" s="115"/>
      <c r="BW91" s="115">
        <v>29</v>
      </c>
      <c r="BX91" s="115">
        <f t="shared" si="89"/>
        <v>7742</v>
      </c>
      <c r="BY91" s="275">
        <v>3846.3</v>
      </c>
      <c r="BZ91" s="253">
        <v>785</v>
      </c>
      <c r="CA91" s="157">
        <f>1525+1054+3558+1052</f>
        <v>7189</v>
      </c>
      <c r="CB91" s="275">
        <f t="shared" si="79"/>
        <v>3941</v>
      </c>
      <c r="CC91" s="209" t="str">
        <f t="shared" si="91"/>
        <v>0</v>
      </c>
      <c r="CD91" s="235">
        <f t="shared" si="92"/>
        <v>0</v>
      </c>
      <c r="CE91" s="209">
        <f t="shared" si="87"/>
        <v>1</v>
      </c>
      <c r="CF91" s="235">
        <f t="shared" si="93"/>
        <v>9989</v>
      </c>
      <c r="CG91" s="235">
        <f t="shared" si="94"/>
        <v>1</v>
      </c>
      <c r="CH91" s="235">
        <f t="shared" si="95"/>
        <v>9989</v>
      </c>
      <c r="CI91" s="14">
        <v>39</v>
      </c>
      <c r="CJ91" s="284" t="str">
        <f t="shared" si="80"/>
        <v>0</v>
      </c>
      <c r="CK91" s="284" t="str">
        <f t="shared" si="81"/>
        <v>0</v>
      </c>
      <c r="CL91" s="243">
        <f t="shared" si="82"/>
        <v>6.9543928670700677</v>
      </c>
      <c r="CM91" s="216" t="str">
        <f t="shared" si="83"/>
        <v>0</v>
      </c>
      <c r="CN91" s="216" t="str">
        <f t="shared" si="84"/>
        <v>0</v>
      </c>
      <c r="CO91" s="243">
        <f t="shared" si="85"/>
        <v>5.9108958573752171</v>
      </c>
      <c r="CP91" s="305">
        <v>1</v>
      </c>
      <c r="CQ91" s="305">
        <v>0</v>
      </c>
      <c r="CR91" s="305">
        <v>0</v>
      </c>
      <c r="CS91" s="305">
        <v>0</v>
      </c>
      <c r="CT91" s="305">
        <v>4</v>
      </c>
      <c r="CU91" s="305">
        <v>0</v>
      </c>
      <c r="CV91" s="305">
        <v>0</v>
      </c>
      <c r="CW91" s="305">
        <v>0</v>
      </c>
      <c r="CX91" s="306">
        <v>0</v>
      </c>
      <c r="CY91" s="306">
        <v>219</v>
      </c>
      <c r="CZ91" s="306">
        <f t="shared" si="96"/>
        <v>201</v>
      </c>
      <c r="DA91" s="306">
        <v>18</v>
      </c>
      <c r="DB91" s="306">
        <v>143</v>
      </c>
      <c r="DC91" s="306">
        <v>96</v>
      </c>
      <c r="DD91" s="306">
        <v>123</v>
      </c>
      <c r="DE91" s="306">
        <v>96</v>
      </c>
      <c r="DF91" s="306">
        <v>97</v>
      </c>
      <c r="DG91" s="306">
        <v>122</v>
      </c>
      <c r="DH91" s="306">
        <v>97</v>
      </c>
      <c r="DI91" s="306">
        <v>9</v>
      </c>
      <c r="DJ91" s="306">
        <v>6</v>
      </c>
      <c r="DK91" s="306">
        <v>9</v>
      </c>
      <c r="DL91" s="306">
        <v>6</v>
      </c>
      <c r="DM91" s="306">
        <v>6</v>
      </c>
      <c r="DN91" s="306">
        <v>9</v>
      </c>
      <c r="DO91" s="306">
        <v>6</v>
      </c>
      <c r="DP91" s="306">
        <v>219</v>
      </c>
      <c r="DQ91" s="306">
        <v>219</v>
      </c>
    </row>
    <row r="92" spans="1:126" x14ac:dyDescent="0.2">
      <c r="A92" s="12" t="s">
        <v>142</v>
      </c>
      <c r="B92" s="169">
        <v>86</v>
      </c>
      <c r="C92" s="12" t="s">
        <v>78</v>
      </c>
      <c r="D92" s="13">
        <v>1962</v>
      </c>
      <c r="E92" s="11"/>
      <c r="F92" s="169" t="s">
        <v>13</v>
      </c>
      <c r="G92" s="35">
        <v>1</v>
      </c>
      <c r="H92" s="45">
        <v>5</v>
      </c>
      <c r="I92" s="1" t="s">
        <v>19</v>
      </c>
      <c r="J92" s="122">
        <f>7361/2</f>
        <v>3680.5</v>
      </c>
      <c r="K92" s="122">
        <v>623</v>
      </c>
      <c r="L92" s="122">
        <f>562/2</f>
        <v>281</v>
      </c>
      <c r="M92" s="122"/>
      <c r="N92" s="122">
        <v>16</v>
      </c>
      <c r="O92" s="122">
        <v>28</v>
      </c>
      <c r="P92" s="122">
        <v>16</v>
      </c>
      <c r="Q92" s="122">
        <v>14</v>
      </c>
      <c r="R92" s="180">
        <v>639.6</v>
      </c>
      <c r="S92" s="121">
        <v>404.5</v>
      </c>
      <c r="T92" s="122">
        <f t="shared" si="64"/>
        <v>14</v>
      </c>
      <c r="U92" s="180">
        <f t="shared" si="65"/>
        <v>579.30000000000007</v>
      </c>
      <c r="V92" s="180">
        <f t="shared" si="66"/>
        <v>369.7</v>
      </c>
      <c r="W92" s="122">
        <v>2</v>
      </c>
      <c r="X92" s="180">
        <v>60.3</v>
      </c>
      <c r="Y92" s="180">
        <v>34.799999999999997</v>
      </c>
      <c r="Z92" s="122"/>
      <c r="AA92" s="180"/>
      <c r="AB92" s="180"/>
      <c r="AC92" s="180">
        <f t="shared" si="67"/>
        <v>479</v>
      </c>
      <c r="AD92" s="179">
        <f t="shared" si="68"/>
        <v>0</v>
      </c>
      <c r="AE92" s="271"/>
      <c r="AF92" s="273"/>
      <c r="AG92" s="273">
        <v>479</v>
      </c>
      <c r="AH92" s="273"/>
      <c r="AI92" s="180">
        <f t="shared" si="69"/>
        <v>1118.5999999999999</v>
      </c>
      <c r="AJ92" s="122"/>
      <c r="AK92" s="122"/>
      <c r="AL92" s="122">
        <v>1</v>
      </c>
      <c r="AM92" s="122"/>
      <c r="AN92" s="122"/>
      <c r="AO92" s="122">
        <v>1</v>
      </c>
      <c r="AP92" s="122">
        <f>1604/2</f>
        <v>802</v>
      </c>
      <c r="AQ92" s="35">
        <v>55</v>
      </c>
      <c r="AR92" s="122">
        <f>(56+28+77)/2</f>
        <v>80.5</v>
      </c>
      <c r="AS92" s="122">
        <f>150/2</f>
        <v>75</v>
      </c>
      <c r="AT92" s="122">
        <f>26/2</f>
        <v>13</v>
      </c>
      <c r="AU92" s="122">
        <f t="shared" si="90"/>
        <v>728</v>
      </c>
      <c r="AV92" s="122"/>
      <c r="AW92" s="122">
        <f>1456/2</f>
        <v>728</v>
      </c>
      <c r="AX92" s="122"/>
      <c r="AY92" s="122">
        <v>67</v>
      </c>
      <c r="AZ92" s="122">
        <f>585/2</f>
        <v>292.5</v>
      </c>
      <c r="BA92" s="122">
        <f>585/2</f>
        <v>292.5</v>
      </c>
      <c r="BB92" s="122">
        <f>10/2</f>
        <v>5</v>
      </c>
      <c r="BC92" s="122">
        <f>6/2</f>
        <v>3</v>
      </c>
      <c r="BD92" s="122">
        <f>76/2</f>
        <v>38</v>
      </c>
      <c r="BE92" s="122">
        <f>31/2</f>
        <v>15.5</v>
      </c>
      <c r="BF92" s="122">
        <f>2/2</f>
        <v>1</v>
      </c>
      <c r="BG92" s="122">
        <f>7436/2</f>
        <v>3718</v>
      </c>
      <c r="BH92" s="122">
        <f>246/2</f>
        <v>123</v>
      </c>
      <c r="BI92" s="122"/>
      <c r="BJ92" s="115">
        <f t="shared" si="70"/>
        <v>1</v>
      </c>
      <c r="BK92" s="115">
        <f t="shared" si="71"/>
        <v>639.6</v>
      </c>
      <c r="BL92" s="115">
        <f t="shared" si="72"/>
        <v>404.5</v>
      </c>
      <c r="BM92" s="115" t="str">
        <f t="shared" si="73"/>
        <v>0</v>
      </c>
      <c r="BN92" s="115" t="str">
        <f t="shared" si="74"/>
        <v>0</v>
      </c>
      <c r="BO92" s="115" t="str">
        <f t="shared" si="75"/>
        <v>0</v>
      </c>
      <c r="BP92" s="115" t="str">
        <f t="shared" si="76"/>
        <v>0</v>
      </c>
      <c r="BQ92" s="115" t="str">
        <f t="shared" si="77"/>
        <v>0</v>
      </c>
      <c r="BR92" s="115" t="str">
        <f t="shared" si="78"/>
        <v>0</v>
      </c>
      <c r="BS92" s="115"/>
      <c r="BT92" s="115"/>
      <c r="BU92" s="122">
        <v>585</v>
      </c>
      <c r="BV92" s="115"/>
      <c r="BW92" s="115">
        <v>8</v>
      </c>
      <c r="BX92" s="115">
        <f t="shared" si="89"/>
        <v>802</v>
      </c>
      <c r="BY92" s="275">
        <v>359.70000000000005</v>
      </c>
      <c r="BZ92" s="253">
        <v>61.1</v>
      </c>
      <c r="CA92" s="157">
        <v>1033</v>
      </c>
      <c r="CB92" s="275">
        <f t="shared" si="79"/>
        <v>410</v>
      </c>
      <c r="CC92" s="209" t="str">
        <f t="shared" si="91"/>
        <v>0</v>
      </c>
      <c r="CD92" s="235">
        <f t="shared" si="92"/>
        <v>0</v>
      </c>
      <c r="CE92" s="209">
        <f t="shared" si="87"/>
        <v>1</v>
      </c>
      <c r="CF92" s="235">
        <f t="shared" si="93"/>
        <v>728</v>
      </c>
      <c r="CG92" s="235">
        <f t="shared" si="94"/>
        <v>1</v>
      </c>
      <c r="CH92" s="235">
        <f t="shared" si="95"/>
        <v>728</v>
      </c>
      <c r="CI92" s="14">
        <v>40</v>
      </c>
      <c r="CJ92" s="284" t="str">
        <f t="shared" si="80"/>
        <v>0</v>
      </c>
      <c r="CK92" s="284" t="str">
        <f t="shared" si="81"/>
        <v>0</v>
      </c>
      <c r="CL92" s="243">
        <f t="shared" si="82"/>
        <v>9.4277673545966216</v>
      </c>
      <c r="CM92" s="216" t="str">
        <f t="shared" si="83"/>
        <v>0</v>
      </c>
      <c r="CN92" s="216" t="str">
        <f t="shared" si="84"/>
        <v>0</v>
      </c>
      <c r="CO92" s="243">
        <f t="shared" si="85"/>
        <v>5.3906669050598968</v>
      </c>
      <c r="CP92" s="305">
        <v>1</v>
      </c>
      <c r="CQ92" s="305">
        <v>0</v>
      </c>
      <c r="CR92" s="305">
        <v>0</v>
      </c>
      <c r="CS92" s="305">
        <v>0</v>
      </c>
      <c r="CT92" s="305">
        <v>1</v>
      </c>
      <c r="CU92" s="305">
        <v>0</v>
      </c>
      <c r="CV92" s="305">
        <v>0</v>
      </c>
      <c r="CW92" s="305">
        <v>0</v>
      </c>
      <c r="CX92" s="306">
        <v>0</v>
      </c>
      <c r="CY92" s="306">
        <v>16</v>
      </c>
      <c r="CZ92" s="306">
        <f t="shared" si="96"/>
        <v>14</v>
      </c>
      <c r="DA92" s="306">
        <v>2</v>
      </c>
      <c r="DB92" s="306">
        <v>10</v>
      </c>
      <c r="DC92" s="306">
        <v>5</v>
      </c>
      <c r="DD92" s="306">
        <v>26</v>
      </c>
      <c r="DE92" s="306">
        <v>5</v>
      </c>
      <c r="DF92" s="306">
        <v>5</v>
      </c>
      <c r="DG92" s="306">
        <v>26</v>
      </c>
      <c r="DH92" s="306">
        <v>5</v>
      </c>
      <c r="DI92" s="306">
        <v>2</v>
      </c>
      <c r="DJ92" s="306">
        <v>1</v>
      </c>
      <c r="DK92" s="306">
        <v>0</v>
      </c>
      <c r="DL92" s="306">
        <v>1</v>
      </c>
      <c r="DM92" s="306">
        <v>1</v>
      </c>
      <c r="DN92" s="306">
        <v>0</v>
      </c>
      <c r="DO92" s="306">
        <v>1</v>
      </c>
      <c r="DP92" s="306">
        <v>16</v>
      </c>
      <c r="DQ92" s="306">
        <v>16</v>
      </c>
    </row>
    <row r="93" spans="1:126" x14ac:dyDescent="0.2">
      <c r="A93" s="12" t="s">
        <v>142</v>
      </c>
      <c r="B93" s="169">
        <v>87</v>
      </c>
      <c r="C93" s="12" t="s">
        <v>168</v>
      </c>
      <c r="D93" s="13">
        <v>1961</v>
      </c>
      <c r="E93" s="11"/>
      <c r="F93" s="169" t="s">
        <v>13</v>
      </c>
      <c r="G93" s="35">
        <v>1</v>
      </c>
      <c r="H93" s="45">
        <v>5</v>
      </c>
      <c r="I93" s="1" t="s">
        <v>19</v>
      </c>
      <c r="J93" s="116">
        <v>40498</v>
      </c>
      <c r="K93" s="116">
        <v>2877</v>
      </c>
      <c r="L93" s="122">
        <f>544+1189+784+834</f>
        <v>3351</v>
      </c>
      <c r="M93" s="122"/>
      <c r="N93" s="122">
        <v>189</v>
      </c>
      <c r="O93" s="122">
        <v>381</v>
      </c>
      <c r="P93" s="122">
        <v>189</v>
      </c>
      <c r="Q93" s="122">
        <v>312</v>
      </c>
      <c r="R93" s="180">
        <f>8156.24-0.09</f>
        <v>8156.15</v>
      </c>
      <c r="S93" s="121">
        <f>5394.92</f>
        <v>5394.92</v>
      </c>
      <c r="T93" s="122">
        <f t="shared" si="64"/>
        <v>177</v>
      </c>
      <c r="U93" s="180">
        <f t="shared" si="65"/>
        <v>7633.0099999999993</v>
      </c>
      <c r="V93" s="180">
        <f t="shared" si="66"/>
        <v>5075.8</v>
      </c>
      <c r="W93" s="122">
        <v>12</v>
      </c>
      <c r="X93" s="180">
        <v>523.14</v>
      </c>
      <c r="Y93" s="180">
        <v>319.12</v>
      </c>
      <c r="Z93" s="122"/>
      <c r="AA93" s="180"/>
      <c r="AB93" s="180"/>
      <c r="AC93" s="180">
        <f t="shared" si="67"/>
        <v>2011</v>
      </c>
      <c r="AD93" s="179">
        <f t="shared" si="68"/>
        <v>749.40000000000009</v>
      </c>
      <c r="AE93" s="271"/>
      <c r="AF93" s="179">
        <f>992.2-13.9-5.8-223.1</f>
        <v>749.40000000000009</v>
      </c>
      <c r="AG93" s="180">
        <f>880.5+223.1</f>
        <v>1103.5999999999999</v>
      </c>
      <c r="AH93" s="180">
        <f>123.3+34.7</f>
        <v>158</v>
      </c>
      <c r="AI93" s="180">
        <f t="shared" si="69"/>
        <v>10167.15</v>
      </c>
      <c r="AJ93" s="122"/>
      <c r="AK93" s="122"/>
      <c r="AL93" s="122">
        <f>9+3</f>
        <v>12</v>
      </c>
      <c r="AM93" s="122"/>
      <c r="AN93" s="122"/>
      <c r="AO93" s="122">
        <f>2+1</f>
        <v>3</v>
      </c>
      <c r="AP93" s="122">
        <f>1412+2350+1931+1930</f>
        <v>7623</v>
      </c>
      <c r="AQ93" s="35"/>
      <c r="AR93" s="122">
        <f>308+257+204+220</f>
        <v>989</v>
      </c>
      <c r="AS93" s="122">
        <f>198+264+198+200</f>
        <v>860</v>
      </c>
      <c r="AT93" s="122">
        <f>26+51+38+38</f>
        <v>153</v>
      </c>
      <c r="AU93" s="122">
        <f t="shared" si="90"/>
        <v>8916</v>
      </c>
      <c r="AV93" s="122"/>
      <c r="AW93" s="122">
        <f>1456+3074+2193+2193</f>
        <v>8916</v>
      </c>
      <c r="AX93" s="122"/>
      <c r="AY93" s="122">
        <f>164+227+163+155</f>
        <v>709</v>
      </c>
      <c r="AZ93" s="122">
        <f>466+887+699+698</f>
        <v>2750</v>
      </c>
      <c r="BA93" s="122">
        <f>466+887+699+698</f>
        <v>2750</v>
      </c>
      <c r="BB93" s="122">
        <f>10+20+15+15</f>
        <v>60</v>
      </c>
      <c r="BC93" s="122">
        <f>6+10+8+8</f>
        <v>32</v>
      </c>
      <c r="BD93" s="122">
        <f>148+192+140+140</f>
        <v>620</v>
      </c>
      <c r="BE93" s="122">
        <f>32+64+48+46</f>
        <v>190</v>
      </c>
      <c r="BF93" s="122">
        <f>9+3</f>
        <v>12</v>
      </c>
      <c r="BG93" s="122">
        <f>7436+14872+11154+11154</f>
        <v>44616</v>
      </c>
      <c r="BH93" s="122">
        <f>246+492+369+369</f>
        <v>1476</v>
      </c>
      <c r="BI93" s="122"/>
      <c r="BJ93" s="115">
        <f t="shared" si="70"/>
        <v>1</v>
      </c>
      <c r="BK93" s="115">
        <f t="shared" si="71"/>
        <v>8156.15</v>
      </c>
      <c r="BL93" s="115">
        <f t="shared" si="72"/>
        <v>5394.92</v>
      </c>
      <c r="BM93" s="115" t="str">
        <f t="shared" si="73"/>
        <v>0</v>
      </c>
      <c r="BN93" s="115" t="str">
        <f t="shared" si="74"/>
        <v>0</v>
      </c>
      <c r="BO93" s="115" t="str">
        <f t="shared" si="75"/>
        <v>0</v>
      </c>
      <c r="BP93" s="115" t="str">
        <f t="shared" si="76"/>
        <v>0</v>
      </c>
      <c r="BQ93" s="115" t="str">
        <f t="shared" si="77"/>
        <v>0</v>
      </c>
      <c r="BR93" s="115" t="str">
        <f t="shared" si="78"/>
        <v>0</v>
      </c>
      <c r="BS93" s="115"/>
      <c r="BT93" s="115">
        <f>5+1</f>
        <v>6</v>
      </c>
      <c r="BU93" s="122">
        <f>466+887+699+698</f>
        <v>2750</v>
      </c>
      <c r="BV93" s="115"/>
      <c r="BW93" s="115">
        <f>34+33+38+14</f>
        <v>119</v>
      </c>
      <c r="BX93" s="115">
        <f t="shared" si="89"/>
        <v>7623</v>
      </c>
      <c r="BY93" s="275">
        <v>3858.5</v>
      </c>
      <c r="BZ93" s="253">
        <v>791.4</v>
      </c>
      <c r="CA93" s="157">
        <f>1208+2220+2220+1620</f>
        <v>7268</v>
      </c>
      <c r="CB93" s="275">
        <f t="shared" si="79"/>
        <v>4391</v>
      </c>
      <c r="CC93" s="209" t="str">
        <f t="shared" si="91"/>
        <v>0</v>
      </c>
      <c r="CD93" s="235">
        <f t="shared" si="92"/>
        <v>0</v>
      </c>
      <c r="CE93" s="209">
        <f t="shared" si="87"/>
        <v>1</v>
      </c>
      <c r="CF93" s="235">
        <f t="shared" si="93"/>
        <v>8916</v>
      </c>
      <c r="CG93" s="235">
        <f t="shared" si="94"/>
        <v>1</v>
      </c>
      <c r="CH93" s="235">
        <f t="shared" si="95"/>
        <v>8916</v>
      </c>
      <c r="CI93" s="14">
        <v>39</v>
      </c>
      <c r="CJ93" s="284" t="str">
        <f t="shared" si="80"/>
        <v>0</v>
      </c>
      <c r="CK93" s="284" t="str">
        <f t="shared" si="81"/>
        <v>0</v>
      </c>
      <c r="CL93" s="243">
        <f t="shared" si="82"/>
        <v>6.4140556512570264</v>
      </c>
      <c r="CM93" s="216" t="str">
        <f t="shared" si="83"/>
        <v>0</v>
      </c>
      <c r="CN93" s="216" t="str">
        <f t="shared" si="84"/>
        <v>0</v>
      </c>
      <c r="CO93" s="243">
        <f t="shared" si="85"/>
        <v>12.516191853174194</v>
      </c>
      <c r="CP93" s="305">
        <v>1</v>
      </c>
      <c r="CQ93" s="305">
        <v>0</v>
      </c>
      <c r="CR93" s="305">
        <v>0</v>
      </c>
      <c r="CS93" s="305">
        <v>0</v>
      </c>
      <c r="CT93" s="305">
        <v>4</v>
      </c>
      <c r="CU93" s="305">
        <v>0</v>
      </c>
      <c r="CV93" s="305">
        <v>0</v>
      </c>
      <c r="CW93" s="305">
        <v>0</v>
      </c>
      <c r="CX93" s="306">
        <v>0</v>
      </c>
      <c r="CY93" s="306">
        <v>190</v>
      </c>
      <c r="CZ93" s="306">
        <f t="shared" si="96"/>
        <v>175</v>
      </c>
      <c r="DA93" s="306">
        <v>15</v>
      </c>
      <c r="DB93" s="306">
        <v>119</v>
      </c>
      <c r="DC93" s="306">
        <v>81</v>
      </c>
      <c r="DD93" s="306">
        <v>108</v>
      </c>
      <c r="DE93" s="306">
        <v>81</v>
      </c>
      <c r="DF93" s="306">
        <v>82</v>
      </c>
      <c r="DG93" s="306">
        <v>107</v>
      </c>
      <c r="DH93" s="306">
        <v>82</v>
      </c>
      <c r="DI93" s="306">
        <v>7</v>
      </c>
      <c r="DJ93" s="306">
        <v>3</v>
      </c>
      <c r="DK93" s="306">
        <v>13</v>
      </c>
      <c r="DL93" s="306">
        <v>3</v>
      </c>
      <c r="DM93" s="306">
        <v>3</v>
      </c>
      <c r="DN93" s="306">
        <v>13</v>
      </c>
      <c r="DO93" s="306">
        <v>3</v>
      </c>
      <c r="DP93" s="306">
        <v>190</v>
      </c>
      <c r="DQ93" s="306">
        <v>190</v>
      </c>
    </row>
    <row r="94" spans="1:126" x14ac:dyDescent="0.2">
      <c r="A94" s="198" t="s">
        <v>203</v>
      </c>
      <c r="B94" s="169">
        <v>88</v>
      </c>
      <c r="C94" s="12" t="s">
        <v>261</v>
      </c>
      <c r="D94" s="200">
        <v>1952</v>
      </c>
      <c r="E94" s="11"/>
      <c r="F94" s="169" t="s">
        <v>207</v>
      </c>
      <c r="G94" s="35">
        <v>1</v>
      </c>
      <c r="H94" s="201">
        <v>4</v>
      </c>
      <c r="I94" s="201" t="s">
        <v>19</v>
      </c>
      <c r="J94" s="115">
        <v>22782</v>
      </c>
      <c r="K94" s="115">
        <v>1708</v>
      </c>
      <c r="L94" s="157">
        <v>2108</v>
      </c>
      <c r="M94" s="115"/>
      <c r="N94" s="115">
        <f>78+1</f>
        <v>79</v>
      </c>
      <c r="O94" s="115">
        <f>174+2</f>
        <v>176</v>
      </c>
      <c r="P94" s="115">
        <v>80</v>
      </c>
      <c r="Q94" s="115">
        <v>128</v>
      </c>
      <c r="R94" s="228">
        <f>4949.2+54.3+2.2</f>
        <v>5005.7</v>
      </c>
      <c r="S94" s="230">
        <v>2825.1</v>
      </c>
      <c r="T94" s="115">
        <f t="shared" si="64"/>
        <v>72</v>
      </c>
      <c r="U94" s="194">
        <f t="shared" si="65"/>
        <v>4525.3999999999996</v>
      </c>
      <c r="V94" s="180">
        <f t="shared" si="66"/>
        <v>2527.3199999999997</v>
      </c>
      <c r="W94" s="115">
        <v>7</v>
      </c>
      <c r="X94" s="207">
        <v>480.3</v>
      </c>
      <c r="Y94" s="207">
        <v>297.77999999999997</v>
      </c>
      <c r="Z94" s="204"/>
      <c r="AA94" s="207"/>
      <c r="AB94" s="207"/>
      <c r="AC94" s="207">
        <f t="shared" si="67"/>
        <v>17</v>
      </c>
      <c r="AD94" s="248">
        <f t="shared" si="68"/>
        <v>17</v>
      </c>
      <c r="AE94" s="275"/>
      <c r="AF94" s="275">
        <v>17</v>
      </c>
      <c r="AG94" s="207">
        <f>17-17</f>
        <v>0</v>
      </c>
      <c r="AH94" s="207"/>
      <c r="AI94" s="207">
        <f t="shared" si="69"/>
        <v>5022.7</v>
      </c>
      <c r="AJ94" s="170"/>
      <c r="AK94" s="170"/>
      <c r="AL94" s="170">
        <v>4</v>
      </c>
      <c r="AM94" s="170"/>
      <c r="AN94" s="170">
        <v>0</v>
      </c>
      <c r="AO94" s="170">
        <v>1</v>
      </c>
      <c r="AP94" s="170">
        <v>3209</v>
      </c>
      <c r="AQ94" s="170">
        <v>54.5</v>
      </c>
      <c r="AR94" s="170">
        <v>410</v>
      </c>
      <c r="AS94" s="170">
        <v>474</v>
      </c>
      <c r="AT94" s="170">
        <v>60</v>
      </c>
      <c r="AU94" s="170">
        <f t="shared" si="90"/>
        <v>3692</v>
      </c>
      <c r="AV94" s="170"/>
      <c r="AW94" s="170">
        <v>3692</v>
      </c>
      <c r="AX94" s="170"/>
      <c r="AY94" s="170">
        <v>131</v>
      </c>
      <c r="AZ94" s="170">
        <v>1708</v>
      </c>
      <c r="BA94" s="170">
        <v>1708</v>
      </c>
      <c r="BB94" s="170">
        <v>12</v>
      </c>
      <c r="BC94" s="170">
        <v>8</v>
      </c>
      <c r="BD94" s="170">
        <v>280</v>
      </c>
      <c r="BE94" s="170">
        <v>400</v>
      </c>
      <c r="BF94" s="170"/>
      <c r="BG94" s="170">
        <v>2616</v>
      </c>
      <c r="BH94" s="170">
        <v>76</v>
      </c>
      <c r="BI94" s="170"/>
      <c r="BJ94" s="115">
        <f t="shared" si="70"/>
        <v>1</v>
      </c>
      <c r="BK94" s="115">
        <f t="shared" si="71"/>
        <v>5005.7</v>
      </c>
      <c r="BL94" s="115">
        <f t="shared" si="72"/>
        <v>2825.1</v>
      </c>
      <c r="BM94" s="115" t="str">
        <f t="shared" si="73"/>
        <v>0</v>
      </c>
      <c r="BN94" s="115" t="str">
        <f t="shared" si="74"/>
        <v>0</v>
      </c>
      <c r="BO94" s="115" t="str">
        <f t="shared" si="75"/>
        <v>0</v>
      </c>
      <c r="BP94" s="115" t="str">
        <f t="shared" si="76"/>
        <v>0</v>
      </c>
      <c r="BQ94" s="115" t="str">
        <f t="shared" si="77"/>
        <v>0</v>
      </c>
      <c r="BR94" s="115" t="str">
        <f t="shared" si="78"/>
        <v>0</v>
      </c>
      <c r="BS94" s="115"/>
      <c r="BT94" s="115">
        <v>4</v>
      </c>
      <c r="BU94" s="115">
        <f>BA94</f>
        <v>1708</v>
      </c>
      <c r="BV94" s="115">
        <v>2955</v>
      </c>
      <c r="BW94" s="115">
        <v>3</v>
      </c>
      <c r="BX94" s="115">
        <f t="shared" si="89"/>
        <v>3209</v>
      </c>
      <c r="BY94" s="253">
        <v>2099.6</v>
      </c>
      <c r="BZ94" s="253">
        <v>391.8</v>
      </c>
      <c r="CA94" s="205">
        <v>5838</v>
      </c>
      <c r="CB94" s="282">
        <f t="shared" si="79"/>
        <v>4130</v>
      </c>
      <c r="CC94" s="209" t="str">
        <f t="shared" si="91"/>
        <v>0</v>
      </c>
      <c r="CD94" s="235">
        <f t="shared" si="92"/>
        <v>0</v>
      </c>
      <c r="CE94" s="209">
        <f t="shared" si="87"/>
        <v>1</v>
      </c>
      <c r="CF94" s="235">
        <f t="shared" si="93"/>
        <v>3692</v>
      </c>
      <c r="CG94" s="235">
        <f t="shared" si="94"/>
        <v>1</v>
      </c>
      <c r="CH94" s="235">
        <f t="shared" si="95"/>
        <v>3692</v>
      </c>
      <c r="CI94" s="156">
        <v>30</v>
      </c>
      <c r="CJ94" s="284" t="str">
        <f t="shared" si="80"/>
        <v>0</v>
      </c>
      <c r="CK94" s="284" t="str">
        <f t="shared" si="81"/>
        <v>0</v>
      </c>
      <c r="CL94" s="243">
        <f t="shared" si="82"/>
        <v>9.5950616297420943</v>
      </c>
      <c r="CM94" s="216" t="str">
        <f t="shared" si="83"/>
        <v>0</v>
      </c>
      <c r="CN94" s="216" t="str">
        <f t="shared" si="84"/>
        <v>0</v>
      </c>
      <c r="CO94" s="243">
        <f t="shared" si="85"/>
        <v>9.9010492364664433</v>
      </c>
      <c r="CP94" s="306">
        <v>1</v>
      </c>
      <c r="CQ94" s="306">
        <v>0</v>
      </c>
      <c r="CR94" s="306">
        <v>0</v>
      </c>
      <c r="CS94" s="306">
        <v>0</v>
      </c>
      <c r="CT94" s="306">
        <v>1</v>
      </c>
      <c r="CU94" s="306">
        <v>0</v>
      </c>
      <c r="CV94" s="306">
        <v>0</v>
      </c>
      <c r="CW94" s="306">
        <v>0</v>
      </c>
      <c r="CX94" s="306">
        <v>0</v>
      </c>
      <c r="CY94" s="306">
        <v>74</v>
      </c>
      <c r="CZ94" s="306">
        <f t="shared" si="96"/>
        <v>66</v>
      </c>
      <c r="DA94" s="306">
        <v>8</v>
      </c>
      <c r="DB94" s="306">
        <v>55</v>
      </c>
      <c r="DC94" s="306">
        <v>21</v>
      </c>
      <c r="DD94" s="306">
        <v>57</v>
      </c>
      <c r="DE94" s="306">
        <v>21</v>
      </c>
      <c r="DF94" s="306">
        <v>21</v>
      </c>
      <c r="DG94" s="306">
        <v>56</v>
      </c>
      <c r="DH94" s="306">
        <v>22</v>
      </c>
      <c r="DI94" s="306">
        <v>4</v>
      </c>
      <c r="DJ94" s="306">
        <v>1</v>
      </c>
      <c r="DK94" s="306">
        <v>7</v>
      </c>
      <c r="DL94" s="306">
        <v>1</v>
      </c>
      <c r="DM94" s="306">
        <v>1</v>
      </c>
      <c r="DN94" s="306">
        <v>7</v>
      </c>
      <c r="DO94" s="306">
        <v>1</v>
      </c>
      <c r="DP94" s="306">
        <v>74</v>
      </c>
      <c r="DQ94" s="306">
        <f>74-5</f>
        <v>69</v>
      </c>
    </row>
    <row r="95" spans="1:126" x14ac:dyDescent="0.2">
      <c r="A95" s="198" t="s">
        <v>203</v>
      </c>
      <c r="B95" s="169">
        <v>89</v>
      </c>
      <c r="C95" s="12" t="s">
        <v>262</v>
      </c>
      <c r="D95" s="200">
        <v>1952</v>
      </c>
      <c r="E95" s="11"/>
      <c r="F95" s="169" t="s">
        <v>207</v>
      </c>
      <c r="G95" s="35">
        <v>1</v>
      </c>
      <c r="H95" s="201">
        <v>5</v>
      </c>
      <c r="I95" s="201" t="s">
        <v>19</v>
      </c>
      <c r="J95" s="115">
        <v>23329</v>
      </c>
      <c r="K95" s="115">
        <v>1578</v>
      </c>
      <c r="L95" s="157">
        <v>1884</v>
      </c>
      <c r="M95" s="115"/>
      <c r="N95" s="115">
        <f>69+1</f>
        <v>70</v>
      </c>
      <c r="O95" s="115">
        <f>165+1</f>
        <v>166</v>
      </c>
      <c r="P95" s="115">
        <v>71</v>
      </c>
      <c r="Q95" s="115">
        <v>145</v>
      </c>
      <c r="R95" s="228">
        <f>4331.3+53.7</f>
        <v>4385</v>
      </c>
      <c r="S95" s="230">
        <v>2702.9</v>
      </c>
      <c r="T95" s="115">
        <f t="shared" si="64"/>
        <v>51</v>
      </c>
      <c r="U95" s="194">
        <f t="shared" si="65"/>
        <v>3349.4</v>
      </c>
      <c r="V95" s="180">
        <f t="shared" si="66"/>
        <v>2060.83</v>
      </c>
      <c r="W95" s="115">
        <v>19</v>
      </c>
      <c r="X95" s="207">
        <v>1035.5999999999999</v>
      </c>
      <c r="Y95" s="207">
        <v>642.07000000000005</v>
      </c>
      <c r="Z95" s="204"/>
      <c r="AA95" s="207"/>
      <c r="AB95" s="207"/>
      <c r="AC95" s="207">
        <f>AD95+AG95+AH95</f>
        <v>794.1</v>
      </c>
      <c r="AD95" s="248">
        <f t="shared" si="68"/>
        <v>17.500000000000021</v>
      </c>
      <c r="AE95" s="248"/>
      <c r="AF95" s="275">
        <f>15.1+709.6-709.6+2.4</f>
        <v>17.500000000000021</v>
      </c>
      <c r="AG95" s="207">
        <f>834.2-709.6-53.7+705.7</f>
        <v>776.6</v>
      </c>
      <c r="AH95" s="207"/>
      <c r="AI95" s="207">
        <f t="shared" si="69"/>
        <v>5179.1000000000004</v>
      </c>
      <c r="AJ95" s="170"/>
      <c r="AK95" s="170"/>
      <c r="AL95" s="170">
        <v>4</v>
      </c>
      <c r="AM95" s="170"/>
      <c r="AN95" s="170">
        <v>1</v>
      </c>
      <c r="AO95" s="170">
        <v>1</v>
      </c>
      <c r="AP95" s="170">
        <v>2872</v>
      </c>
      <c r="AQ95" s="170"/>
      <c r="AR95" s="170">
        <v>430</v>
      </c>
      <c r="AS95" s="170">
        <v>448</v>
      </c>
      <c r="AT95" s="170">
        <v>60</v>
      </c>
      <c r="AU95" s="170">
        <f t="shared" si="90"/>
        <v>3530</v>
      </c>
      <c r="AV95" s="170"/>
      <c r="AW95" s="170">
        <v>3530</v>
      </c>
      <c r="AX95" s="170"/>
      <c r="AY95" s="170">
        <v>135</v>
      </c>
      <c r="AZ95" s="170">
        <v>1524</v>
      </c>
      <c r="BA95" s="170">
        <v>1524</v>
      </c>
      <c r="BB95" s="170">
        <v>12</v>
      </c>
      <c r="BC95" s="170">
        <v>8</v>
      </c>
      <c r="BD95" s="170">
        <v>280</v>
      </c>
      <c r="BE95" s="170">
        <v>400</v>
      </c>
      <c r="BF95" s="170"/>
      <c r="BG95" s="170">
        <v>2616</v>
      </c>
      <c r="BH95" s="170">
        <v>76</v>
      </c>
      <c r="BI95" s="170"/>
      <c r="BJ95" s="115">
        <f t="shared" si="70"/>
        <v>1</v>
      </c>
      <c r="BK95" s="115">
        <f t="shared" si="71"/>
        <v>4385</v>
      </c>
      <c r="BL95" s="115">
        <f t="shared" si="72"/>
        <v>2702.9</v>
      </c>
      <c r="BM95" s="115" t="str">
        <f t="shared" si="73"/>
        <v>0</v>
      </c>
      <c r="BN95" s="115" t="str">
        <f t="shared" si="74"/>
        <v>0</v>
      </c>
      <c r="BO95" s="115" t="str">
        <f t="shared" si="75"/>
        <v>0</v>
      </c>
      <c r="BP95" s="115" t="str">
        <f t="shared" si="76"/>
        <v>0</v>
      </c>
      <c r="BQ95" s="115" t="str">
        <f t="shared" si="77"/>
        <v>0</v>
      </c>
      <c r="BR95" s="115" t="str">
        <f t="shared" si="78"/>
        <v>0</v>
      </c>
      <c r="BS95" s="115"/>
      <c r="BT95" s="115">
        <v>2</v>
      </c>
      <c r="BU95" s="115">
        <f>BA95</f>
        <v>1524</v>
      </c>
      <c r="BV95" s="115">
        <v>2735</v>
      </c>
      <c r="BW95" s="115"/>
      <c r="BX95" s="115">
        <f t="shared" si="89"/>
        <v>2872</v>
      </c>
      <c r="BY95" s="253">
        <v>1951.9</v>
      </c>
      <c r="BZ95" s="253">
        <v>386.6</v>
      </c>
      <c r="CA95" s="205">
        <v>4307</v>
      </c>
      <c r="CB95" s="282">
        <f t="shared" si="79"/>
        <v>2729</v>
      </c>
      <c r="CC95" s="209" t="str">
        <f t="shared" si="91"/>
        <v>0</v>
      </c>
      <c r="CD95" s="235">
        <f t="shared" si="92"/>
        <v>0</v>
      </c>
      <c r="CE95" s="209">
        <f t="shared" si="87"/>
        <v>1</v>
      </c>
      <c r="CF95" s="235">
        <f t="shared" si="93"/>
        <v>3530</v>
      </c>
      <c r="CG95" s="235">
        <f t="shared" si="94"/>
        <v>1</v>
      </c>
      <c r="CH95" s="235">
        <f t="shared" si="95"/>
        <v>3530</v>
      </c>
      <c r="CI95" s="156">
        <v>33</v>
      </c>
      <c r="CJ95" s="284" t="str">
        <f t="shared" si="80"/>
        <v>0</v>
      </c>
      <c r="CK95" s="284" t="str">
        <f t="shared" si="81"/>
        <v>0</v>
      </c>
      <c r="CL95" s="243">
        <f t="shared" si="82"/>
        <v>23.616875712656782</v>
      </c>
      <c r="CM95" s="216" t="str">
        <f t="shared" si="83"/>
        <v>0</v>
      </c>
      <c r="CN95" s="216" t="str">
        <f t="shared" si="84"/>
        <v>0</v>
      </c>
      <c r="CO95" s="243">
        <f t="shared" si="85"/>
        <v>20.33364870344268</v>
      </c>
      <c r="CP95" s="306">
        <v>1</v>
      </c>
      <c r="CQ95" s="306">
        <v>0</v>
      </c>
      <c r="CR95" s="306">
        <v>0</v>
      </c>
      <c r="CS95" s="306">
        <v>0</v>
      </c>
      <c r="CT95" s="306">
        <v>1</v>
      </c>
      <c r="CU95" s="306">
        <v>0</v>
      </c>
      <c r="CV95" s="306">
        <v>0</v>
      </c>
      <c r="CW95" s="306">
        <v>0</v>
      </c>
      <c r="CX95" s="306">
        <v>0</v>
      </c>
      <c r="CY95" s="306">
        <v>71</v>
      </c>
      <c r="CZ95" s="306">
        <f t="shared" si="96"/>
        <v>62</v>
      </c>
      <c r="DA95" s="306">
        <v>9</v>
      </c>
      <c r="DB95" s="306">
        <v>43</v>
      </c>
      <c r="DC95" s="306">
        <v>17</v>
      </c>
      <c r="DD95" s="306">
        <v>54</v>
      </c>
      <c r="DE95" s="306">
        <v>18</v>
      </c>
      <c r="DF95" s="306">
        <v>18</v>
      </c>
      <c r="DG95" s="306">
        <v>53</v>
      </c>
      <c r="DH95" s="306">
        <v>20</v>
      </c>
      <c r="DI95" s="306">
        <v>4</v>
      </c>
      <c r="DJ95" s="306">
        <v>2</v>
      </c>
      <c r="DK95" s="306">
        <v>8</v>
      </c>
      <c r="DL95" s="306">
        <v>2</v>
      </c>
      <c r="DM95" s="306">
        <v>2</v>
      </c>
      <c r="DN95" s="306">
        <v>8</v>
      </c>
      <c r="DO95" s="306">
        <v>2</v>
      </c>
      <c r="DP95" s="306">
        <v>71</v>
      </c>
      <c r="DQ95" s="306">
        <f>71-8</f>
        <v>63</v>
      </c>
    </row>
    <row r="96" spans="1:126" x14ac:dyDescent="0.2">
      <c r="A96" s="12" t="s">
        <v>142</v>
      </c>
      <c r="B96" s="169">
        <v>90</v>
      </c>
      <c r="C96" s="12" t="s">
        <v>169</v>
      </c>
      <c r="D96" s="13">
        <v>1960</v>
      </c>
      <c r="E96" s="11"/>
      <c r="F96" s="169" t="s">
        <v>13</v>
      </c>
      <c r="G96" s="35">
        <v>1</v>
      </c>
      <c r="H96" s="45">
        <v>5</v>
      </c>
      <c r="I96" s="1" t="s">
        <v>19</v>
      </c>
      <c r="J96" s="140">
        <v>56534</v>
      </c>
      <c r="K96" s="122">
        <f>728+852+728+914+706</f>
        <v>3928</v>
      </c>
      <c r="L96" s="122">
        <f>838+1130+913+1056+839</f>
        <v>4776</v>
      </c>
      <c r="M96" s="122"/>
      <c r="N96" s="122">
        <f>321-1</f>
        <v>320</v>
      </c>
      <c r="O96" s="122">
        <f>621-2</f>
        <v>619</v>
      </c>
      <c r="P96" s="122">
        <v>321</v>
      </c>
      <c r="Q96" s="122">
        <v>569</v>
      </c>
      <c r="R96" s="181">
        <f>13611-44.5</f>
        <v>13566.5</v>
      </c>
      <c r="S96" s="116">
        <v>8809.1</v>
      </c>
      <c r="T96" s="122">
        <f t="shared" si="64"/>
        <v>282</v>
      </c>
      <c r="U96" s="181">
        <f t="shared" si="65"/>
        <v>11939.4</v>
      </c>
      <c r="V96" s="180">
        <f t="shared" si="66"/>
        <v>7800.3</v>
      </c>
      <c r="W96" s="122">
        <v>38</v>
      </c>
      <c r="X96" s="180">
        <v>1627.1</v>
      </c>
      <c r="Y96" s="180">
        <v>1008.8</v>
      </c>
      <c r="Z96" s="122"/>
      <c r="AA96" s="180"/>
      <c r="AB96" s="180"/>
      <c r="AC96" s="180">
        <f t="shared" si="67"/>
        <v>619.4</v>
      </c>
      <c r="AD96" s="179">
        <f t="shared" si="68"/>
        <v>0</v>
      </c>
      <c r="AE96" s="271"/>
      <c r="AF96" s="274">
        <f>212-212</f>
        <v>0</v>
      </c>
      <c r="AG96" s="180">
        <f>371.3+44.5+203.6</f>
        <v>619.4</v>
      </c>
      <c r="AH96" s="180"/>
      <c r="AI96" s="180">
        <f t="shared" si="69"/>
        <v>14185.9</v>
      </c>
      <c r="AJ96" s="122"/>
      <c r="AK96" s="122"/>
      <c r="AL96" s="139">
        <f>3+4+3+4+3</f>
        <v>17</v>
      </c>
      <c r="AM96" s="122"/>
      <c r="AN96" s="122">
        <v>1</v>
      </c>
      <c r="AO96" s="122">
        <f>3+1+1</f>
        <v>5</v>
      </c>
      <c r="AP96" s="122">
        <f>1922+2334+1922+2335+1925</f>
        <v>10438</v>
      </c>
      <c r="AQ96" s="122">
        <v>57</v>
      </c>
      <c r="AR96" s="122">
        <f>238+317+238+375+375</f>
        <v>1543</v>
      </c>
      <c r="AS96" s="35">
        <f>209+209+209+209+209</f>
        <v>1045</v>
      </c>
      <c r="AT96" s="122">
        <f>38+51+38+51+38</f>
        <v>216</v>
      </c>
      <c r="AU96" s="122">
        <f t="shared" si="90"/>
        <v>12537</v>
      </c>
      <c r="AV96" s="122"/>
      <c r="AW96" s="122">
        <f>2305+2923+2193+2923+2193</f>
        <v>12537</v>
      </c>
      <c r="AX96" s="122"/>
      <c r="AY96" s="122">
        <f>165+213+165+204+163</f>
        <v>910</v>
      </c>
      <c r="AZ96" s="122">
        <f>702+888+702+888+703</f>
        <v>3883</v>
      </c>
      <c r="BA96" s="122">
        <f>702+888+702+888+703</f>
        <v>3883</v>
      </c>
      <c r="BB96" s="122">
        <v>85</v>
      </c>
      <c r="BC96" s="122">
        <v>56</v>
      </c>
      <c r="BD96" s="122">
        <v>962</v>
      </c>
      <c r="BE96" s="122">
        <v>330</v>
      </c>
      <c r="BF96" s="122">
        <f>10+4+3</f>
        <v>17</v>
      </c>
      <c r="BG96" s="122">
        <f>11154+11154+11154+14872+11154</f>
        <v>59488</v>
      </c>
      <c r="BH96" s="122">
        <f>369+492+369+492+369</f>
        <v>2091</v>
      </c>
      <c r="BI96" s="122"/>
      <c r="BJ96" s="115">
        <f t="shared" si="70"/>
        <v>1</v>
      </c>
      <c r="BK96" s="115">
        <f t="shared" si="71"/>
        <v>13566.5</v>
      </c>
      <c r="BL96" s="115">
        <f t="shared" si="72"/>
        <v>8809.1</v>
      </c>
      <c r="BM96" s="115" t="str">
        <f t="shared" si="73"/>
        <v>0</v>
      </c>
      <c r="BN96" s="115" t="str">
        <f t="shared" si="74"/>
        <v>0</v>
      </c>
      <c r="BO96" s="115" t="str">
        <f t="shared" si="75"/>
        <v>0</v>
      </c>
      <c r="BP96" s="115" t="str">
        <f t="shared" si="76"/>
        <v>0</v>
      </c>
      <c r="BQ96" s="115" t="str">
        <f t="shared" si="77"/>
        <v>0</v>
      </c>
      <c r="BR96" s="115" t="str">
        <f t="shared" si="78"/>
        <v>0</v>
      </c>
      <c r="BS96" s="115"/>
      <c r="BT96" s="115">
        <f>5+2+2</f>
        <v>9</v>
      </c>
      <c r="BU96" s="122">
        <v>702</v>
      </c>
      <c r="BV96" s="115">
        <v>39</v>
      </c>
      <c r="BW96" s="115"/>
      <c r="BX96" s="115">
        <f t="shared" si="89"/>
        <v>10438</v>
      </c>
      <c r="BY96" s="275">
        <v>5149.3</v>
      </c>
      <c r="BZ96" s="253">
        <v>1056.5999999999999</v>
      </c>
      <c r="CA96" s="157">
        <v>11564</v>
      </c>
      <c r="CB96" s="275">
        <f t="shared" si="79"/>
        <v>7636</v>
      </c>
      <c r="CC96" s="209" t="str">
        <f t="shared" si="91"/>
        <v>0</v>
      </c>
      <c r="CD96" s="235">
        <f t="shared" si="92"/>
        <v>0</v>
      </c>
      <c r="CE96" s="209">
        <f t="shared" si="87"/>
        <v>1</v>
      </c>
      <c r="CF96" s="235">
        <f t="shared" si="93"/>
        <v>12537</v>
      </c>
      <c r="CG96" s="235">
        <f t="shared" si="94"/>
        <v>1</v>
      </c>
      <c r="CH96" s="235">
        <f t="shared" si="95"/>
        <v>12537</v>
      </c>
      <c r="CI96" s="14">
        <v>47</v>
      </c>
      <c r="CJ96" s="284" t="str">
        <f t="shared" si="80"/>
        <v>0</v>
      </c>
      <c r="CK96" s="284" t="str">
        <f t="shared" si="81"/>
        <v>0</v>
      </c>
      <c r="CL96" s="243">
        <f t="shared" si="82"/>
        <v>11.993513433825969</v>
      </c>
      <c r="CM96" s="216" t="str">
        <f t="shared" si="83"/>
        <v>0</v>
      </c>
      <c r="CN96" s="216" t="str">
        <f t="shared" si="84"/>
        <v>0</v>
      </c>
      <c r="CO96" s="243">
        <f t="shared" si="85"/>
        <v>11.469839770476318</v>
      </c>
      <c r="CP96" s="305">
        <v>1</v>
      </c>
      <c r="CQ96" s="305">
        <v>0</v>
      </c>
      <c r="CR96" s="305">
        <v>0</v>
      </c>
      <c r="CS96" s="305">
        <v>0</v>
      </c>
      <c r="CT96" s="305">
        <v>5</v>
      </c>
      <c r="CU96" s="305">
        <v>0</v>
      </c>
      <c r="CV96" s="305">
        <v>0</v>
      </c>
      <c r="CW96" s="305">
        <v>0</v>
      </c>
      <c r="CX96" s="306">
        <v>0</v>
      </c>
      <c r="CY96" s="306">
        <v>331</v>
      </c>
      <c r="CZ96" s="306">
        <f t="shared" si="96"/>
        <v>295</v>
      </c>
      <c r="DA96" s="306">
        <v>36</v>
      </c>
      <c r="DB96" s="306">
        <v>221</v>
      </c>
      <c r="DC96" s="306">
        <v>149</v>
      </c>
      <c r="DD96" s="306">
        <v>175</v>
      </c>
      <c r="DE96" s="306">
        <v>149</v>
      </c>
      <c r="DF96" s="306">
        <v>149</v>
      </c>
      <c r="DG96" s="306">
        <v>175</v>
      </c>
      <c r="DH96" s="306">
        <v>149</v>
      </c>
      <c r="DI96" s="306">
        <v>19</v>
      </c>
      <c r="DJ96" s="306">
        <v>14</v>
      </c>
      <c r="DK96" s="306">
        <v>19</v>
      </c>
      <c r="DL96" s="306">
        <v>14</v>
      </c>
      <c r="DM96" s="306">
        <v>14</v>
      </c>
      <c r="DN96" s="306">
        <v>19</v>
      </c>
      <c r="DO96" s="306">
        <v>14</v>
      </c>
      <c r="DP96" s="306">
        <v>331</v>
      </c>
      <c r="DQ96" s="306">
        <v>331</v>
      </c>
    </row>
    <row r="97" spans="1:121" x14ac:dyDescent="0.2">
      <c r="A97" s="27" t="s">
        <v>142</v>
      </c>
      <c r="B97" s="169">
        <v>91</v>
      </c>
      <c r="C97" s="12" t="s">
        <v>85</v>
      </c>
      <c r="D97" s="13">
        <v>1972</v>
      </c>
      <c r="E97" s="11"/>
      <c r="F97" s="169" t="s">
        <v>13</v>
      </c>
      <c r="G97" s="35">
        <v>1</v>
      </c>
      <c r="H97" s="45">
        <v>5</v>
      </c>
      <c r="I97" s="1" t="s">
        <v>19</v>
      </c>
      <c r="J97" s="122">
        <v>10204</v>
      </c>
      <c r="K97" s="122">
        <v>737</v>
      </c>
      <c r="L97" s="122">
        <v>838</v>
      </c>
      <c r="M97" s="122"/>
      <c r="N97" s="122">
        <v>54</v>
      </c>
      <c r="O97" s="122">
        <v>105</v>
      </c>
      <c r="P97" s="122">
        <v>54</v>
      </c>
      <c r="Q97" s="122">
        <v>101</v>
      </c>
      <c r="R97" s="180">
        <f>2281.9-0.01</f>
        <v>2281.89</v>
      </c>
      <c r="S97" s="121">
        <v>1501.51</v>
      </c>
      <c r="T97" s="122">
        <f t="shared" si="64"/>
        <v>48</v>
      </c>
      <c r="U97" s="180">
        <f t="shared" si="65"/>
        <v>2037.83</v>
      </c>
      <c r="V97" s="180">
        <f t="shared" si="66"/>
        <v>1336.37</v>
      </c>
      <c r="W97" s="122">
        <v>6</v>
      </c>
      <c r="X97" s="180">
        <v>244.06</v>
      </c>
      <c r="Y97" s="180">
        <v>165.14</v>
      </c>
      <c r="Z97" s="122"/>
      <c r="AA97" s="180"/>
      <c r="AB97" s="180"/>
      <c r="AC97" s="180">
        <f t="shared" si="67"/>
        <v>233.2</v>
      </c>
      <c r="AD97" s="179">
        <f t="shared" si="68"/>
        <v>0</v>
      </c>
      <c r="AE97" s="272"/>
      <c r="AF97" s="179"/>
      <c r="AG97" s="180">
        <v>233.2</v>
      </c>
      <c r="AH97" s="180"/>
      <c r="AI97" s="180">
        <f t="shared" si="69"/>
        <v>2515.0899999999997</v>
      </c>
      <c r="AJ97" s="122"/>
      <c r="AK97" s="122"/>
      <c r="AL97" s="122">
        <v>3</v>
      </c>
      <c r="AM97" s="122"/>
      <c r="AN97" s="122">
        <v>1</v>
      </c>
      <c r="AO97" s="122">
        <v>1</v>
      </c>
      <c r="AP97" s="122">
        <v>1912</v>
      </c>
      <c r="AQ97" s="122"/>
      <c r="AR97" s="122">
        <f>68+34+124</f>
        <v>226</v>
      </c>
      <c r="AS97" s="122">
        <v>245</v>
      </c>
      <c r="AT97" s="122">
        <v>38</v>
      </c>
      <c r="AU97" s="122">
        <f t="shared" si="90"/>
        <v>2193</v>
      </c>
      <c r="AV97" s="122"/>
      <c r="AW97" s="122">
        <v>2193</v>
      </c>
      <c r="AX97" s="122"/>
      <c r="AY97" s="122">
        <v>113</v>
      </c>
      <c r="AZ97" s="122">
        <v>702</v>
      </c>
      <c r="BA97" s="122">
        <v>702</v>
      </c>
      <c r="BB97" s="122">
        <v>15</v>
      </c>
      <c r="BC97" s="122">
        <v>10</v>
      </c>
      <c r="BD97" s="122">
        <f>159-3</f>
        <v>156</v>
      </c>
      <c r="BE97" s="122">
        <f>54-1</f>
        <v>53</v>
      </c>
      <c r="BF97" s="122">
        <v>3</v>
      </c>
      <c r="BG97" s="122">
        <v>11154</v>
      </c>
      <c r="BH97" s="122">
        <v>369</v>
      </c>
      <c r="BI97" s="122"/>
      <c r="BJ97" s="115">
        <f t="shared" si="70"/>
        <v>1</v>
      </c>
      <c r="BK97" s="115">
        <f t="shared" si="71"/>
        <v>2281.89</v>
      </c>
      <c r="BL97" s="115">
        <f t="shared" si="72"/>
        <v>1501.51</v>
      </c>
      <c r="BM97" s="115" t="str">
        <f t="shared" si="73"/>
        <v>0</v>
      </c>
      <c r="BN97" s="115" t="str">
        <f t="shared" si="74"/>
        <v>0</v>
      </c>
      <c r="BO97" s="115" t="str">
        <f t="shared" si="75"/>
        <v>0</v>
      </c>
      <c r="BP97" s="115" t="str">
        <f t="shared" si="76"/>
        <v>0</v>
      </c>
      <c r="BQ97" s="115" t="str">
        <f t="shared" si="77"/>
        <v>0</v>
      </c>
      <c r="BR97" s="115" t="str">
        <f t="shared" si="78"/>
        <v>0</v>
      </c>
      <c r="BS97" s="115"/>
      <c r="BT97" s="115"/>
      <c r="BU97" s="122"/>
      <c r="BV97" s="115"/>
      <c r="BW97" s="115"/>
      <c r="BX97" s="115">
        <f t="shared" si="89"/>
        <v>1912</v>
      </c>
      <c r="BY97" s="275">
        <v>892.83</v>
      </c>
      <c r="BZ97" s="253">
        <v>182.83</v>
      </c>
      <c r="CA97" s="157">
        <v>2137</v>
      </c>
      <c r="CB97" s="275">
        <f t="shared" si="79"/>
        <v>1400</v>
      </c>
      <c r="CC97" s="209" t="str">
        <f t="shared" si="91"/>
        <v>0</v>
      </c>
      <c r="CD97" s="235">
        <f t="shared" si="92"/>
        <v>0</v>
      </c>
      <c r="CE97" s="209">
        <f t="shared" si="87"/>
        <v>1</v>
      </c>
      <c r="CF97" s="235">
        <f t="shared" si="93"/>
        <v>2193</v>
      </c>
      <c r="CG97" s="235">
        <f t="shared" si="94"/>
        <v>1</v>
      </c>
      <c r="CH97" s="235">
        <f t="shared" si="95"/>
        <v>2193</v>
      </c>
      <c r="CI97" s="14">
        <v>48</v>
      </c>
      <c r="CJ97" s="284" t="str">
        <f t="shared" si="80"/>
        <v>0</v>
      </c>
      <c r="CK97" s="284" t="str">
        <f t="shared" si="81"/>
        <v>0</v>
      </c>
      <c r="CL97" s="243">
        <f t="shared" si="82"/>
        <v>10.69551994180263</v>
      </c>
      <c r="CM97" s="216" t="str">
        <f t="shared" si="83"/>
        <v>0</v>
      </c>
      <c r="CN97" s="216" t="str">
        <f t="shared" si="84"/>
        <v>0</v>
      </c>
      <c r="CO97" s="243">
        <f t="shared" si="85"/>
        <v>9.7038276960267833</v>
      </c>
      <c r="CP97" s="305">
        <v>1</v>
      </c>
      <c r="CQ97" s="305">
        <v>0</v>
      </c>
      <c r="CR97" s="305">
        <v>0</v>
      </c>
      <c r="CS97" s="305">
        <v>0</v>
      </c>
      <c r="CT97" s="305">
        <v>1</v>
      </c>
      <c r="CU97" s="305">
        <v>0</v>
      </c>
      <c r="CV97" s="305">
        <v>0</v>
      </c>
      <c r="CW97" s="305">
        <v>0</v>
      </c>
      <c r="CX97" s="306">
        <v>0</v>
      </c>
      <c r="CY97" s="306">
        <v>53</v>
      </c>
      <c r="CZ97" s="306">
        <f t="shared" si="96"/>
        <v>45</v>
      </c>
      <c r="DA97" s="306">
        <v>8</v>
      </c>
      <c r="DB97" s="306">
        <v>31</v>
      </c>
      <c r="DC97" s="306">
        <v>16</v>
      </c>
      <c r="DD97" s="306">
        <v>37</v>
      </c>
      <c r="DE97" s="306">
        <v>16</v>
      </c>
      <c r="DF97" s="306">
        <v>16</v>
      </c>
      <c r="DG97" s="306">
        <v>37</v>
      </c>
      <c r="DH97" s="306">
        <v>16</v>
      </c>
      <c r="DI97" s="306">
        <v>1</v>
      </c>
      <c r="DJ97" s="306">
        <v>1</v>
      </c>
      <c r="DK97" s="306">
        <v>7</v>
      </c>
      <c r="DL97" s="306">
        <v>1</v>
      </c>
      <c r="DM97" s="306">
        <v>1</v>
      </c>
      <c r="DN97" s="306">
        <v>7</v>
      </c>
      <c r="DO97" s="306">
        <v>1</v>
      </c>
      <c r="DP97" s="306">
        <v>53</v>
      </c>
      <c r="DQ97" s="306">
        <v>53</v>
      </c>
    </row>
    <row r="98" spans="1:121" x14ac:dyDescent="0.2">
      <c r="A98" s="27" t="s">
        <v>142</v>
      </c>
      <c r="B98" s="169">
        <v>92</v>
      </c>
      <c r="C98" s="12" t="s">
        <v>162</v>
      </c>
      <c r="D98" s="13">
        <v>1985</v>
      </c>
      <c r="E98" s="11"/>
      <c r="F98" s="169" t="s">
        <v>24</v>
      </c>
      <c r="G98" s="35">
        <v>1</v>
      </c>
      <c r="H98" s="45">
        <v>9</v>
      </c>
      <c r="I98" s="1" t="s">
        <v>22</v>
      </c>
      <c r="J98" s="122">
        <v>19407</v>
      </c>
      <c r="K98" s="122">
        <v>772</v>
      </c>
      <c r="L98" s="122"/>
      <c r="M98" s="122">
        <v>715</v>
      </c>
      <c r="N98" s="122">
        <v>69</v>
      </c>
      <c r="O98" s="122">
        <v>193</v>
      </c>
      <c r="P98" s="122">
        <v>69</v>
      </c>
      <c r="Q98" s="122">
        <v>160</v>
      </c>
      <c r="R98" s="180">
        <v>4437.3999999999996</v>
      </c>
      <c r="S98" s="121">
        <v>2842.5</v>
      </c>
      <c r="T98" s="122">
        <f t="shared" si="64"/>
        <v>66</v>
      </c>
      <c r="U98" s="180">
        <f t="shared" si="65"/>
        <v>4228.0999999999995</v>
      </c>
      <c r="V98" s="180">
        <f t="shared" si="66"/>
        <v>2713.52</v>
      </c>
      <c r="W98" s="122">
        <v>3</v>
      </c>
      <c r="X98" s="180">
        <v>209.3</v>
      </c>
      <c r="Y98" s="180">
        <v>128.97999999999999</v>
      </c>
      <c r="Z98" s="122"/>
      <c r="AA98" s="180"/>
      <c r="AB98" s="180"/>
      <c r="AC98" s="180">
        <f t="shared" si="67"/>
        <v>66.5</v>
      </c>
      <c r="AD98" s="179">
        <f t="shared" si="68"/>
        <v>0</v>
      </c>
      <c r="AE98" s="271"/>
      <c r="AF98" s="179"/>
      <c r="AG98" s="180">
        <v>66.5</v>
      </c>
      <c r="AH98" s="180"/>
      <c r="AI98" s="180">
        <f t="shared" si="69"/>
        <v>4503.8999999999996</v>
      </c>
      <c r="AJ98" s="122"/>
      <c r="AK98" s="122">
        <v>2</v>
      </c>
      <c r="AL98" s="122">
        <v>2</v>
      </c>
      <c r="AM98" s="122">
        <v>2</v>
      </c>
      <c r="AN98" s="122"/>
      <c r="AO98" s="122">
        <v>2</v>
      </c>
      <c r="AP98" s="122">
        <v>3568</v>
      </c>
      <c r="AQ98" s="122"/>
      <c r="AR98" s="122">
        <f>147+74+117</f>
        <v>338</v>
      </c>
      <c r="AS98" s="122">
        <v>296</v>
      </c>
      <c r="AT98" s="122">
        <v>108</v>
      </c>
      <c r="AU98" s="122">
        <f t="shared" si="90"/>
        <v>4324</v>
      </c>
      <c r="AV98" s="122">
        <v>3430</v>
      </c>
      <c r="AW98" s="122">
        <v>894</v>
      </c>
      <c r="AX98" s="122">
        <v>2480</v>
      </c>
      <c r="AY98" s="122">
        <v>174</v>
      </c>
      <c r="AZ98" s="122">
        <v>715</v>
      </c>
      <c r="BA98" s="122">
        <v>715</v>
      </c>
      <c r="BB98" s="122">
        <v>38</v>
      </c>
      <c r="BC98" s="122">
        <v>48</v>
      </c>
      <c r="BD98" s="122">
        <v>260</v>
      </c>
      <c r="BE98" s="122">
        <v>70</v>
      </c>
      <c r="BF98" s="122">
        <v>1</v>
      </c>
      <c r="BG98" s="122">
        <v>11612</v>
      </c>
      <c r="BH98" s="122">
        <v>944</v>
      </c>
      <c r="BI98" s="122">
        <v>294</v>
      </c>
      <c r="BJ98" s="115" t="str">
        <f t="shared" si="70"/>
        <v>0</v>
      </c>
      <c r="BK98" s="115" t="str">
        <f t="shared" si="71"/>
        <v>0</v>
      </c>
      <c r="BL98" s="115" t="str">
        <f t="shared" si="72"/>
        <v>0</v>
      </c>
      <c r="BM98" s="115">
        <f t="shared" si="73"/>
        <v>1</v>
      </c>
      <c r="BN98" s="115">
        <f t="shared" si="74"/>
        <v>4437.3999999999996</v>
      </c>
      <c r="BO98" s="115">
        <f t="shared" si="75"/>
        <v>2842.5</v>
      </c>
      <c r="BP98" s="115" t="str">
        <f t="shared" si="76"/>
        <v>0</v>
      </c>
      <c r="BQ98" s="115" t="str">
        <f t="shared" si="77"/>
        <v>0</v>
      </c>
      <c r="BR98" s="115" t="str">
        <f t="shared" si="78"/>
        <v>0</v>
      </c>
      <c r="BS98" s="115">
        <v>1</v>
      </c>
      <c r="BT98" s="115">
        <v>1</v>
      </c>
      <c r="BU98" s="122">
        <v>715</v>
      </c>
      <c r="BV98" s="115">
        <v>36</v>
      </c>
      <c r="BW98" s="115"/>
      <c r="BX98" s="115"/>
      <c r="BY98" s="275">
        <v>1524.1</v>
      </c>
      <c r="BZ98" s="253">
        <v>758.6</v>
      </c>
      <c r="CA98" s="157">
        <v>1731</v>
      </c>
      <c r="CB98" s="275">
        <f t="shared" si="79"/>
        <v>959</v>
      </c>
      <c r="CC98" s="209">
        <f t="shared" si="91"/>
        <v>1</v>
      </c>
      <c r="CD98" s="235">
        <f t="shared" si="92"/>
        <v>3430</v>
      </c>
      <c r="CE98" s="209"/>
      <c r="CF98" s="235">
        <f t="shared" si="93"/>
        <v>894</v>
      </c>
      <c r="CG98" s="235">
        <f t="shared" si="94"/>
        <v>1</v>
      </c>
      <c r="CH98" s="235">
        <f t="shared" si="95"/>
        <v>4324</v>
      </c>
      <c r="CI98" s="14">
        <v>43</v>
      </c>
      <c r="CJ98" s="284" t="str">
        <f t="shared" si="80"/>
        <v>0</v>
      </c>
      <c r="CK98" s="284" t="str">
        <f t="shared" si="81"/>
        <v>0</v>
      </c>
      <c r="CL98" s="243">
        <f t="shared" si="82"/>
        <v>4.7167260107270028</v>
      </c>
      <c r="CM98" s="216" t="str">
        <f t="shared" si="83"/>
        <v>0</v>
      </c>
      <c r="CN98" s="216" t="str">
        <f t="shared" si="84"/>
        <v>0</v>
      </c>
      <c r="CO98" s="243">
        <f t="shared" si="85"/>
        <v>4.647083638624304</v>
      </c>
      <c r="CP98" s="305">
        <v>1</v>
      </c>
      <c r="CQ98" s="305">
        <v>0</v>
      </c>
      <c r="CR98" s="305">
        <v>0</v>
      </c>
      <c r="CS98" s="305">
        <v>0</v>
      </c>
      <c r="CT98" s="305">
        <v>2</v>
      </c>
      <c r="CU98" s="305">
        <v>0</v>
      </c>
      <c r="CV98" s="305">
        <v>0</v>
      </c>
      <c r="CW98" s="305">
        <v>0</v>
      </c>
      <c r="CX98" s="306">
        <v>0</v>
      </c>
      <c r="CY98" s="306">
        <v>70</v>
      </c>
      <c r="CZ98" s="306">
        <f t="shared" si="96"/>
        <v>66</v>
      </c>
      <c r="DA98" s="306">
        <v>4</v>
      </c>
      <c r="DB98" s="306">
        <v>53</v>
      </c>
      <c r="DC98" s="306">
        <v>43</v>
      </c>
      <c r="DD98" s="306">
        <v>33</v>
      </c>
      <c r="DE98" s="306">
        <v>55</v>
      </c>
      <c r="DF98" s="306">
        <v>44</v>
      </c>
      <c r="DG98" s="306">
        <v>32</v>
      </c>
      <c r="DH98" s="306">
        <v>56</v>
      </c>
      <c r="DI98" s="306">
        <v>2</v>
      </c>
      <c r="DJ98" s="306">
        <v>1</v>
      </c>
      <c r="DK98" s="306">
        <v>4</v>
      </c>
      <c r="DL98" s="306">
        <v>2</v>
      </c>
      <c r="DM98" s="306">
        <v>1</v>
      </c>
      <c r="DN98" s="306">
        <v>4</v>
      </c>
      <c r="DO98" s="306">
        <v>2</v>
      </c>
      <c r="DP98" s="306">
        <v>70</v>
      </c>
      <c r="DQ98" s="306">
        <v>70</v>
      </c>
    </row>
    <row r="99" spans="1:121" x14ac:dyDescent="0.2">
      <c r="A99" s="12" t="s">
        <v>142</v>
      </c>
      <c r="B99" s="169">
        <v>93</v>
      </c>
      <c r="C99" s="12" t="s">
        <v>163</v>
      </c>
      <c r="D99" s="13">
        <v>1971</v>
      </c>
      <c r="E99" s="11"/>
      <c r="F99" s="169" t="s">
        <v>20</v>
      </c>
      <c r="G99" s="35">
        <v>1</v>
      </c>
      <c r="H99" s="45">
        <v>5</v>
      </c>
      <c r="I99" s="1" t="s">
        <v>22</v>
      </c>
      <c r="J99" s="122">
        <v>12245</v>
      </c>
      <c r="K99" s="122">
        <v>911</v>
      </c>
      <c r="L99" s="122">
        <v>1060</v>
      </c>
      <c r="M99" s="122"/>
      <c r="N99" s="122">
        <v>79</v>
      </c>
      <c r="O99" s="122">
        <v>157</v>
      </c>
      <c r="P99" s="122">
        <v>80</v>
      </c>
      <c r="Q99" s="122">
        <v>117</v>
      </c>
      <c r="R99" s="180">
        <v>3470.04</v>
      </c>
      <c r="S99" s="121">
        <v>2386.64</v>
      </c>
      <c r="T99" s="122">
        <f t="shared" si="64"/>
        <v>73</v>
      </c>
      <c r="U99" s="180">
        <f t="shared" si="65"/>
        <v>3230.61</v>
      </c>
      <c r="V99" s="180">
        <f t="shared" si="66"/>
        <v>2241.25</v>
      </c>
      <c r="W99" s="122">
        <v>6</v>
      </c>
      <c r="X99" s="180">
        <v>239.43</v>
      </c>
      <c r="Y99" s="180">
        <v>145.38999999999999</v>
      </c>
      <c r="Z99" s="122"/>
      <c r="AA99" s="180"/>
      <c r="AB99" s="180"/>
      <c r="AC99" s="180">
        <f t="shared" si="67"/>
        <v>58.2</v>
      </c>
      <c r="AD99" s="179">
        <f t="shared" si="68"/>
        <v>0</v>
      </c>
      <c r="AE99" s="271"/>
      <c r="AF99" s="179"/>
      <c r="AG99" s="180">
        <v>58.2</v>
      </c>
      <c r="AH99" s="180"/>
      <c r="AI99" s="180">
        <f t="shared" si="69"/>
        <v>3528.24</v>
      </c>
      <c r="AJ99" s="122"/>
      <c r="AK99" s="122"/>
      <c r="AL99" s="122">
        <v>4</v>
      </c>
      <c r="AM99" s="122"/>
      <c r="AN99" s="122">
        <v>1</v>
      </c>
      <c r="AO99" s="122">
        <v>1</v>
      </c>
      <c r="AP99" s="122">
        <v>2352</v>
      </c>
      <c r="AQ99" s="122"/>
      <c r="AR99" s="122">
        <f>196+98+171</f>
        <v>465</v>
      </c>
      <c r="AS99" s="122">
        <v>241</v>
      </c>
      <c r="AT99" s="122">
        <v>51</v>
      </c>
      <c r="AU99" s="122">
        <f t="shared" si="90"/>
        <v>2923</v>
      </c>
      <c r="AV99" s="122"/>
      <c r="AW99" s="122">
        <v>2923</v>
      </c>
      <c r="AX99" s="122">
        <v>1850</v>
      </c>
      <c r="AY99" s="122">
        <v>135</v>
      </c>
      <c r="AZ99" s="122">
        <v>887</v>
      </c>
      <c r="BA99" s="122">
        <v>887</v>
      </c>
      <c r="BB99" s="122">
        <v>20</v>
      </c>
      <c r="BC99" s="122">
        <v>13</v>
      </c>
      <c r="BD99" s="122">
        <v>240</v>
      </c>
      <c r="BE99" s="122">
        <v>80</v>
      </c>
      <c r="BF99" s="122">
        <v>1</v>
      </c>
      <c r="BG99" s="122">
        <v>15032</v>
      </c>
      <c r="BH99" s="122">
        <v>292</v>
      </c>
      <c r="BI99" s="122"/>
      <c r="BJ99" s="115" t="str">
        <f t="shared" si="70"/>
        <v>0</v>
      </c>
      <c r="BK99" s="115" t="str">
        <f t="shared" si="71"/>
        <v>0</v>
      </c>
      <c r="BL99" s="115" t="str">
        <f t="shared" si="72"/>
        <v>0</v>
      </c>
      <c r="BM99" s="115">
        <f t="shared" si="73"/>
        <v>1</v>
      </c>
      <c r="BN99" s="115">
        <f t="shared" si="74"/>
        <v>3470.04</v>
      </c>
      <c r="BO99" s="115">
        <f t="shared" si="75"/>
        <v>2386.64</v>
      </c>
      <c r="BP99" s="115" t="str">
        <f t="shared" si="76"/>
        <v>0</v>
      </c>
      <c r="BQ99" s="115" t="str">
        <f t="shared" si="77"/>
        <v>0</v>
      </c>
      <c r="BR99" s="115" t="str">
        <f t="shared" si="78"/>
        <v>0</v>
      </c>
      <c r="BS99" s="115"/>
      <c r="BT99" s="115">
        <v>4</v>
      </c>
      <c r="BU99" s="122"/>
      <c r="BV99" s="115"/>
      <c r="BW99" s="115"/>
      <c r="BX99" s="115"/>
      <c r="BY99" s="275">
        <v>1158.9099999999999</v>
      </c>
      <c r="BZ99" s="253">
        <v>271.61</v>
      </c>
      <c r="CA99" s="157">
        <v>2440</v>
      </c>
      <c r="CB99" s="275">
        <f t="shared" si="79"/>
        <v>1529</v>
      </c>
      <c r="CC99" s="209" t="str">
        <f t="shared" si="91"/>
        <v>0</v>
      </c>
      <c r="CD99" s="235">
        <f t="shared" si="92"/>
        <v>0</v>
      </c>
      <c r="CE99" s="209">
        <f t="shared" ref="CE99:CE113" si="97">IF(CF99&gt;0,G99,"0")</f>
        <v>1</v>
      </c>
      <c r="CF99" s="235">
        <f t="shared" si="93"/>
        <v>2923</v>
      </c>
      <c r="CG99" s="235">
        <f t="shared" si="94"/>
        <v>1</v>
      </c>
      <c r="CH99" s="235">
        <f t="shared" si="95"/>
        <v>2923</v>
      </c>
      <c r="CI99" s="14">
        <v>50</v>
      </c>
      <c r="CJ99" s="284" t="str">
        <f t="shared" si="80"/>
        <v>0</v>
      </c>
      <c r="CK99" s="284" t="str">
        <f t="shared" si="81"/>
        <v>0</v>
      </c>
      <c r="CL99" s="243">
        <f t="shared" si="82"/>
        <v>6.8999204620119663</v>
      </c>
      <c r="CM99" s="216" t="str">
        <f t="shared" si="83"/>
        <v>0</v>
      </c>
      <c r="CN99" s="216" t="str">
        <f t="shared" si="84"/>
        <v>0</v>
      </c>
      <c r="CO99" s="243">
        <f t="shared" si="85"/>
        <v>6.7861029861914171</v>
      </c>
      <c r="CP99" s="305">
        <v>1</v>
      </c>
      <c r="CQ99" s="305">
        <v>0</v>
      </c>
      <c r="CR99" s="305">
        <v>0</v>
      </c>
      <c r="CS99" s="305">
        <v>0</v>
      </c>
      <c r="CT99" s="305">
        <v>1</v>
      </c>
      <c r="CU99" s="305">
        <v>0</v>
      </c>
      <c r="CV99" s="305">
        <v>0</v>
      </c>
      <c r="CW99" s="305">
        <v>0</v>
      </c>
      <c r="CX99" s="306">
        <v>0</v>
      </c>
      <c r="CY99" s="306">
        <v>79</v>
      </c>
      <c r="CZ99" s="306">
        <f t="shared" si="96"/>
        <v>70</v>
      </c>
      <c r="DA99" s="306">
        <v>9</v>
      </c>
      <c r="DB99" s="306">
        <v>47</v>
      </c>
      <c r="DC99" s="306">
        <v>32</v>
      </c>
      <c r="DD99" s="306">
        <v>47</v>
      </c>
      <c r="DE99" s="306">
        <v>32</v>
      </c>
      <c r="DF99" s="306">
        <v>32</v>
      </c>
      <c r="DG99" s="306">
        <v>47</v>
      </c>
      <c r="DH99" s="306">
        <v>32</v>
      </c>
      <c r="DI99" s="306">
        <v>5</v>
      </c>
      <c r="DJ99" s="306">
        <v>5</v>
      </c>
      <c r="DK99" s="306">
        <v>4</v>
      </c>
      <c r="DL99" s="306">
        <v>5</v>
      </c>
      <c r="DM99" s="306">
        <v>5</v>
      </c>
      <c r="DN99" s="306">
        <v>4</v>
      </c>
      <c r="DO99" s="306">
        <v>5</v>
      </c>
      <c r="DP99" s="306">
        <v>79</v>
      </c>
      <c r="DQ99" s="306">
        <v>79</v>
      </c>
    </row>
    <row r="100" spans="1:121" x14ac:dyDescent="0.2">
      <c r="A100" s="12" t="s">
        <v>142</v>
      </c>
      <c r="B100" s="169">
        <v>94</v>
      </c>
      <c r="C100" s="12" t="s">
        <v>174</v>
      </c>
      <c r="D100" s="13">
        <v>1971</v>
      </c>
      <c r="E100" s="11"/>
      <c r="F100" s="169" t="s">
        <v>20</v>
      </c>
      <c r="G100" s="35">
        <v>1</v>
      </c>
      <c r="H100" s="45">
        <v>5</v>
      </c>
      <c r="I100" s="1" t="s">
        <v>22</v>
      </c>
      <c r="J100" s="122">
        <v>8980</v>
      </c>
      <c r="K100" s="122">
        <v>674</v>
      </c>
      <c r="L100" s="122">
        <v>782</v>
      </c>
      <c r="M100" s="122"/>
      <c r="N100" s="122">
        <f>58-1</f>
        <v>57</v>
      </c>
      <c r="O100" s="122">
        <f>111-1</f>
        <v>110</v>
      </c>
      <c r="P100" s="122">
        <v>58</v>
      </c>
      <c r="Q100" s="122">
        <v>107</v>
      </c>
      <c r="R100" s="180">
        <f>2487.54-30.04</f>
        <v>2457.5</v>
      </c>
      <c r="S100" s="121">
        <v>1671.37</v>
      </c>
      <c r="T100" s="122">
        <f t="shared" si="64"/>
        <v>50</v>
      </c>
      <c r="U100" s="180">
        <f t="shared" si="65"/>
        <v>2133.5299999999997</v>
      </c>
      <c r="V100" s="180">
        <f t="shared" si="66"/>
        <v>1449.36</v>
      </c>
      <c r="W100" s="122">
        <v>7</v>
      </c>
      <c r="X100" s="180">
        <v>323.97000000000003</v>
      </c>
      <c r="Y100" s="180">
        <v>222.01</v>
      </c>
      <c r="Z100" s="122"/>
      <c r="AA100" s="180"/>
      <c r="AB100" s="180"/>
      <c r="AC100" s="180">
        <f t="shared" si="67"/>
        <v>72.900000000000006</v>
      </c>
      <c r="AD100" s="179">
        <f t="shared" si="68"/>
        <v>0</v>
      </c>
      <c r="AE100" s="271"/>
      <c r="AF100" s="179"/>
      <c r="AG100" s="180">
        <f>42.3+30.6</f>
        <v>72.900000000000006</v>
      </c>
      <c r="AH100" s="180"/>
      <c r="AI100" s="180">
        <f t="shared" si="69"/>
        <v>2530.4</v>
      </c>
      <c r="AJ100" s="122"/>
      <c r="AK100" s="122"/>
      <c r="AL100" s="122">
        <v>3</v>
      </c>
      <c r="AM100" s="122"/>
      <c r="AN100" s="122"/>
      <c r="AO100" s="122">
        <v>1</v>
      </c>
      <c r="AP100" s="122">
        <v>1818</v>
      </c>
      <c r="AQ100" s="122"/>
      <c r="AR100" s="122">
        <f>78+39+114</f>
        <v>231</v>
      </c>
      <c r="AS100" s="122">
        <v>132</v>
      </c>
      <c r="AT100" s="122">
        <v>38</v>
      </c>
      <c r="AU100" s="122">
        <f t="shared" si="90"/>
        <v>2193</v>
      </c>
      <c r="AV100" s="122"/>
      <c r="AW100" s="122">
        <v>2193</v>
      </c>
      <c r="AX100" s="122">
        <v>1425</v>
      </c>
      <c r="AY100" s="122">
        <v>105</v>
      </c>
      <c r="AZ100" s="122">
        <v>651</v>
      </c>
      <c r="BA100" s="122">
        <v>651</v>
      </c>
      <c r="BB100" s="122">
        <v>15</v>
      </c>
      <c r="BC100" s="122">
        <v>10</v>
      </c>
      <c r="BD100" s="122">
        <v>168</v>
      </c>
      <c r="BE100" s="122">
        <v>59</v>
      </c>
      <c r="BF100" s="122">
        <v>1</v>
      </c>
      <c r="BG100" s="122">
        <v>11274</v>
      </c>
      <c r="BH100" s="122">
        <v>219</v>
      </c>
      <c r="BI100" s="122"/>
      <c r="BJ100" s="115" t="str">
        <f t="shared" si="70"/>
        <v>0</v>
      </c>
      <c r="BK100" s="115" t="str">
        <f t="shared" si="71"/>
        <v>0</v>
      </c>
      <c r="BL100" s="115" t="str">
        <f t="shared" si="72"/>
        <v>0</v>
      </c>
      <c r="BM100" s="115">
        <f t="shared" si="73"/>
        <v>1</v>
      </c>
      <c r="BN100" s="115">
        <f t="shared" si="74"/>
        <v>2457.5</v>
      </c>
      <c r="BO100" s="115">
        <f t="shared" si="75"/>
        <v>1671.37</v>
      </c>
      <c r="BP100" s="115" t="str">
        <f t="shared" si="76"/>
        <v>0</v>
      </c>
      <c r="BQ100" s="115" t="str">
        <f t="shared" si="77"/>
        <v>0</v>
      </c>
      <c r="BR100" s="115" t="str">
        <f t="shared" si="78"/>
        <v>0</v>
      </c>
      <c r="BS100" s="115"/>
      <c r="BT100" s="115"/>
      <c r="BU100" s="122"/>
      <c r="BV100" s="115"/>
      <c r="BW100" s="115"/>
      <c r="BX100" s="115"/>
      <c r="BY100" s="275">
        <v>895.54</v>
      </c>
      <c r="BZ100" s="253">
        <v>203.02</v>
      </c>
      <c r="CA100" s="157">
        <v>1893</v>
      </c>
      <c r="CB100" s="275">
        <f t="shared" si="79"/>
        <v>1219</v>
      </c>
      <c r="CC100" s="209" t="str">
        <f t="shared" si="91"/>
        <v>0</v>
      </c>
      <c r="CD100" s="235">
        <f t="shared" si="92"/>
        <v>0</v>
      </c>
      <c r="CE100" s="209">
        <f t="shared" si="97"/>
        <v>1</v>
      </c>
      <c r="CF100" s="235">
        <f t="shared" si="93"/>
        <v>2193</v>
      </c>
      <c r="CG100" s="235">
        <f t="shared" si="94"/>
        <v>1</v>
      </c>
      <c r="CH100" s="235">
        <f t="shared" si="95"/>
        <v>2193</v>
      </c>
      <c r="CI100" s="14">
        <v>53</v>
      </c>
      <c r="CJ100" s="284" t="str">
        <f t="shared" si="80"/>
        <v>0</v>
      </c>
      <c r="CK100" s="284" t="str">
        <f t="shared" si="81"/>
        <v>0</v>
      </c>
      <c r="CL100" s="243">
        <f t="shared" si="82"/>
        <v>13.182909460834184</v>
      </c>
      <c r="CM100" s="216" t="str">
        <f t="shared" si="83"/>
        <v>0</v>
      </c>
      <c r="CN100" s="216" t="str">
        <f t="shared" si="84"/>
        <v>0</v>
      </c>
      <c r="CO100" s="243">
        <f t="shared" si="85"/>
        <v>12.80311413215302</v>
      </c>
      <c r="CP100" s="305">
        <v>1</v>
      </c>
      <c r="CQ100" s="305">
        <v>0</v>
      </c>
      <c r="CR100" s="305">
        <v>0</v>
      </c>
      <c r="CS100" s="305">
        <v>0</v>
      </c>
      <c r="CT100" s="305">
        <v>1</v>
      </c>
      <c r="CU100" s="305">
        <v>0</v>
      </c>
      <c r="CV100" s="305">
        <v>0</v>
      </c>
      <c r="CW100" s="305">
        <v>0</v>
      </c>
      <c r="CX100" s="306">
        <v>0</v>
      </c>
      <c r="CY100" s="306">
        <v>58</v>
      </c>
      <c r="CZ100" s="306">
        <f t="shared" si="96"/>
        <v>50</v>
      </c>
      <c r="DA100" s="306">
        <v>8</v>
      </c>
      <c r="DB100" s="306">
        <v>30</v>
      </c>
      <c r="DC100" s="306">
        <v>27</v>
      </c>
      <c r="DD100" s="306">
        <v>31</v>
      </c>
      <c r="DE100" s="306">
        <v>27</v>
      </c>
      <c r="DF100" s="306">
        <v>27</v>
      </c>
      <c r="DG100" s="306">
        <v>31</v>
      </c>
      <c r="DH100" s="306">
        <v>27</v>
      </c>
      <c r="DI100" s="306">
        <v>5</v>
      </c>
      <c r="DJ100" s="306">
        <v>0</v>
      </c>
      <c r="DK100" s="306">
        <v>7</v>
      </c>
      <c r="DL100" s="306">
        <v>0</v>
      </c>
      <c r="DM100" s="306">
        <v>0</v>
      </c>
      <c r="DN100" s="306">
        <v>7</v>
      </c>
      <c r="DO100" s="306">
        <v>0</v>
      </c>
      <c r="DP100" s="306">
        <v>58</v>
      </c>
      <c r="DQ100" s="306">
        <v>58</v>
      </c>
    </row>
    <row r="101" spans="1:121" x14ac:dyDescent="0.2">
      <c r="A101" s="27" t="s">
        <v>142</v>
      </c>
      <c r="B101" s="169">
        <v>95</v>
      </c>
      <c r="C101" s="12" t="s">
        <v>175</v>
      </c>
      <c r="D101" s="13">
        <v>1971</v>
      </c>
      <c r="E101" s="11"/>
      <c r="F101" s="169" t="s">
        <v>20</v>
      </c>
      <c r="G101" s="35">
        <v>1</v>
      </c>
      <c r="H101" s="45">
        <v>5</v>
      </c>
      <c r="I101" s="1" t="s">
        <v>22</v>
      </c>
      <c r="J101" s="122">
        <v>12223</v>
      </c>
      <c r="K101" s="122">
        <v>915</v>
      </c>
      <c r="L101" s="122">
        <v>1058</v>
      </c>
      <c r="M101" s="122"/>
      <c r="N101" s="122">
        <v>80</v>
      </c>
      <c r="O101" s="122">
        <v>160</v>
      </c>
      <c r="P101" s="122">
        <v>80</v>
      </c>
      <c r="Q101" s="122">
        <v>129</v>
      </c>
      <c r="R101" s="180">
        <f>3533.33+0.03-0.01+0.02</f>
        <v>3533.37</v>
      </c>
      <c r="S101" s="121">
        <v>2432</v>
      </c>
      <c r="T101" s="122">
        <f t="shared" si="64"/>
        <v>69</v>
      </c>
      <c r="U101" s="180">
        <f t="shared" si="65"/>
        <v>3011.83</v>
      </c>
      <c r="V101" s="180">
        <f t="shared" si="66"/>
        <v>2066.92</v>
      </c>
      <c r="W101" s="122">
        <v>11</v>
      </c>
      <c r="X101" s="180">
        <v>521.54</v>
      </c>
      <c r="Y101" s="180">
        <v>365.08</v>
      </c>
      <c r="Z101" s="122"/>
      <c r="AA101" s="180"/>
      <c r="AB101" s="180"/>
      <c r="AC101" s="180">
        <f t="shared" si="67"/>
        <v>0</v>
      </c>
      <c r="AD101" s="179">
        <f t="shared" si="68"/>
        <v>0</v>
      </c>
      <c r="AE101" s="271"/>
      <c r="AF101" s="179"/>
      <c r="AG101" s="180"/>
      <c r="AH101" s="180"/>
      <c r="AI101" s="180">
        <f t="shared" si="69"/>
        <v>3533.37</v>
      </c>
      <c r="AJ101" s="122"/>
      <c r="AK101" s="122"/>
      <c r="AL101" s="122">
        <v>4</v>
      </c>
      <c r="AM101" s="122"/>
      <c r="AN101" s="122"/>
      <c r="AO101" s="122">
        <v>1</v>
      </c>
      <c r="AP101" s="122">
        <v>2352</v>
      </c>
      <c r="AQ101" s="122"/>
      <c r="AR101" s="122">
        <f>70+35+152</f>
        <v>257</v>
      </c>
      <c r="AS101" s="122">
        <v>260</v>
      </c>
      <c r="AT101" s="122">
        <v>51</v>
      </c>
      <c r="AU101" s="122">
        <f t="shared" si="90"/>
        <v>2937</v>
      </c>
      <c r="AV101" s="122"/>
      <c r="AW101" s="122">
        <v>2937</v>
      </c>
      <c r="AX101" s="122">
        <v>1850</v>
      </c>
      <c r="AY101" s="122">
        <v>135</v>
      </c>
      <c r="AZ101" s="122">
        <v>885</v>
      </c>
      <c r="BA101" s="122">
        <v>885</v>
      </c>
      <c r="BB101" s="122">
        <v>20</v>
      </c>
      <c r="BC101" s="122">
        <v>13</v>
      </c>
      <c r="BD101" s="122">
        <v>240</v>
      </c>
      <c r="BE101" s="122">
        <v>80</v>
      </c>
      <c r="BF101" s="122">
        <v>1</v>
      </c>
      <c r="BG101" s="122">
        <v>15032</v>
      </c>
      <c r="BH101" s="122">
        <v>292</v>
      </c>
      <c r="BI101" s="122"/>
      <c r="BJ101" s="115" t="str">
        <f t="shared" si="70"/>
        <v>0</v>
      </c>
      <c r="BK101" s="115" t="str">
        <f t="shared" si="71"/>
        <v>0</v>
      </c>
      <c r="BL101" s="115" t="str">
        <f t="shared" si="72"/>
        <v>0</v>
      </c>
      <c r="BM101" s="115">
        <f t="shared" si="73"/>
        <v>1</v>
      </c>
      <c r="BN101" s="115">
        <f t="shared" si="74"/>
        <v>3533.37</v>
      </c>
      <c r="BO101" s="115">
        <f t="shared" si="75"/>
        <v>2432</v>
      </c>
      <c r="BP101" s="115" t="str">
        <f t="shared" si="76"/>
        <v>0</v>
      </c>
      <c r="BQ101" s="115" t="str">
        <f t="shared" si="77"/>
        <v>0</v>
      </c>
      <c r="BR101" s="115" t="str">
        <f t="shared" si="78"/>
        <v>0</v>
      </c>
      <c r="BS101" s="115"/>
      <c r="BT101" s="115"/>
      <c r="BU101" s="122">
        <v>885</v>
      </c>
      <c r="BV101" s="115">
        <v>194</v>
      </c>
      <c r="BW101" s="115"/>
      <c r="BX101" s="115"/>
      <c r="BY101" s="275">
        <v>1156.8499999999999</v>
      </c>
      <c r="BZ101" s="253">
        <v>271.13</v>
      </c>
      <c r="CA101" s="157">
        <v>2703</v>
      </c>
      <c r="CB101" s="275">
        <f t="shared" si="79"/>
        <v>1788</v>
      </c>
      <c r="CC101" s="209" t="str">
        <f t="shared" si="91"/>
        <v>0</v>
      </c>
      <c r="CD101" s="235">
        <f t="shared" si="92"/>
        <v>0</v>
      </c>
      <c r="CE101" s="209">
        <f t="shared" si="97"/>
        <v>1</v>
      </c>
      <c r="CF101" s="235">
        <f t="shared" si="93"/>
        <v>2937</v>
      </c>
      <c r="CG101" s="235">
        <f t="shared" si="94"/>
        <v>1</v>
      </c>
      <c r="CH101" s="235">
        <f t="shared" si="95"/>
        <v>2937</v>
      </c>
      <c r="CI101" s="14">
        <v>53</v>
      </c>
      <c r="CJ101" s="284" t="str">
        <f t="shared" si="80"/>
        <v>0</v>
      </c>
      <c r="CK101" s="284" t="str">
        <f t="shared" si="81"/>
        <v>0</v>
      </c>
      <c r="CL101" s="243">
        <f t="shared" si="82"/>
        <v>14.760412863640093</v>
      </c>
      <c r="CM101" s="216" t="str">
        <f t="shared" si="83"/>
        <v>0</v>
      </c>
      <c r="CN101" s="216" t="str">
        <f t="shared" si="84"/>
        <v>0</v>
      </c>
      <c r="CO101" s="243">
        <f t="shared" si="85"/>
        <v>14.760412863640093</v>
      </c>
      <c r="CP101" s="305">
        <v>1</v>
      </c>
      <c r="CQ101" s="305">
        <v>0</v>
      </c>
      <c r="CR101" s="305">
        <v>0</v>
      </c>
      <c r="CS101" s="305">
        <v>0</v>
      </c>
      <c r="CT101" s="305">
        <v>1</v>
      </c>
      <c r="CU101" s="305">
        <v>0</v>
      </c>
      <c r="CV101" s="305">
        <v>0</v>
      </c>
      <c r="CW101" s="305">
        <v>0</v>
      </c>
      <c r="CX101" s="306">
        <v>0</v>
      </c>
      <c r="CY101" s="306">
        <v>80</v>
      </c>
      <c r="CZ101" s="306">
        <f t="shared" si="96"/>
        <v>66</v>
      </c>
      <c r="DA101" s="306">
        <v>14</v>
      </c>
      <c r="DB101" s="306">
        <v>47</v>
      </c>
      <c r="DC101" s="306">
        <v>34</v>
      </c>
      <c r="DD101" s="306">
        <v>46</v>
      </c>
      <c r="DE101" s="306">
        <v>34</v>
      </c>
      <c r="DF101" s="306">
        <v>33</v>
      </c>
      <c r="DG101" s="306">
        <v>47</v>
      </c>
      <c r="DH101" s="306">
        <v>33</v>
      </c>
      <c r="DI101" s="306">
        <v>4</v>
      </c>
      <c r="DJ101" s="306">
        <v>2</v>
      </c>
      <c r="DK101" s="306">
        <v>13</v>
      </c>
      <c r="DL101" s="306">
        <v>2</v>
      </c>
      <c r="DM101" s="306">
        <v>2</v>
      </c>
      <c r="DN101" s="306">
        <v>13</v>
      </c>
      <c r="DO101" s="306">
        <v>2</v>
      </c>
      <c r="DP101" s="306">
        <v>80</v>
      </c>
      <c r="DQ101" s="306">
        <v>80</v>
      </c>
    </row>
    <row r="102" spans="1:121" x14ac:dyDescent="0.2">
      <c r="A102" s="27" t="s">
        <v>142</v>
      </c>
      <c r="B102" s="169">
        <v>96</v>
      </c>
      <c r="C102" s="12" t="s">
        <v>176</v>
      </c>
      <c r="D102" s="13">
        <v>1971</v>
      </c>
      <c r="E102" s="11"/>
      <c r="F102" s="169" t="s">
        <v>20</v>
      </c>
      <c r="G102" s="35">
        <v>1</v>
      </c>
      <c r="H102" s="45">
        <v>5</v>
      </c>
      <c r="I102" s="1" t="s">
        <v>22</v>
      </c>
      <c r="J102" s="122">
        <v>5704</v>
      </c>
      <c r="K102" s="122">
        <v>423</v>
      </c>
      <c r="L102" s="122">
        <v>503</v>
      </c>
      <c r="M102" s="122"/>
      <c r="N102" s="122">
        <v>40</v>
      </c>
      <c r="O102" s="122">
        <v>70</v>
      </c>
      <c r="P102" s="122">
        <v>40</v>
      </c>
      <c r="Q102" s="122">
        <v>70</v>
      </c>
      <c r="R102" s="180">
        <v>1605.22</v>
      </c>
      <c r="S102" s="121">
        <v>1064.78</v>
      </c>
      <c r="T102" s="122">
        <f t="shared" si="64"/>
        <v>36</v>
      </c>
      <c r="U102" s="180">
        <f t="shared" si="65"/>
        <v>1443.38</v>
      </c>
      <c r="V102" s="180">
        <f t="shared" si="66"/>
        <v>954.59999999999991</v>
      </c>
      <c r="W102" s="122">
        <v>4</v>
      </c>
      <c r="X102" s="180">
        <v>161.84</v>
      </c>
      <c r="Y102" s="180">
        <v>110.18</v>
      </c>
      <c r="Z102" s="122"/>
      <c r="AA102" s="180"/>
      <c r="AB102" s="180"/>
      <c r="AC102" s="180">
        <f t="shared" si="67"/>
        <v>0</v>
      </c>
      <c r="AD102" s="179">
        <f t="shared" si="68"/>
        <v>0</v>
      </c>
      <c r="AE102" s="271"/>
      <c r="AF102" s="179"/>
      <c r="AG102" s="180"/>
      <c r="AH102" s="180"/>
      <c r="AI102" s="180">
        <f t="shared" si="69"/>
        <v>1605.22</v>
      </c>
      <c r="AJ102" s="122"/>
      <c r="AK102" s="122"/>
      <c r="AL102" s="122">
        <v>2</v>
      </c>
      <c r="AM102" s="122"/>
      <c r="AN102" s="122"/>
      <c r="AO102" s="122">
        <v>1</v>
      </c>
      <c r="AP102" s="122">
        <v>1279</v>
      </c>
      <c r="AQ102" s="122"/>
      <c r="AR102" s="122">
        <f>150+75+90</f>
        <v>315</v>
      </c>
      <c r="AS102" s="122">
        <v>95</v>
      </c>
      <c r="AT102" s="122">
        <v>26</v>
      </c>
      <c r="AU102" s="122">
        <f t="shared" si="90"/>
        <v>1462</v>
      </c>
      <c r="AV102" s="122"/>
      <c r="AW102" s="122">
        <v>1462</v>
      </c>
      <c r="AX102" s="122">
        <v>1178</v>
      </c>
      <c r="AY102" s="122">
        <v>65</v>
      </c>
      <c r="AZ102" s="122">
        <v>413</v>
      </c>
      <c r="BA102" s="122">
        <v>413</v>
      </c>
      <c r="BB102" s="122">
        <v>10</v>
      </c>
      <c r="BC102" s="122">
        <v>7</v>
      </c>
      <c r="BD102" s="122">
        <v>118</v>
      </c>
      <c r="BE102" s="122">
        <v>40</v>
      </c>
      <c r="BF102" s="122">
        <v>1</v>
      </c>
      <c r="BG102" s="122">
        <v>7516</v>
      </c>
      <c r="BH102" s="122">
        <v>146</v>
      </c>
      <c r="BI102" s="122"/>
      <c r="BJ102" s="115" t="str">
        <f t="shared" si="70"/>
        <v>0</v>
      </c>
      <c r="BK102" s="115" t="str">
        <f t="shared" si="71"/>
        <v>0</v>
      </c>
      <c r="BL102" s="115" t="str">
        <f t="shared" si="72"/>
        <v>0</v>
      </c>
      <c r="BM102" s="115">
        <f t="shared" si="73"/>
        <v>1</v>
      </c>
      <c r="BN102" s="115">
        <f t="shared" si="74"/>
        <v>1605.22</v>
      </c>
      <c r="BO102" s="115">
        <f t="shared" si="75"/>
        <v>1064.78</v>
      </c>
      <c r="BP102" s="115" t="str">
        <f t="shared" si="76"/>
        <v>0</v>
      </c>
      <c r="BQ102" s="115" t="str">
        <f t="shared" si="77"/>
        <v>0</v>
      </c>
      <c r="BR102" s="115" t="str">
        <f t="shared" si="78"/>
        <v>0</v>
      </c>
      <c r="BS102" s="115"/>
      <c r="BT102" s="115"/>
      <c r="BU102" s="122"/>
      <c r="BV102" s="115"/>
      <c r="BW102" s="115"/>
      <c r="BX102" s="115"/>
      <c r="BY102" s="275">
        <v>549.46</v>
      </c>
      <c r="BZ102" s="253">
        <v>136.16</v>
      </c>
      <c r="CA102" s="157">
        <v>1502</v>
      </c>
      <c r="CB102" s="275">
        <f t="shared" si="79"/>
        <v>1079</v>
      </c>
      <c r="CC102" s="209" t="str">
        <f t="shared" si="91"/>
        <v>0</v>
      </c>
      <c r="CD102" s="235">
        <f t="shared" si="92"/>
        <v>0</v>
      </c>
      <c r="CE102" s="209">
        <f t="shared" si="97"/>
        <v>1</v>
      </c>
      <c r="CF102" s="235">
        <f t="shared" si="93"/>
        <v>1462</v>
      </c>
      <c r="CG102" s="235">
        <f t="shared" si="94"/>
        <v>1</v>
      </c>
      <c r="CH102" s="235">
        <f t="shared" si="95"/>
        <v>1462</v>
      </c>
      <c r="CI102" s="14">
        <v>56</v>
      </c>
      <c r="CJ102" s="284" t="str">
        <f t="shared" si="80"/>
        <v>0</v>
      </c>
      <c r="CK102" s="284" t="str">
        <f t="shared" si="81"/>
        <v>0</v>
      </c>
      <c r="CL102" s="243">
        <f t="shared" si="82"/>
        <v>10.082107125503047</v>
      </c>
      <c r="CM102" s="216" t="str">
        <f t="shared" si="83"/>
        <v>0</v>
      </c>
      <c r="CN102" s="216" t="str">
        <f t="shared" si="84"/>
        <v>0</v>
      </c>
      <c r="CO102" s="243">
        <f t="shared" si="85"/>
        <v>10.082107125503047</v>
      </c>
      <c r="CP102" s="305">
        <v>1</v>
      </c>
      <c r="CQ102" s="305">
        <v>0</v>
      </c>
      <c r="CR102" s="305">
        <v>0</v>
      </c>
      <c r="CS102" s="305">
        <v>0</v>
      </c>
      <c r="CT102" s="305">
        <v>1</v>
      </c>
      <c r="CU102" s="305">
        <v>0</v>
      </c>
      <c r="CV102" s="305">
        <v>0</v>
      </c>
      <c r="CW102" s="305">
        <v>0</v>
      </c>
      <c r="CX102" s="306">
        <v>0</v>
      </c>
      <c r="CY102" s="306">
        <v>40</v>
      </c>
      <c r="CZ102" s="306">
        <f t="shared" si="96"/>
        <v>36</v>
      </c>
      <c r="DA102" s="306">
        <v>4</v>
      </c>
      <c r="DB102" s="306">
        <v>24</v>
      </c>
      <c r="DC102" s="306">
        <v>18</v>
      </c>
      <c r="DD102" s="306">
        <v>22</v>
      </c>
      <c r="DE102" s="306">
        <v>18</v>
      </c>
      <c r="DF102" s="306">
        <v>18</v>
      </c>
      <c r="DG102" s="306">
        <v>22</v>
      </c>
      <c r="DH102" s="306">
        <v>18</v>
      </c>
      <c r="DI102" s="306">
        <v>3</v>
      </c>
      <c r="DJ102" s="306">
        <v>1</v>
      </c>
      <c r="DK102" s="306">
        <v>3</v>
      </c>
      <c r="DL102" s="306">
        <v>1</v>
      </c>
      <c r="DM102" s="306">
        <v>1</v>
      </c>
      <c r="DN102" s="306">
        <v>3</v>
      </c>
      <c r="DO102" s="306">
        <v>1</v>
      </c>
      <c r="DP102" s="306">
        <v>40</v>
      </c>
      <c r="DQ102" s="306">
        <v>40</v>
      </c>
    </row>
    <row r="103" spans="1:121" x14ac:dyDescent="0.2">
      <c r="A103" s="27" t="s">
        <v>142</v>
      </c>
      <c r="B103" s="169">
        <v>97</v>
      </c>
      <c r="C103" s="12" t="s">
        <v>170</v>
      </c>
      <c r="D103" s="13">
        <v>1961</v>
      </c>
      <c r="E103" s="11"/>
      <c r="F103" s="169" t="s">
        <v>13</v>
      </c>
      <c r="G103" s="35">
        <v>1</v>
      </c>
      <c r="H103" s="45">
        <v>5</v>
      </c>
      <c r="I103" s="1" t="s">
        <v>19</v>
      </c>
      <c r="J103" s="122">
        <f>12757+10047+6469+6469</f>
        <v>35742</v>
      </c>
      <c r="K103" s="122">
        <f>952+711+466+455</f>
        <v>2584</v>
      </c>
      <c r="L103" s="122">
        <f>1082+835+545+546</f>
        <v>3008</v>
      </c>
      <c r="M103" s="122"/>
      <c r="N103" s="122">
        <v>99</v>
      </c>
      <c r="O103" s="122">
        <v>434</v>
      </c>
      <c r="P103" s="122">
        <v>100</v>
      </c>
      <c r="Q103" s="122">
        <v>266</v>
      </c>
      <c r="R103" s="179">
        <v>7801</v>
      </c>
      <c r="S103" s="121">
        <v>4565.8</v>
      </c>
      <c r="T103" s="122">
        <f t="shared" ref="T103:T134" si="98">N103-W103-Z103</f>
        <v>90</v>
      </c>
      <c r="U103" s="179">
        <f t="shared" ref="U103:U134" si="99">R103-X103-AA103</f>
        <v>7201.5</v>
      </c>
      <c r="V103" s="180">
        <f t="shared" ref="V103:V134" si="100">S103-Y103-AB103</f>
        <v>4242.91</v>
      </c>
      <c r="W103" s="122">
        <v>9</v>
      </c>
      <c r="X103" s="180">
        <v>599.5</v>
      </c>
      <c r="Y103" s="180">
        <v>322.89</v>
      </c>
      <c r="Z103" s="122"/>
      <c r="AA103" s="180"/>
      <c r="AB103" s="180"/>
      <c r="AC103" s="180">
        <f t="shared" ref="AC103:AC134" si="101">AD103+AG103+AH103</f>
        <v>763.47</v>
      </c>
      <c r="AD103" s="179">
        <f t="shared" ref="AD103:AD134" si="102">AE103+AF103</f>
        <v>61.37</v>
      </c>
      <c r="AE103" s="271"/>
      <c r="AF103" s="179">
        <v>61.37</v>
      </c>
      <c r="AG103" s="180">
        <v>702.1</v>
      </c>
      <c r="AH103" s="180"/>
      <c r="AI103" s="180">
        <f t="shared" ref="AI103:AI134" si="103">R103+AC103</f>
        <v>8564.4699999999993</v>
      </c>
      <c r="AJ103" s="122"/>
      <c r="AK103" s="122"/>
      <c r="AL103" s="123">
        <f>4+3+2+2</f>
        <v>11</v>
      </c>
      <c r="AM103" s="122"/>
      <c r="AN103" s="122"/>
      <c r="AO103" s="122">
        <f>1+1</f>
        <v>2</v>
      </c>
      <c r="AP103" s="122">
        <f>2475+1905+1397+1407</f>
        <v>7184</v>
      </c>
      <c r="AQ103" s="122"/>
      <c r="AR103" s="122">
        <f>276+317+116+116</f>
        <v>825</v>
      </c>
      <c r="AS103" s="122">
        <f>232+126+91+84</f>
        <v>533</v>
      </c>
      <c r="AT103" s="122">
        <f>51+38+26+26</f>
        <v>141</v>
      </c>
      <c r="AU103" s="122">
        <f t="shared" si="90"/>
        <v>8040</v>
      </c>
      <c r="AV103" s="122"/>
      <c r="AW103" s="122">
        <f>2923+2193+1462+1462</f>
        <v>8040</v>
      </c>
      <c r="AX103" s="122"/>
      <c r="AY103" s="122">
        <f>190+155+105+105</f>
        <v>555</v>
      </c>
      <c r="AZ103" s="122">
        <f>913+699+450+450</f>
        <v>2512</v>
      </c>
      <c r="BA103" s="122">
        <f>913+699+450+450</f>
        <v>2512</v>
      </c>
      <c r="BB103" s="122">
        <f>20+15+10+10</f>
        <v>55</v>
      </c>
      <c r="BC103" s="122">
        <f>13+10+7+7</f>
        <v>37</v>
      </c>
      <c r="BD103" s="122">
        <f>220+175+110+110-4</f>
        <v>611</v>
      </c>
      <c r="BE103" s="122">
        <f>40+29+20+18-1</f>
        <v>106</v>
      </c>
      <c r="BF103" s="122">
        <f>4+3+2+2</f>
        <v>11</v>
      </c>
      <c r="BG103" s="122">
        <f>14872+11154+7436+7436</f>
        <v>40898</v>
      </c>
      <c r="BH103" s="122">
        <f>492+369+246+246</f>
        <v>1353</v>
      </c>
      <c r="BI103" s="122"/>
      <c r="BJ103" s="115">
        <f t="shared" ref="BJ103:BJ134" si="104">IF((I103="кир"),G103,"0")</f>
        <v>1</v>
      </c>
      <c r="BK103" s="115">
        <f t="shared" ref="BK103:BK134" si="105">IF((I103="кир"),R103,"0")</f>
        <v>7801</v>
      </c>
      <c r="BL103" s="115">
        <f t="shared" ref="BL103:BL134" si="106">IF((I103="кир"),S103,"0")</f>
        <v>4565.8</v>
      </c>
      <c r="BM103" s="115" t="str">
        <f t="shared" ref="BM103:BM134" si="107">IF((I103="пан"),G103,"0")</f>
        <v>0</v>
      </c>
      <c r="BN103" s="115" t="str">
        <f t="shared" ref="BN103:BN134" si="108">IF((I103="пан"),R103,"0")</f>
        <v>0</v>
      </c>
      <c r="BO103" s="115" t="str">
        <f t="shared" ref="BO103:BO134" si="109">IF((I103="пан"),S103,"0")</f>
        <v>0</v>
      </c>
      <c r="BP103" s="115" t="str">
        <f t="shared" ref="BP103:BP134" si="110">IF((I103="смеш"),G103,"0")</f>
        <v>0</v>
      </c>
      <c r="BQ103" s="115" t="str">
        <f t="shared" ref="BQ103:BQ134" si="111">IF((I103="смеш"),R103,"0")</f>
        <v>0</v>
      </c>
      <c r="BR103" s="115" t="str">
        <f t="shared" ref="BR103:BR134" si="112">IF((I103="смеш"),S103,"0")</f>
        <v>0</v>
      </c>
      <c r="BS103" s="115"/>
      <c r="BT103" s="115">
        <f>2+2+1+1</f>
        <v>6</v>
      </c>
      <c r="BU103" s="122"/>
      <c r="BV103" s="115"/>
      <c r="BW103" s="115">
        <v>30</v>
      </c>
      <c r="BX103" s="115">
        <f>AP103</f>
        <v>7184</v>
      </c>
      <c r="BY103" s="275">
        <v>3189.83</v>
      </c>
      <c r="BZ103" s="253">
        <v>682.83</v>
      </c>
      <c r="CA103" s="157">
        <f>2491+1949+1287+1215</f>
        <v>6942</v>
      </c>
      <c r="CB103" s="275">
        <f t="shared" ref="CB103:CB134" si="113">CA103-K103</f>
        <v>4358</v>
      </c>
      <c r="CC103" s="209" t="str">
        <f t="shared" si="91"/>
        <v>0</v>
      </c>
      <c r="CD103" s="235">
        <f t="shared" si="92"/>
        <v>0</v>
      </c>
      <c r="CE103" s="209">
        <f t="shared" si="97"/>
        <v>1</v>
      </c>
      <c r="CF103" s="235">
        <f t="shared" si="93"/>
        <v>8040</v>
      </c>
      <c r="CG103" s="235">
        <f t="shared" si="94"/>
        <v>1</v>
      </c>
      <c r="CH103" s="235">
        <f t="shared" si="95"/>
        <v>8040</v>
      </c>
      <c r="CI103" s="14">
        <v>50</v>
      </c>
      <c r="CJ103" s="284" t="str">
        <f t="shared" ref="CJ103:CJ134" si="114">IF((X103/R103*100&gt;=50), G103, "0")</f>
        <v>0</v>
      </c>
      <c r="CK103" s="284" t="str">
        <f t="shared" ref="CK103:CK134" si="115">IF((X103/R103*100&gt;=50), R103, "0")</f>
        <v>0</v>
      </c>
      <c r="CL103" s="243">
        <f t="shared" ref="CL103:CL134" si="116">X103/R103*100</f>
        <v>7.6849121907447762</v>
      </c>
      <c r="CM103" s="216" t="str">
        <f t="shared" ref="CM103:CM134" si="117">IF(((X103+AD103)/AI103*100&gt;=50), G103, "0")</f>
        <v>0</v>
      </c>
      <c r="CN103" s="216" t="str">
        <f t="shared" ref="CN103:CN134" si="118">IF(((X103+AD103)/AI103*100&gt;=50), AI103, "0")</f>
        <v>0</v>
      </c>
      <c r="CO103" s="243">
        <f t="shared" ref="CO103:CO134" si="119">(X103+AD103)/AI103*100</f>
        <v>7.7164144424582028</v>
      </c>
      <c r="CP103" s="305">
        <v>1</v>
      </c>
      <c r="CQ103" s="305">
        <v>0</v>
      </c>
      <c r="CR103" s="305">
        <v>0</v>
      </c>
      <c r="CS103" s="305">
        <v>0</v>
      </c>
      <c r="CT103" s="305">
        <v>4</v>
      </c>
      <c r="CU103" s="305">
        <v>0</v>
      </c>
      <c r="CV103" s="305">
        <v>0</v>
      </c>
      <c r="CW103" s="305">
        <v>0</v>
      </c>
      <c r="CX103" s="306">
        <v>0</v>
      </c>
      <c r="CY103" s="306">
        <v>103</v>
      </c>
      <c r="CZ103" s="306">
        <f t="shared" si="96"/>
        <v>93</v>
      </c>
      <c r="DA103" s="306">
        <v>10</v>
      </c>
      <c r="DB103" s="306">
        <v>63</v>
      </c>
      <c r="DC103" s="306">
        <v>52</v>
      </c>
      <c r="DD103" s="306">
        <v>50</v>
      </c>
      <c r="DE103" s="306">
        <v>52</v>
      </c>
      <c r="DF103" s="306">
        <v>53</v>
      </c>
      <c r="DG103" s="306">
        <v>49</v>
      </c>
      <c r="DH103" s="306">
        <v>53</v>
      </c>
      <c r="DI103" s="306">
        <v>6</v>
      </c>
      <c r="DJ103" s="306">
        <v>5</v>
      </c>
      <c r="DK103" s="306">
        <v>4</v>
      </c>
      <c r="DL103" s="306">
        <v>5</v>
      </c>
      <c r="DM103" s="306">
        <v>5</v>
      </c>
      <c r="DN103" s="306">
        <v>4</v>
      </c>
      <c r="DO103" s="306">
        <v>5</v>
      </c>
      <c r="DP103" s="306">
        <v>103</v>
      </c>
      <c r="DQ103" s="306">
        <v>103</v>
      </c>
    </row>
    <row r="104" spans="1:121" x14ac:dyDescent="0.2">
      <c r="A104" s="12" t="s">
        <v>142</v>
      </c>
      <c r="B104" s="169">
        <v>98</v>
      </c>
      <c r="C104" s="12" t="s">
        <v>177</v>
      </c>
      <c r="D104" s="13">
        <v>1969</v>
      </c>
      <c r="E104" s="11"/>
      <c r="F104" s="169" t="s">
        <v>20</v>
      </c>
      <c r="G104" s="35">
        <v>1</v>
      </c>
      <c r="H104" s="45">
        <v>5</v>
      </c>
      <c r="I104" s="1" t="s">
        <v>22</v>
      </c>
      <c r="J104" s="122">
        <v>12262</v>
      </c>
      <c r="K104" s="122">
        <v>911</v>
      </c>
      <c r="L104" s="122">
        <v>1060</v>
      </c>
      <c r="M104" s="122"/>
      <c r="N104" s="122">
        <v>79</v>
      </c>
      <c r="O104" s="122">
        <v>158</v>
      </c>
      <c r="P104" s="122">
        <v>79</v>
      </c>
      <c r="Q104" s="122">
        <v>144</v>
      </c>
      <c r="R104" s="179">
        <v>3502.36</v>
      </c>
      <c r="S104" s="121">
        <v>2417.11</v>
      </c>
      <c r="T104" s="122">
        <f t="shared" si="98"/>
        <v>68</v>
      </c>
      <c r="U104" s="180">
        <f t="shared" si="99"/>
        <v>3049.1600000000003</v>
      </c>
      <c r="V104" s="180">
        <f t="shared" si="100"/>
        <v>2118</v>
      </c>
      <c r="W104" s="122">
        <v>11</v>
      </c>
      <c r="X104" s="180">
        <v>453.2</v>
      </c>
      <c r="Y104" s="180">
        <v>299.11</v>
      </c>
      <c r="Z104" s="122"/>
      <c r="AA104" s="180"/>
      <c r="AB104" s="180"/>
      <c r="AC104" s="180">
        <f t="shared" si="101"/>
        <v>43.8</v>
      </c>
      <c r="AD104" s="179">
        <f t="shared" si="102"/>
        <v>0</v>
      </c>
      <c r="AE104" s="271"/>
      <c r="AF104" s="179"/>
      <c r="AG104" s="180">
        <v>43.8</v>
      </c>
      <c r="AH104" s="180"/>
      <c r="AI104" s="180">
        <f t="shared" si="103"/>
        <v>3546.1600000000003</v>
      </c>
      <c r="AJ104" s="122"/>
      <c r="AK104" s="122"/>
      <c r="AL104" s="122">
        <v>4</v>
      </c>
      <c r="AM104" s="122"/>
      <c r="AN104" s="122">
        <v>1</v>
      </c>
      <c r="AO104" s="122">
        <v>1</v>
      </c>
      <c r="AP104" s="122">
        <v>2357</v>
      </c>
      <c r="AQ104" s="122"/>
      <c r="AR104" s="122">
        <f>222+111+229</f>
        <v>562</v>
      </c>
      <c r="AS104" s="122">
        <v>165</v>
      </c>
      <c r="AT104" s="122">
        <v>51</v>
      </c>
      <c r="AU104" s="122">
        <f t="shared" si="90"/>
        <v>2923</v>
      </c>
      <c r="AV104" s="122"/>
      <c r="AW104" s="122">
        <v>2923</v>
      </c>
      <c r="AX104" s="122">
        <v>1850</v>
      </c>
      <c r="AY104" s="122">
        <v>135</v>
      </c>
      <c r="AZ104" s="122">
        <v>887</v>
      </c>
      <c r="BA104" s="122">
        <v>887</v>
      </c>
      <c r="BB104" s="122">
        <v>20</v>
      </c>
      <c r="BC104" s="122">
        <v>13</v>
      </c>
      <c r="BD104" s="122">
        <v>240</v>
      </c>
      <c r="BE104" s="122">
        <v>80</v>
      </c>
      <c r="BF104" s="122">
        <v>1</v>
      </c>
      <c r="BG104" s="122">
        <v>15032</v>
      </c>
      <c r="BH104" s="122">
        <v>292</v>
      </c>
      <c r="BI104" s="122"/>
      <c r="BJ104" s="115" t="str">
        <f t="shared" si="104"/>
        <v>0</v>
      </c>
      <c r="BK104" s="115" t="str">
        <f t="shared" si="105"/>
        <v>0</v>
      </c>
      <c r="BL104" s="115" t="str">
        <f t="shared" si="106"/>
        <v>0</v>
      </c>
      <c r="BM104" s="115">
        <f t="shared" si="107"/>
        <v>1</v>
      </c>
      <c r="BN104" s="115">
        <f t="shared" si="108"/>
        <v>3502.36</v>
      </c>
      <c r="BO104" s="115">
        <f t="shared" si="109"/>
        <v>2417.11</v>
      </c>
      <c r="BP104" s="115" t="str">
        <f t="shared" si="110"/>
        <v>0</v>
      </c>
      <c r="BQ104" s="115" t="str">
        <f t="shared" si="111"/>
        <v>0</v>
      </c>
      <c r="BR104" s="115" t="str">
        <f t="shared" si="112"/>
        <v>0</v>
      </c>
      <c r="BS104" s="115"/>
      <c r="BT104" s="115"/>
      <c r="BU104" s="122">
        <v>887</v>
      </c>
      <c r="BV104" s="115">
        <v>170</v>
      </c>
      <c r="BW104" s="115"/>
      <c r="BX104" s="115"/>
      <c r="BY104" s="275">
        <v>1161.76</v>
      </c>
      <c r="BZ104" s="253">
        <v>274.45999999999998</v>
      </c>
      <c r="CA104" s="157">
        <v>2423</v>
      </c>
      <c r="CB104" s="275">
        <f t="shared" si="113"/>
        <v>1512</v>
      </c>
      <c r="CC104" s="209" t="str">
        <f t="shared" si="91"/>
        <v>0</v>
      </c>
      <c r="CD104" s="235">
        <f t="shared" si="92"/>
        <v>0</v>
      </c>
      <c r="CE104" s="209">
        <f t="shared" si="97"/>
        <v>1</v>
      </c>
      <c r="CF104" s="235">
        <f t="shared" si="93"/>
        <v>2923</v>
      </c>
      <c r="CG104" s="235">
        <f t="shared" si="94"/>
        <v>1</v>
      </c>
      <c r="CH104" s="235">
        <f t="shared" si="95"/>
        <v>2923</v>
      </c>
      <c r="CI104" s="14">
        <v>51</v>
      </c>
      <c r="CJ104" s="284" t="str">
        <f t="shared" si="114"/>
        <v>0</v>
      </c>
      <c r="CK104" s="284" t="str">
        <f t="shared" si="115"/>
        <v>0</v>
      </c>
      <c r="CL104" s="243">
        <f t="shared" si="116"/>
        <v>12.939846275083086</v>
      </c>
      <c r="CM104" s="216" t="str">
        <f t="shared" si="117"/>
        <v>0</v>
      </c>
      <c r="CN104" s="216" t="str">
        <f t="shared" si="118"/>
        <v>0</v>
      </c>
      <c r="CO104" s="243">
        <f t="shared" si="119"/>
        <v>12.780021206036951</v>
      </c>
      <c r="CP104" s="305">
        <v>1</v>
      </c>
      <c r="CQ104" s="305">
        <v>0</v>
      </c>
      <c r="CR104" s="305">
        <v>0</v>
      </c>
      <c r="CS104" s="305">
        <v>0</v>
      </c>
      <c r="CT104" s="305">
        <v>1</v>
      </c>
      <c r="CU104" s="305">
        <v>0</v>
      </c>
      <c r="CV104" s="305">
        <v>0</v>
      </c>
      <c r="CW104" s="305">
        <v>0</v>
      </c>
      <c r="CX104" s="306">
        <v>0</v>
      </c>
      <c r="CY104" s="306">
        <v>79</v>
      </c>
      <c r="CZ104" s="306">
        <f t="shared" si="96"/>
        <v>65</v>
      </c>
      <c r="DA104" s="306">
        <v>14</v>
      </c>
      <c r="DB104" s="306">
        <v>49</v>
      </c>
      <c r="DC104" s="306">
        <v>36</v>
      </c>
      <c r="DD104" s="306">
        <v>43</v>
      </c>
      <c r="DE104" s="306">
        <v>36</v>
      </c>
      <c r="DF104" s="306">
        <v>36</v>
      </c>
      <c r="DG104" s="306">
        <v>43</v>
      </c>
      <c r="DH104" s="306">
        <v>36</v>
      </c>
      <c r="DI104" s="306">
        <v>4</v>
      </c>
      <c r="DJ104" s="306">
        <v>4</v>
      </c>
      <c r="DK104" s="306">
        <v>7</v>
      </c>
      <c r="DL104" s="306">
        <v>4</v>
      </c>
      <c r="DM104" s="306">
        <v>4</v>
      </c>
      <c r="DN104" s="306">
        <v>7</v>
      </c>
      <c r="DO104" s="306">
        <v>4</v>
      </c>
      <c r="DP104" s="306">
        <v>79</v>
      </c>
      <c r="DQ104" s="306">
        <v>79</v>
      </c>
    </row>
    <row r="105" spans="1:121" x14ac:dyDescent="0.2">
      <c r="A105" s="27" t="s">
        <v>142</v>
      </c>
      <c r="B105" s="169">
        <v>99</v>
      </c>
      <c r="C105" s="12" t="s">
        <v>178</v>
      </c>
      <c r="D105" s="13">
        <v>1971</v>
      </c>
      <c r="E105" s="11"/>
      <c r="F105" s="169" t="s">
        <v>20</v>
      </c>
      <c r="G105" s="35">
        <v>1</v>
      </c>
      <c r="H105" s="45">
        <v>5</v>
      </c>
      <c r="I105" s="1" t="s">
        <v>22</v>
      </c>
      <c r="J105" s="122">
        <v>8915</v>
      </c>
      <c r="K105" s="122">
        <v>670</v>
      </c>
      <c r="L105" s="122">
        <v>782</v>
      </c>
      <c r="M105" s="122"/>
      <c r="N105" s="122">
        <v>59</v>
      </c>
      <c r="O105" s="122">
        <v>113</v>
      </c>
      <c r="P105" s="122">
        <v>59</v>
      </c>
      <c r="Q105" s="122">
        <v>98</v>
      </c>
      <c r="R105" s="179">
        <v>2540.4499999999998</v>
      </c>
      <c r="S105" s="121">
        <v>1701.06</v>
      </c>
      <c r="T105" s="122">
        <f t="shared" si="98"/>
        <v>49</v>
      </c>
      <c r="U105" s="180">
        <f t="shared" si="99"/>
        <v>2100.4499999999998</v>
      </c>
      <c r="V105" s="180">
        <f t="shared" si="100"/>
        <v>1406.26</v>
      </c>
      <c r="W105" s="122">
        <v>10</v>
      </c>
      <c r="X105" s="180">
        <v>440</v>
      </c>
      <c r="Y105" s="180">
        <v>294.8</v>
      </c>
      <c r="Z105" s="122"/>
      <c r="AA105" s="180"/>
      <c r="AB105" s="180"/>
      <c r="AC105" s="180">
        <f t="shared" si="101"/>
        <v>0</v>
      </c>
      <c r="AD105" s="179">
        <f t="shared" si="102"/>
        <v>0</v>
      </c>
      <c r="AE105" s="271"/>
      <c r="AF105" s="179"/>
      <c r="AG105" s="180"/>
      <c r="AH105" s="180"/>
      <c r="AI105" s="180">
        <f t="shared" si="103"/>
        <v>2540.4499999999998</v>
      </c>
      <c r="AJ105" s="122"/>
      <c r="AK105" s="122"/>
      <c r="AL105" s="122">
        <v>3</v>
      </c>
      <c r="AM105" s="122"/>
      <c r="AN105" s="122"/>
      <c r="AO105" s="122">
        <v>1</v>
      </c>
      <c r="AP105" s="122">
        <v>1802</v>
      </c>
      <c r="AQ105" s="122"/>
      <c r="AR105" s="122">
        <f>72+36</f>
        <v>108</v>
      </c>
      <c r="AS105" s="122">
        <v>354</v>
      </c>
      <c r="AT105" s="122">
        <v>38</v>
      </c>
      <c r="AU105" s="122">
        <f t="shared" si="90"/>
        <v>2193</v>
      </c>
      <c r="AV105" s="122"/>
      <c r="AW105" s="122">
        <v>2193</v>
      </c>
      <c r="AX105" s="122">
        <v>1425</v>
      </c>
      <c r="AY105" s="122">
        <v>104</v>
      </c>
      <c r="AZ105" s="122">
        <v>651</v>
      </c>
      <c r="BA105" s="122">
        <v>651</v>
      </c>
      <c r="BB105" s="122">
        <v>15</v>
      </c>
      <c r="BC105" s="122">
        <v>10</v>
      </c>
      <c r="BD105" s="122">
        <v>168</v>
      </c>
      <c r="BE105" s="122">
        <v>59</v>
      </c>
      <c r="BF105" s="122">
        <v>1</v>
      </c>
      <c r="BG105" s="122">
        <v>11274</v>
      </c>
      <c r="BH105" s="122">
        <v>219</v>
      </c>
      <c r="BI105" s="122"/>
      <c r="BJ105" s="115" t="str">
        <f t="shared" si="104"/>
        <v>0</v>
      </c>
      <c r="BK105" s="115" t="str">
        <f t="shared" si="105"/>
        <v>0</v>
      </c>
      <c r="BL105" s="115" t="str">
        <f t="shared" si="106"/>
        <v>0</v>
      </c>
      <c r="BM105" s="115">
        <f t="shared" si="107"/>
        <v>1</v>
      </c>
      <c r="BN105" s="115">
        <f t="shared" si="108"/>
        <v>2540.4499999999998</v>
      </c>
      <c r="BO105" s="115">
        <f t="shared" si="109"/>
        <v>1701.06</v>
      </c>
      <c r="BP105" s="115" t="str">
        <f t="shared" si="110"/>
        <v>0</v>
      </c>
      <c r="BQ105" s="115" t="str">
        <f t="shared" si="111"/>
        <v>0</v>
      </c>
      <c r="BR105" s="115" t="str">
        <f t="shared" si="112"/>
        <v>0</v>
      </c>
      <c r="BS105" s="115"/>
      <c r="BT105" s="115"/>
      <c r="BU105" s="122">
        <v>651</v>
      </c>
      <c r="BV105" s="115">
        <v>170</v>
      </c>
      <c r="BW105" s="115"/>
      <c r="BX105" s="115"/>
      <c r="BY105" s="275">
        <v>855.91</v>
      </c>
      <c r="BZ105" s="253">
        <v>205.11</v>
      </c>
      <c r="CA105" s="157">
        <v>1978</v>
      </c>
      <c r="CB105" s="275">
        <f t="shared" si="113"/>
        <v>1308</v>
      </c>
      <c r="CC105" s="209" t="str">
        <f t="shared" si="91"/>
        <v>0</v>
      </c>
      <c r="CD105" s="235">
        <f t="shared" si="92"/>
        <v>0</v>
      </c>
      <c r="CE105" s="209">
        <f t="shared" si="97"/>
        <v>1</v>
      </c>
      <c r="CF105" s="235">
        <f t="shared" si="93"/>
        <v>2193</v>
      </c>
      <c r="CG105" s="235">
        <f t="shared" si="94"/>
        <v>1</v>
      </c>
      <c r="CH105" s="235">
        <f t="shared" si="95"/>
        <v>2193</v>
      </c>
      <c r="CI105" s="14">
        <v>52</v>
      </c>
      <c r="CJ105" s="284" t="str">
        <f t="shared" si="114"/>
        <v>0</v>
      </c>
      <c r="CK105" s="284" t="str">
        <f t="shared" si="115"/>
        <v>0</v>
      </c>
      <c r="CL105" s="243">
        <f t="shared" si="116"/>
        <v>17.319766183156528</v>
      </c>
      <c r="CM105" s="216" t="str">
        <f t="shared" si="117"/>
        <v>0</v>
      </c>
      <c r="CN105" s="216" t="str">
        <f t="shared" si="118"/>
        <v>0</v>
      </c>
      <c r="CO105" s="243">
        <f t="shared" si="119"/>
        <v>17.319766183156528</v>
      </c>
      <c r="CP105" s="305">
        <v>1</v>
      </c>
      <c r="CQ105" s="305">
        <v>0</v>
      </c>
      <c r="CR105" s="305">
        <v>0</v>
      </c>
      <c r="CS105" s="305">
        <v>0</v>
      </c>
      <c r="CT105" s="305">
        <v>1</v>
      </c>
      <c r="CU105" s="305">
        <v>0</v>
      </c>
      <c r="CV105" s="305">
        <v>0</v>
      </c>
      <c r="CW105" s="305">
        <v>0</v>
      </c>
      <c r="CX105" s="306">
        <v>0</v>
      </c>
      <c r="CY105" s="306">
        <v>59</v>
      </c>
      <c r="CZ105" s="306">
        <f t="shared" si="96"/>
        <v>50</v>
      </c>
      <c r="DA105" s="306">
        <v>9</v>
      </c>
      <c r="DB105" s="306">
        <v>43</v>
      </c>
      <c r="DC105" s="306">
        <v>33</v>
      </c>
      <c r="DD105" s="306">
        <v>25</v>
      </c>
      <c r="DE105" s="306">
        <v>34</v>
      </c>
      <c r="DF105" s="306">
        <v>32</v>
      </c>
      <c r="DG105" s="306">
        <v>27</v>
      </c>
      <c r="DH105" s="306">
        <v>32</v>
      </c>
      <c r="DI105" s="306">
        <v>3</v>
      </c>
      <c r="DJ105" s="306">
        <v>1</v>
      </c>
      <c r="DK105" s="306">
        <v>3</v>
      </c>
      <c r="DL105" s="306">
        <v>1</v>
      </c>
      <c r="DM105" s="306">
        <v>1</v>
      </c>
      <c r="DN105" s="306">
        <v>3</v>
      </c>
      <c r="DO105" s="306">
        <v>1</v>
      </c>
      <c r="DP105" s="306">
        <v>59</v>
      </c>
      <c r="DQ105" s="306">
        <v>59</v>
      </c>
    </row>
    <row r="106" spans="1:121" x14ac:dyDescent="0.2">
      <c r="A106" s="12" t="s">
        <v>142</v>
      </c>
      <c r="B106" s="169">
        <v>100</v>
      </c>
      <c r="C106" s="12" t="s">
        <v>179</v>
      </c>
      <c r="D106" s="13">
        <v>1969</v>
      </c>
      <c r="E106" s="11"/>
      <c r="F106" s="169" t="s">
        <v>20</v>
      </c>
      <c r="G106" s="35">
        <v>1</v>
      </c>
      <c r="H106" s="45">
        <v>5</v>
      </c>
      <c r="I106" s="1" t="s">
        <v>22</v>
      </c>
      <c r="J106" s="122">
        <v>12247</v>
      </c>
      <c r="K106" s="122">
        <v>917</v>
      </c>
      <c r="L106" s="122">
        <v>1062</v>
      </c>
      <c r="M106" s="122"/>
      <c r="N106" s="122">
        <v>80</v>
      </c>
      <c r="O106" s="122">
        <v>160</v>
      </c>
      <c r="P106" s="122">
        <v>80</v>
      </c>
      <c r="Q106" s="122">
        <v>125</v>
      </c>
      <c r="R106" s="179">
        <f>3540.66-0.01-0.04</f>
        <v>3540.6099999999997</v>
      </c>
      <c r="S106" s="121">
        <v>2439.5500000000002</v>
      </c>
      <c r="T106" s="122">
        <f t="shared" si="98"/>
        <v>72</v>
      </c>
      <c r="U106" s="180">
        <f t="shared" si="99"/>
        <v>3196.6499999999996</v>
      </c>
      <c r="V106" s="180">
        <f t="shared" si="100"/>
        <v>2202.2200000000003</v>
      </c>
      <c r="W106" s="122">
        <v>8</v>
      </c>
      <c r="X106" s="180">
        <v>343.96</v>
      </c>
      <c r="Y106" s="180">
        <v>237.33</v>
      </c>
      <c r="Z106" s="122"/>
      <c r="AA106" s="180"/>
      <c r="AB106" s="180"/>
      <c r="AC106" s="180">
        <f t="shared" si="101"/>
        <v>0</v>
      </c>
      <c r="AD106" s="179">
        <f t="shared" si="102"/>
        <v>0</v>
      </c>
      <c r="AE106" s="271"/>
      <c r="AF106" s="179"/>
      <c r="AG106" s="180"/>
      <c r="AH106" s="180"/>
      <c r="AI106" s="180">
        <f t="shared" si="103"/>
        <v>3540.6099999999997</v>
      </c>
      <c r="AJ106" s="122"/>
      <c r="AK106" s="122"/>
      <c r="AL106" s="122">
        <v>4</v>
      </c>
      <c r="AM106" s="122"/>
      <c r="AN106" s="122">
        <v>1</v>
      </c>
      <c r="AO106" s="122">
        <v>1</v>
      </c>
      <c r="AP106" s="122">
        <v>2350</v>
      </c>
      <c r="AQ106" s="122"/>
      <c r="AR106" s="122">
        <f>70+35+148</f>
        <v>253</v>
      </c>
      <c r="AS106" s="122">
        <v>256</v>
      </c>
      <c r="AT106" s="122">
        <v>51</v>
      </c>
      <c r="AU106" s="122">
        <f t="shared" si="90"/>
        <v>2937</v>
      </c>
      <c r="AV106" s="122"/>
      <c r="AW106" s="122">
        <v>2937</v>
      </c>
      <c r="AX106" s="122">
        <v>1850</v>
      </c>
      <c r="AY106" s="122">
        <v>135</v>
      </c>
      <c r="AZ106" s="122">
        <v>889</v>
      </c>
      <c r="BA106" s="122">
        <v>889</v>
      </c>
      <c r="BB106" s="122">
        <v>20</v>
      </c>
      <c r="BC106" s="122">
        <v>13</v>
      </c>
      <c r="BD106" s="122">
        <v>240</v>
      </c>
      <c r="BE106" s="122">
        <v>80</v>
      </c>
      <c r="BF106" s="122">
        <v>1</v>
      </c>
      <c r="BG106" s="122">
        <v>15032</v>
      </c>
      <c r="BH106" s="122">
        <v>292</v>
      </c>
      <c r="BI106" s="122"/>
      <c r="BJ106" s="115" t="str">
        <f t="shared" si="104"/>
        <v>0</v>
      </c>
      <c r="BK106" s="115" t="str">
        <f t="shared" si="105"/>
        <v>0</v>
      </c>
      <c r="BL106" s="115" t="str">
        <f t="shared" si="106"/>
        <v>0</v>
      </c>
      <c r="BM106" s="115">
        <f t="shared" si="107"/>
        <v>1</v>
      </c>
      <c r="BN106" s="115">
        <f t="shared" si="108"/>
        <v>3540.6099999999997</v>
      </c>
      <c r="BO106" s="115">
        <f t="shared" si="109"/>
        <v>2439.5500000000002</v>
      </c>
      <c r="BP106" s="115" t="str">
        <f t="shared" si="110"/>
        <v>0</v>
      </c>
      <c r="BQ106" s="115" t="str">
        <f t="shared" si="111"/>
        <v>0</v>
      </c>
      <c r="BR106" s="115" t="str">
        <f t="shared" si="112"/>
        <v>0</v>
      </c>
      <c r="BS106" s="115"/>
      <c r="BT106" s="115">
        <v>2</v>
      </c>
      <c r="BU106" s="122"/>
      <c r="BV106" s="115"/>
      <c r="BW106" s="115"/>
      <c r="BX106" s="115"/>
      <c r="BY106" s="275">
        <v>1162.42</v>
      </c>
      <c r="BZ106" s="253">
        <v>273.02</v>
      </c>
      <c r="CA106" s="157">
        <v>2449</v>
      </c>
      <c r="CB106" s="275">
        <f t="shared" si="113"/>
        <v>1532</v>
      </c>
      <c r="CC106" s="209" t="str">
        <f t="shared" si="91"/>
        <v>0</v>
      </c>
      <c r="CD106" s="235">
        <f t="shared" si="92"/>
        <v>0</v>
      </c>
      <c r="CE106" s="209">
        <f t="shared" si="97"/>
        <v>1</v>
      </c>
      <c r="CF106" s="235">
        <f t="shared" si="93"/>
        <v>2937</v>
      </c>
      <c r="CG106" s="235">
        <f t="shared" si="94"/>
        <v>1</v>
      </c>
      <c r="CH106" s="235">
        <f t="shared" si="95"/>
        <v>2937</v>
      </c>
      <c r="CI106" s="14">
        <v>52</v>
      </c>
      <c r="CJ106" s="284" t="str">
        <f t="shared" si="114"/>
        <v>0</v>
      </c>
      <c r="CK106" s="284" t="str">
        <f t="shared" si="115"/>
        <v>0</v>
      </c>
      <c r="CL106" s="243">
        <f t="shared" si="116"/>
        <v>9.7147101770598852</v>
      </c>
      <c r="CM106" s="216" t="str">
        <f t="shared" si="117"/>
        <v>0</v>
      </c>
      <c r="CN106" s="216" t="str">
        <f t="shared" si="118"/>
        <v>0</v>
      </c>
      <c r="CO106" s="243">
        <f t="shared" si="119"/>
        <v>9.7147101770598852</v>
      </c>
      <c r="CP106" s="305">
        <v>1</v>
      </c>
      <c r="CQ106" s="305">
        <v>0</v>
      </c>
      <c r="CR106" s="305">
        <v>0</v>
      </c>
      <c r="CS106" s="305">
        <v>0</v>
      </c>
      <c r="CT106" s="305">
        <v>1</v>
      </c>
      <c r="CU106" s="305">
        <v>0</v>
      </c>
      <c r="CV106" s="305">
        <v>0</v>
      </c>
      <c r="CW106" s="305">
        <v>0</v>
      </c>
      <c r="CX106" s="306">
        <v>0</v>
      </c>
      <c r="CY106" s="306">
        <v>80</v>
      </c>
      <c r="CZ106" s="306">
        <f t="shared" si="96"/>
        <v>75</v>
      </c>
      <c r="DA106" s="306">
        <v>5</v>
      </c>
      <c r="DB106" s="306">
        <v>44</v>
      </c>
      <c r="DC106" s="306">
        <v>30</v>
      </c>
      <c r="DD106" s="306">
        <v>50</v>
      </c>
      <c r="DE106" s="306">
        <v>30</v>
      </c>
      <c r="DF106" s="306">
        <v>31</v>
      </c>
      <c r="DG106" s="306">
        <v>49</v>
      </c>
      <c r="DH106" s="306">
        <v>31</v>
      </c>
      <c r="DI106" s="306">
        <v>2</v>
      </c>
      <c r="DJ106" s="306">
        <v>0</v>
      </c>
      <c r="DK106" s="306">
        <v>5</v>
      </c>
      <c r="DL106" s="306">
        <v>0</v>
      </c>
      <c r="DM106" s="306">
        <v>0</v>
      </c>
      <c r="DN106" s="306">
        <v>5</v>
      </c>
      <c r="DO106" s="306">
        <v>0</v>
      </c>
      <c r="DP106" s="306">
        <v>80</v>
      </c>
      <c r="DQ106" s="306">
        <v>80</v>
      </c>
    </row>
    <row r="107" spans="1:121" x14ac:dyDescent="0.2">
      <c r="A107" s="12" t="s">
        <v>142</v>
      </c>
      <c r="B107" s="169">
        <v>101</v>
      </c>
      <c r="C107" s="12" t="s">
        <v>180</v>
      </c>
      <c r="D107" s="13">
        <v>1969</v>
      </c>
      <c r="E107" s="11"/>
      <c r="F107" s="169" t="s">
        <v>20</v>
      </c>
      <c r="G107" s="35">
        <v>1</v>
      </c>
      <c r="H107" s="45">
        <v>5</v>
      </c>
      <c r="I107" s="1" t="s">
        <v>22</v>
      </c>
      <c r="J107" s="122">
        <v>5813</v>
      </c>
      <c r="K107" s="122">
        <v>435</v>
      </c>
      <c r="L107" s="122">
        <v>510</v>
      </c>
      <c r="M107" s="122"/>
      <c r="N107" s="122">
        <v>40</v>
      </c>
      <c r="O107" s="122">
        <v>70</v>
      </c>
      <c r="P107" s="122">
        <v>40</v>
      </c>
      <c r="Q107" s="122">
        <v>73</v>
      </c>
      <c r="R107" s="179">
        <v>1632.49</v>
      </c>
      <c r="S107" s="121">
        <v>1076</v>
      </c>
      <c r="T107" s="122">
        <f t="shared" si="98"/>
        <v>37</v>
      </c>
      <c r="U107" s="180">
        <f t="shared" si="99"/>
        <v>1502.88</v>
      </c>
      <c r="V107" s="180">
        <f t="shared" si="100"/>
        <v>989.26</v>
      </c>
      <c r="W107" s="122">
        <v>3</v>
      </c>
      <c r="X107" s="180">
        <v>129.61000000000001</v>
      </c>
      <c r="Y107" s="180">
        <v>86.74</v>
      </c>
      <c r="Z107" s="122"/>
      <c r="AA107" s="180"/>
      <c r="AB107" s="180"/>
      <c r="AC107" s="180">
        <f t="shared" si="101"/>
        <v>0</v>
      </c>
      <c r="AD107" s="179">
        <f t="shared" si="102"/>
        <v>0</v>
      </c>
      <c r="AE107" s="271"/>
      <c r="AF107" s="179"/>
      <c r="AG107" s="180"/>
      <c r="AH107" s="180"/>
      <c r="AI107" s="180">
        <f t="shared" si="103"/>
        <v>1632.49</v>
      </c>
      <c r="AJ107" s="122"/>
      <c r="AK107" s="122"/>
      <c r="AL107" s="122">
        <v>2</v>
      </c>
      <c r="AM107" s="122"/>
      <c r="AN107" s="122"/>
      <c r="AO107" s="122">
        <v>1</v>
      </c>
      <c r="AP107" s="122">
        <v>1289</v>
      </c>
      <c r="AQ107" s="122"/>
      <c r="AR107" s="122">
        <f>168+84+88</f>
        <v>340</v>
      </c>
      <c r="AS107" s="122">
        <v>108</v>
      </c>
      <c r="AT107" s="122">
        <v>26</v>
      </c>
      <c r="AU107" s="122">
        <f t="shared" si="90"/>
        <v>1462</v>
      </c>
      <c r="AV107" s="122"/>
      <c r="AW107" s="122">
        <v>1462</v>
      </c>
      <c r="AX107" s="122">
        <v>1178</v>
      </c>
      <c r="AY107" s="122">
        <v>65</v>
      </c>
      <c r="AZ107" s="122">
        <v>420</v>
      </c>
      <c r="BA107" s="122">
        <v>420</v>
      </c>
      <c r="BB107" s="122">
        <v>10</v>
      </c>
      <c r="BC107" s="122">
        <v>7</v>
      </c>
      <c r="BD107" s="122">
        <v>128</v>
      </c>
      <c r="BE107" s="122">
        <v>40</v>
      </c>
      <c r="BF107" s="122">
        <v>1</v>
      </c>
      <c r="BG107" s="122">
        <v>7516</v>
      </c>
      <c r="BH107" s="122">
        <v>146</v>
      </c>
      <c r="BI107" s="122"/>
      <c r="BJ107" s="115" t="str">
        <f t="shared" si="104"/>
        <v>0</v>
      </c>
      <c r="BK107" s="115" t="str">
        <f t="shared" si="105"/>
        <v>0</v>
      </c>
      <c r="BL107" s="115" t="str">
        <f t="shared" si="106"/>
        <v>0</v>
      </c>
      <c r="BM107" s="115">
        <f t="shared" si="107"/>
        <v>1</v>
      </c>
      <c r="BN107" s="115">
        <f t="shared" si="108"/>
        <v>1632.49</v>
      </c>
      <c r="BO107" s="115">
        <f t="shared" si="109"/>
        <v>1076</v>
      </c>
      <c r="BP107" s="115" t="str">
        <f t="shared" si="110"/>
        <v>0</v>
      </c>
      <c r="BQ107" s="115" t="str">
        <f t="shared" si="111"/>
        <v>0</v>
      </c>
      <c r="BR107" s="115" t="str">
        <f t="shared" si="112"/>
        <v>0</v>
      </c>
      <c r="BS107" s="115"/>
      <c r="BT107" s="115">
        <v>1</v>
      </c>
      <c r="BU107" s="122"/>
      <c r="BV107" s="115"/>
      <c r="BW107" s="115"/>
      <c r="BX107" s="115"/>
      <c r="BY107" s="275">
        <v>556.34</v>
      </c>
      <c r="BZ107" s="253">
        <v>136.63999999999999</v>
      </c>
      <c r="CA107" s="157">
        <v>1529</v>
      </c>
      <c r="CB107" s="275">
        <f t="shared" si="113"/>
        <v>1094</v>
      </c>
      <c r="CC107" s="209" t="str">
        <f t="shared" si="91"/>
        <v>0</v>
      </c>
      <c r="CD107" s="235">
        <f t="shared" si="92"/>
        <v>0</v>
      </c>
      <c r="CE107" s="209">
        <f t="shared" si="97"/>
        <v>1</v>
      </c>
      <c r="CF107" s="235">
        <f t="shared" si="93"/>
        <v>1462</v>
      </c>
      <c r="CG107" s="235">
        <f t="shared" si="94"/>
        <v>1</v>
      </c>
      <c r="CH107" s="235">
        <f t="shared" si="95"/>
        <v>1462</v>
      </c>
      <c r="CI107" s="14">
        <v>51</v>
      </c>
      <c r="CJ107" s="284" t="str">
        <f t="shared" si="114"/>
        <v>0</v>
      </c>
      <c r="CK107" s="284" t="str">
        <f t="shared" si="115"/>
        <v>0</v>
      </c>
      <c r="CL107" s="243">
        <f t="shared" si="116"/>
        <v>7.9394054481191318</v>
      </c>
      <c r="CM107" s="216" t="str">
        <f t="shared" si="117"/>
        <v>0</v>
      </c>
      <c r="CN107" s="216" t="str">
        <f t="shared" si="118"/>
        <v>0</v>
      </c>
      <c r="CO107" s="243">
        <f t="shared" si="119"/>
        <v>7.9394054481191318</v>
      </c>
      <c r="CP107" s="305">
        <v>1</v>
      </c>
      <c r="CQ107" s="305">
        <v>0</v>
      </c>
      <c r="CR107" s="305">
        <v>0</v>
      </c>
      <c r="CS107" s="305">
        <v>0</v>
      </c>
      <c r="CT107" s="305">
        <v>1</v>
      </c>
      <c r="CU107" s="305">
        <v>0</v>
      </c>
      <c r="CV107" s="305">
        <v>0</v>
      </c>
      <c r="CW107" s="305">
        <v>0</v>
      </c>
      <c r="CX107" s="306">
        <v>0</v>
      </c>
      <c r="CY107" s="306">
        <v>40</v>
      </c>
      <c r="CZ107" s="306">
        <f t="shared" si="96"/>
        <v>36</v>
      </c>
      <c r="DA107" s="306">
        <v>4</v>
      </c>
      <c r="DB107" s="306">
        <v>25</v>
      </c>
      <c r="DC107" s="306">
        <v>17</v>
      </c>
      <c r="DD107" s="306">
        <v>23</v>
      </c>
      <c r="DE107" s="306">
        <v>17</v>
      </c>
      <c r="DF107" s="306">
        <v>18</v>
      </c>
      <c r="DG107" s="306">
        <v>22</v>
      </c>
      <c r="DH107" s="306">
        <v>18</v>
      </c>
      <c r="DI107" s="306">
        <v>1</v>
      </c>
      <c r="DJ107" s="306">
        <v>0</v>
      </c>
      <c r="DK107" s="306">
        <v>4</v>
      </c>
      <c r="DL107" s="306">
        <v>0</v>
      </c>
      <c r="DM107" s="306">
        <v>0</v>
      </c>
      <c r="DN107" s="306">
        <v>4</v>
      </c>
      <c r="DO107" s="306">
        <v>0</v>
      </c>
      <c r="DP107" s="306">
        <v>40</v>
      </c>
      <c r="DQ107" s="306">
        <v>40</v>
      </c>
    </row>
    <row r="108" spans="1:121" x14ac:dyDescent="0.2">
      <c r="A108" s="12" t="s">
        <v>142</v>
      </c>
      <c r="B108" s="169">
        <v>102</v>
      </c>
      <c r="C108" s="12" t="s">
        <v>86</v>
      </c>
      <c r="D108" s="13">
        <v>1961</v>
      </c>
      <c r="E108" s="11"/>
      <c r="F108" s="169" t="s">
        <v>13</v>
      </c>
      <c r="G108" s="35">
        <v>1</v>
      </c>
      <c r="H108" s="45">
        <v>5</v>
      </c>
      <c r="I108" s="1" t="s">
        <v>19</v>
      </c>
      <c r="J108" s="122">
        <v>33805</v>
      </c>
      <c r="K108" s="122">
        <v>2367</v>
      </c>
      <c r="L108" s="122">
        <f>834+1128+639</f>
        <v>2601</v>
      </c>
      <c r="M108" s="122"/>
      <c r="N108" s="122">
        <v>133</v>
      </c>
      <c r="O108" s="122">
        <v>264</v>
      </c>
      <c r="P108" s="122">
        <v>134</v>
      </c>
      <c r="Q108" s="122">
        <v>253</v>
      </c>
      <c r="R108" s="179">
        <v>5701.54</v>
      </c>
      <c r="S108" s="121">
        <v>3743.5</v>
      </c>
      <c r="T108" s="122">
        <f t="shared" si="98"/>
        <v>116</v>
      </c>
      <c r="U108" s="180">
        <f t="shared" si="99"/>
        <v>5004.9399999999996</v>
      </c>
      <c r="V108" s="180">
        <f t="shared" si="100"/>
        <v>3290.71</v>
      </c>
      <c r="W108" s="122">
        <v>17</v>
      </c>
      <c r="X108" s="180">
        <v>696.6</v>
      </c>
      <c r="Y108" s="180">
        <v>452.79</v>
      </c>
      <c r="Z108" s="122"/>
      <c r="AA108" s="180"/>
      <c r="AB108" s="180"/>
      <c r="AC108" s="180">
        <f t="shared" si="101"/>
        <v>169.9</v>
      </c>
      <c r="AD108" s="179">
        <f t="shared" si="102"/>
        <v>0</v>
      </c>
      <c r="AE108" s="271"/>
      <c r="AF108" s="179"/>
      <c r="AG108" s="180">
        <v>169.9</v>
      </c>
      <c r="AH108" s="180"/>
      <c r="AI108" s="180">
        <f t="shared" si="103"/>
        <v>5871.44</v>
      </c>
      <c r="AJ108" s="122"/>
      <c r="AK108" s="122"/>
      <c r="AL108" s="122">
        <f>9-1-1</f>
        <v>7</v>
      </c>
      <c r="AM108" s="122"/>
      <c r="AN108" s="122">
        <v>1</v>
      </c>
      <c r="AO108" s="122">
        <v>2</v>
      </c>
      <c r="AP108" s="122">
        <f>1930+2345+1408</f>
        <v>5683</v>
      </c>
      <c r="AQ108" s="122"/>
      <c r="AR108" s="122">
        <f>64+32+64+32+68+34+130+170+138</f>
        <v>732</v>
      </c>
      <c r="AS108" s="122">
        <v>525</v>
      </c>
      <c r="AT108" s="122">
        <v>115</v>
      </c>
      <c r="AU108" s="122">
        <f t="shared" si="90"/>
        <v>6605</v>
      </c>
      <c r="AV108" s="122"/>
      <c r="AW108" s="122">
        <v>6605</v>
      </c>
      <c r="AX108" s="122"/>
      <c r="AY108" s="122">
        <v>545</v>
      </c>
      <c r="AZ108" s="122">
        <v>2074</v>
      </c>
      <c r="BA108" s="122">
        <v>2074</v>
      </c>
      <c r="BB108" s="122">
        <v>45</v>
      </c>
      <c r="BC108" s="122">
        <v>30</v>
      </c>
      <c r="BD108" s="122">
        <v>630</v>
      </c>
      <c r="BE108" s="122">
        <v>173</v>
      </c>
      <c r="BF108" s="122">
        <v>9</v>
      </c>
      <c r="BG108" s="122">
        <v>33579</v>
      </c>
      <c r="BH108" s="122">
        <v>1116</v>
      </c>
      <c r="BI108" s="122"/>
      <c r="BJ108" s="115">
        <f t="shared" si="104"/>
        <v>1</v>
      </c>
      <c r="BK108" s="115">
        <f t="shared" si="105"/>
        <v>5701.54</v>
      </c>
      <c r="BL108" s="115">
        <f t="shared" si="106"/>
        <v>3743.5</v>
      </c>
      <c r="BM108" s="115" t="str">
        <f t="shared" si="107"/>
        <v>0</v>
      </c>
      <c r="BN108" s="115" t="str">
        <f t="shared" si="108"/>
        <v>0</v>
      </c>
      <c r="BO108" s="115" t="str">
        <f t="shared" si="109"/>
        <v>0</v>
      </c>
      <c r="BP108" s="115" t="str">
        <f t="shared" si="110"/>
        <v>0</v>
      </c>
      <c r="BQ108" s="115" t="str">
        <f t="shared" si="111"/>
        <v>0</v>
      </c>
      <c r="BR108" s="115" t="str">
        <f t="shared" si="112"/>
        <v>0</v>
      </c>
      <c r="BS108" s="115">
        <v>1</v>
      </c>
      <c r="BT108" s="115">
        <v>4</v>
      </c>
      <c r="BU108" s="122"/>
      <c r="BV108" s="115"/>
      <c r="BW108" s="115">
        <v>31</v>
      </c>
      <c r="BX108" s="115">
        <f>AP108</f>
        <v>5683</v>
      </c>
      <c r="BY108" s="275">
        <v>2059.31</v>
      </c>
      <c r="BZ108" s="253">
        <v>430.3</v>
      </c>
      <c r="CA108" s="157">
        <v>6745</v>
      </c>
      <c r="CB108" s="275">
        <f t="shared" si="113"/>
        <v>4378</v>
      </c>
      <c r="CC108" s="209" t="str">
        <f t="shared" si="91"/>
        <v>0</v>
      </c>
      <c r="CD108" s="235">
        <f t="shared" si="92"/>
        <v>0</v>
      </c>
      <c r="CE108" s="209">
        <f t="shared" si="97"/>
        <v>1</v>
      </c>
      <c r="CF108" s="235">
        <f t="shared" si="93"/>
        <v>6605</v>
      </c>
      <c r="CG108" s="235">
        <f t="shared" si="94"/>
        <v>1</v>
      </c>
      <c r="CH108" s="235">
        <f t="shared" si="95"/>
        <v>6605</v>
      </c>
      <c r="CI108" s="14">
        <v>45</v>
      </c>
      <c r="CJ108" s="284" t="str">
        <f t="shared" si="114"/>
        <v>0</v>
      </c>
      <c r="CK108" s="284" t="str">
        <f t="shared" si="115"/>
        <v>0</v>
      </c>
      <c r="CL108" s="243">
        <f t="shared" si="116"/>
        <v>12.217751695156046</v>
      </c>
      <c r="CM108" s="216" t="str">
        <f t="shared" si="117"/>
        <v>0</v>
      </c>
      <c r="CN108" s="216" t="str">
        <f t="shared" si="118"/>
        <v>0</v>
      </c>
      <c r="CO108" s="243">
        <f t="shared" si="119"/>
        <v>11.864210483288598</v>
      </c>
      <c r="CP108" s="305">
        <v>1</v>
      </c>
      <c r="CQ108" s="305">
        <v>0</v>
      </c>
      <c r="CR108" s="305">
        <v>0</v>
      </c>
      <c r="CS108" s="305">
        <v>0</v>
      </c>
      <c r="CT108" s="305">
        <v>2</v>
      </c>
      <c r="CU108" s="305">
        <v>0</v>
      </c>
      <c r="CV108" s="305">
        <v>0</v>
      </c>
      <c r="CW108" s="305">
        <v>0</v>
      </c>
      <c r="CX108" s="306">
        <v>0</v>
      </c>
      <c r="CY108" s="306">
        <v>134</v>
      </c>
      <c r="CZ108" s="306">
        <f t="shared" si="96"/>
        <v>118</v>
      </c>
      <c r="DA108" s="306">
        <v>16</v>
      </c>
      <c r="DB108" s="306">
        <v>80</v>
      </c>
      <c r="DC108" s="306">
        <v>63</v>
      </c>
      <c r="DD108" s="306">
        <v>71</v>
      </c>
      <c r="DE108" s="306">
        <v>63</v>
      </c>
      <c r="DF108" s="306">
        <v>67</v>
      </c>
      <c r="DG108" s="306">
        <v>67</v>
      </c>
      <c r="DH108" s="306">
        <v>67</v>
      </c>
      <c r="DI108" s="306">
        <v>6</v>
      </c>
      <c r="DJ108" s="306">
        <v>2</v>
      </c>
      <c r="DK108" s="306">
        <v>12</v>
      </c>
      <c r="DL108" s="306">
        <v>2</v>
      </c>
      <c r="DM108" s="306">
        <v>3</v>
      </c>
      <c r="DN108" s="306">
        <v>11</v>
      </c>
      <c r="DO108" s="306">
        <v>3</v>
      </c>
      <c r="DP108" s="306">
        <v>134</v>
      </c>
      <c r="DQ108" s="306">
        <v>134</v>
      </c>
    </row>
    <row r="109" spans="1:121" x14ac:dyDescent="0.2">
      <c r="A109" s="12" t="s">
        <v>142</v>
      </c>
      <c r="B109" s="169">
        <v>103</v>
      </c>
      <c r="C109" s="12" t="s">
        <v>181</v>
      </c>
      <c r="D109" s="13">
        <v>1971</v>
      </c>
      <c r="E109" s="11"/>
      <c r="F109" s="169" t="s">
        <v>13</v>
      </c>
      <c r="G109" s="35">
        <v>1</v>
      </c>
      <c r="H109" s="45">
        <v>5</v>
      </c>
      <c r="I109" s="1" t="s">
        <v>19</v>
      </c>
      <c r="J109" s="122">
        <v>6432</v>
      </c>
      <c r="K109" s="122">
        <v>462</v>
      </c>
      <c r="L109" s="122">
        <v>544</v>
      </c>
      <c r="M109" s="122"/>
      <c r="N109" s="122">
        <v>38</v>
      </c>
      <c r="O109" s="122">
        <v>67</v>
      </c>
      <c r="P109" s="122">
        <v>38</v>
      </c>
      <c r="Q109" s="122">
        <v>62</v>
      </c>
      <c r="R109" s="179">
        <v>1523.77</v>
      </c>
      <c r="S109" s="121">
        <v>996.15</v>
      </c>
      <c r="T109" s="122">
        <f t="shared" si="98"/>
        <v>34</v>
      </c>
      <c r="U109" s="180">
        <f t="shared" si="99"/>
        <v>1356.99</v>
      </c>
      <c r="V109" s="180">
        <f t="shared" si="100"/>
        <v>883.16</v>
      </c>
      <c r="W109" s="122">
        <v>4</v>
      </c>
      <c r="X109" s="180">
        <v>166.78</v>
      </c>
      <c r="Y109" s="180">
        <v>112.99</v>
      </c>
      <c r="Z109" s="122"/>
      <c r="AA109" s="180"/>
      <c r="AB109" s="180"/>
      <c r="AC109" s="180">
        <f t="shared" si="101"/>
        <v>55.8</v>
      </c>
      <c r="AD109" s="179">
        <f t="shared" si="102"/>
        <v>0</v>
      </c>
      <c r="AE109" s="271"/>
      <c r="AF109" s="179"/>
      <c r="AG109" s="180">
        <v>55.8</v>
      </c>
      <c r="AH109" s="180"/>
      <c r="AI109" s="180">
        <f t="shared" si="103"/>
        <v>1579.57</v>
      </c>
      <c r="AJ109" s="122"/>
      <c r="AK109" s="122"/>
      <c r="AL109" s="122">
        <v>2</v>
      </c>
      <c r="AM109" s="122"/>
      <c r="AN109" s="122"/>
      <c r="AO109" s="122">
        <v>1</v>
      </c>
      <c r="AP109" s="122">
        <v>1367</v>
      </c>
      <c r="AQ109" s="122"/>
      <c r="AR109" s="122">
        <f>196+98+34</f>
        <v>328</v>
      </c>
      <c r="AS109" s="122">
        <v>96</v>
      </c>
      <c r="AT109" s="122">
        <v>26</v>
      </c>
      <c r="AU109" s="122">
        <f t="shared" si="90"/>
        <v>1462</v>
      </c>
      <c r="AV109" s="122"/>
      <c r="AW109" s="122">
        <v>1462</v>
      </c>
      <c r="AX109" s="122"/>
      <c r="AY109" s="122">
        <v>56</v>
      </c>
      <c r="AZ109" s="122">
        <v>450</v>
      </c>
      <c r="BA109" s="122">
        <v>450</v>
      </c>
      <c r="BB109" s="122">
        <v>10</v>
      </c>
      <c r="BC109" s="122">
        <v>7</v>
      </c>
      <c r="BD109" s="122">
        <v>128</v>
      </c>
      <c r="BE109" s="122">
        <v>38</v>
      </c>
      <c r="BF109" s="122">
        <v>2</v>
      </c>
      <c r="BG109" s="122">
        <v>7462</v>
      </c>
      <c r="BH109" s="122">
        <v>246</v>
      </c>
      <c r="BI109" s="122"/>
      <c r="BJ109" s="115">
        <f t="shared" si="104"/>
        <v>1</v>
      </c>
      <c r="BK109" s="115">
        <f t="shared" si="105"/>
        <v>1523.77</v>
      </c>
      <c r="BL109" s="115">
        <f t="shared" si="106"/>
        <v>996.15</v>
      </c>
      <c r="BM109" s="115" t="str">
        <f t="shared" si="107"/>
        <v>0</v>
      </c>
      <c r="BN109" s="115" t="str">
        <f t="shared" si="108"/>
        <v>0</v>
      </c>
      <c r="BO109" s="115" t="str">
        <f t="shared" si="109"/>
        <v>0</v>
      </c>
      <c r="BP109" s="115" t="str">
        <f t="shared" si="110"/>
        <v>0</v>
      </c>
      <c r="BQ109" s="115" t="str">
        <f t="shared" si="111"/>
        <v>0</v>
      </c>
      <c r="BR109" s="115" t="str">
        <f t="shared" si="112"/>
        <v>0</v>
      </c>
      <c r="BS109" s="115"/>
      <c r="BT109" s="115"/>
      <c r="BU109" s="122"/>
      <c r="BV109" s="115"/>
      <c r="BW109" s="115"/>
      <c r="BX109" s="115">
        <f>AP109</f>
        <v>1367</v>
      </c>
      <c r="BY109" s="275">
        <v>581.92999999999995</v>
      </c>
      <c r="BZ109" s="253">
        <v>123.93</v>
      </c>
      <c r="CA109" s="157">
        <v>1428</v>
      </c>
      <c r="CB109" s="275">
        <f t="shared" si="113"/>
        <v>966</v>
      </c>
      <c r="CC109" s="209" t="str">
        <f t="shared" si="91"/>
        <v>0</v>
      </c>
      <c r="CD109" s="235">
        <f t="shared" si="92"/>
        <v>0</v>
      </c>
      <c r="CE109" s="209">
        <f t="shared" si="97"/>
        <v>1</v>
      </c>
      <c r="CF109" s="235">
        <f t="shared" si="93"/>
        <v>1462</v>
      </c>
      <c r="CG109" s="235">
        <f t="shared" si="94"/>
        <v>1</v>
      </c>
      <c r="CH109" s="235">
        <f t="shared" si="95"/>
        <v>1462</v>
      </c>
      <c r="CI109" s="14">
        <v>46</v>
      </c>
      <c r="CJ109" s="284" t="str">
        <f t="shared" si="114"/>
        <v>0</v>
      </c>
      <c r="CK109" s="284" t="str">
        <f t="shared" si="115"/>
        <v>0</v>
      </c>
      <c r="CL109" s="243">
        <f t="shared" si="116"/>
        <v>10.945221391679846</v>
      </c>
      <c r="CM109" s="216" t="str">
        <f t="shared" si="117"/>
        <v>0</v>
      </c>
      <c r="CN109" s="216" t="str">
        <f t="shared" si="118"/>
        <v>0</v>
      </c>
      <c r="CO109" s="243">
        <f t="shared" si="119"/>
        <v>10.558569737333578</v>
      </c>
      <c r="CP109" s="305">
        <v>1</v>
      </c>
      <c r="CQ109" s="305">
        <v>0</v>
      </c>
      <c r="CR109" s="305">
        <v>0</v>
      </c>
      <c r="CS109" s="305">
        <v>0</v>
      </c>
      <c r="CT109" s="305">
        <v>1</v>
      </c>
      <c r="CU109" s="305">
        <v>0</v>
      </c>
      <c r="CV109" s="305">
        <v>0</v>
      </c>
      <c r="CW109" s="305">
        <v>0</v>
      </c>
      <c r="CX109" s="306">
        <v>0</v>
      </c>
      <c r="CY109" s="306">
        <v>38</v>
      </c>
      <c r="CZ109" s="306">
        <f t="shared" si="96"/>
        <v>34</v>
      </c>
      <c r="DA109" s="306">
        <v>4</v>
      </c>
      <c r="DB109" s="306">
        <v>17</v>
      </c>
      <c r="DC109" s="306">
        <v>13</v>
      </c>
      <c r="DD109" s="306">
        <v>25</v>
      </c>
      <c r="DE109" s="306">
        <v>13</v>
      </c>
      <c r="DF109" s="306">
        <v>13</v>
      </c>
      <c r="DG109" s="306">
        <v>25</v>
      </c>
      <c r="DH109" s="306">
        <v>13</v>
      </c>
      <c r="DI109" s="306">
        <v>0</v>
      </c>
      <c r="DJ109" s="306">
        <v>1</v>
      </c>
      <c r="DK109" s="306">
        <v>4</v>
      </c>
      <c r="DL109" s="306">
        <v>1</v>
      </c>
      <c r="DM109" s="306">
        <v>1</v>
      </c>
      <c r="DN109" s="306">
        <v>4</v>
      </c>
      <c r="DO109" s="306">
        <v>1</v>
      </c>
      <c r="DP109" s="306">
        <v>38</v>
      </c>
      <c r="DQ109" s="306">
        <v>38</v>
      </c>
    </row>
    <row r="110" spans="1:121" x14ac:dyDescent="0.2">
      <c r="A110" s="12" t="s">
        <v>197</v>
      </c>
      <c r="B110" s="169">
        <v>104</v>
      </c>
      <c r="C110" s="12" t="s">
        <v>265</v>
      </c>
      <c r="D110" s="200">
        <v>1973</v>
      </c>
      <c r="E110" s="11"/>
      <c r="F110" s="169" t="s">
        <v>196</v>
      </c>
      <c r="G110" s="35">
        <v>1</v>
      </c>
      <c r="H110" s="201">
        <v>5</v>
      </c>
      <c r="I110" s="201" t="s">
        <v>19</v>
      </c>
      <c r="J110" s="115">
        <v>9950</v>
      </c>
      <c r="K110" s="115">
        <v>683</v>
      </c>
      <c r="L110" s="157">
        <v>791</v>
      </c>
      <c r="M110" s="115"/>
      <c r="N110" s="115">
        <v>38</v>
      </c>
      <c r="O110" s="115">
        <v>78</v>
      </c>
      <c r="P110" s="115">
        <v>38</v>
      </c>
      <c r="Q110" s="115">
        <v>82</v>
      </c>
      <c r="R110" s="228">
        <v>2060.8000000000002</v>
      </c>
      <c r="S110" s="230">
        <v>1129.3</v>
      </c>
      <c r="T110" s="115">
        <f t="shared" si="98"/>
        <v>36</v>
      </c>
      <c r="U110" s="203">
        <f t="shared" si="99"/>
        <v>1966.1000000000001</v>
      </c>
      <c r="V110" s="180">
        <f t="shared" si="100"/>
        <v>1070.5899999999999</v>
      </c>
      <c r="W110" s="115">
        <v>2</v>
      </c>
      <c r="X110" s="207">
        <v>94.7</v>
      </c>
      <c r="Y110" s="207">
        <v>58.71</v>
      </c>
      <c r="Z110" s="204"/>
      <c r="AA110" s="207"/>
      <c r="AB110" s="207"/>
      <c r="AC110" s="207">
        <f t="shared" si="101"/>
        <v>0</v>
      </c>
      <c r="AD110" s="248">
        <f t="shared" si="102"/>
        <v>0</v>
      </c>
      <c r="AE110" s="275"/>
      <c r="AF110" s="275"/>
      <c r="AG110" s="207"/>
      <c r="AH110" s="207"/>
      <c r="AI110" s="207">
        <f t="shared" si="103"/>
        <v>2060.8000000000002</v>
      </c>
      <c r="AJ110" s="170"/>
      <c r="AK110" s="170"/>
      <c r="AL110" s="170">
        <v>2</v>
      </c>
      <c r="AM110" s="170">
        <v>2</v>
      </c>
      <c r="AN110" s="170">
        <v>1</v>
      </c>
      <c r="AO110" s="170">
        <v>1</v>
      </c>
      <c r="AP110" s="170">
        <v>2497</v>
      </c>
      <c r="AQ110" s="170"/>
      <c r="AR110" s="170">
        <v>386</v>
      </c>
      <c r="AS110" s="170">
        <v>73</v>
      </c>
      <c r="AT110" s="170">
        <v>60</v>
      </c>
      <c r="AU110" s="170">
        <f t="shared" si="90"/>
        <v>2805</v>
      </c>
      <c r="AV110" s="170"/>
      <c r="AW110" s="170">
        <v>2805</v>
      </c>
      <c r="AX110" s="170"/>
      <c r="AY110" s="170">
        <v>134</v>
      </c>
      <c r="AZ110" s="170">
        <v>655</v>
      </c>
      <c r="BA110" s="170">
        <v>655</v>
      </c>
      <c r="BB110" s="170"/>
      <c r="BC110" s="170">
        <v>6</v>
      </c>
      <c r="BD110" s="170">
        <v>82</v>
      </c>
      <c r="BE110" s="170">
        <v>38</v>
      </c>
      <c r="BF110" s="170">
        <v>1</v>
      </c>
      <c r="BG110" s="170">
        <v>200</v>
      </c>
      <c r="BH110" s="170">
        <v>40</v>
      </c>
      <c r="BI110" s="170"/>
      <c r="BJ110" s="115">
        <f t="shared" si="104"/>
        <v>1</v>
      </c>
      <c r="BK110" s="115">
        <f t="shared" si="105"/>
        <v>2060.8000000000002</v>
      </c>
      <c r="BL110" s="115">
        <f t="shared" si="106"/>
        <v>1129.3</v>
      </c>
      <c r="BM110" s="115" t="str">
        <f t="shared" si="107"/>
        <v>0</v>
      </c>
      <c r="BN110" s="115" t="str">
        <f t="shared" si="108"/>
        <v>0</v>
      </c>
      <c r="BO110" s="115" t="str">
        <f t="shared" si="109"/>
        <v>0</v>
      </c>
      <c r="BP110" s="115" t="str">
        <f t="shared" si="110"/>
        <v>0</v>
      </c>
      <c r="BQ110" s="115" t="str">
        <f t="shared" si="111"/>
        <v>0</v>
      </c>
      <c r="BR110" s="115" t="str">
        <f t="shared" si="112"/>
        <v>0</v>
      </c>
      <c r="BS110" s="115"/>
      <c r="BT110" s="115">
        <v>1</v>
      </c>
      <c r="BU110" s="115">
        <f>BA110</f>
        <v>655</v>
      </c>
      <c r="BV110" s="115">
        <v>2566</v>
      </c>
      <c r="BW110" s="115"/>
      <c r="BX110" s="115">
        <f>AP110</f>
        <v>2497</v>
      </c>
      <c r="BY110" s="253">
        <v>1091.0999999999999</v>
      </c>
      <c r="BZ110" s="253">
        <v>385.5</v>
      </c>
      <c r="CA110" s="205">
        <v>2181</v>
      </c>
      <c r="CB110" s="282">
        <f t="shared" si="113"/>
        <v>1498</v>
      </c>
      <c r="CC110" s="209" t="str">
        <f t="shared" si="91"/>
        <v>0</v>
      </c>
      <c r="CD110" s="235">
        <f t="shared" si="92"/>
        <v>0</v>
      </c>
      <c r="CE110" s="209">
        <f t="shared" si="97"/>
        <v>1</v>
      </c>
      <c r="CF110" s="235">
        <f t="shared" si="93"/>
        <v>2805</v>
      </c>
      <c r="CG110" s="235">
        <f t="shared" si="94"/>
        <v>1</v>
      </c>
      <c r="CH110" s="235">
        <f t="shared" si="95"/>
        <v>2805</v>
      </c>
      <c r="CI110" s="156">
        <v>67</v>
      </c>
      <c r="CJ110" s="284" t="str">
        <f t="shared" si="114"/>
        <v>0</v>
      </c>
      <c r="CK110" s="284" t="str">
        <f t="shared" si="115"/>
        <v>0</v>
      </c>
      <c r="CL110" s="243">
        <f t="shared" si="116"/>
        <v>4.5953027950310554</v>
      </c>
      <c r="CM110" s="216" t="str">
        <f t="shared" si="117"/>
        <v>0</v>
      </c>
      <c r="CN110" s="216" t="str">
        <f t="shared" si="118"/>
        <v>0</v>
      </c>
      <c r="CO110" s="243">
        <f t="shared" si="119"/>
        <v>4.5953027950310554</v>
      </c>
      <c r="CP110" s="306">
        <v>1</v>
      </c>
      <c r="CQ110" s="306">
        <v>0</v>
      </c>
      <c r="CR110" s="306">
        <v>0</v>
      </c>
      <c r="CS110" s="306">
        <v>0</v>
      </c>
      <c r="CT110" s="306">
        <v>1</v>
      </c>
      <c r="CU110" s="306">
        <v>0</v>
      </c>
      <c r="CV110" s="306">
        <v>0</v>
      </c>
      <c r="CW110" s="306">
        <v>0</v>
      </c>
      <c r="CX110" s="306">
        <v>0</v>
      </c>
      <c r="CY110" s="306">
        <v>38</v>
      </c>
      <c r="CZ110" s="306">
        <f t="shared" si="96"/>
        <v>36</v>
      </c>
      <c r="DA110" s="306">
        <v>2</v>
      </c>
      <c r="DB110" s="306">
        <v>25</v>
      </c>
      <c r="DC110" s="306">
        <v>16</v>
      </c>
      <c r="DD110" s="306">
        <v>44</v>
      </c>
      <c r="DE110" s="306">
        <v>32</v>
      </c>
      <c r="DF110" s="306">
        <v>16</v>
      </c>
      <c r="DG110" s="306">
        <v>44</v>
      </c>
      <c r="DH110" s="306">
        <v>32</v>
      </c>
      <c r="DI110" s="306">
        <v>2</v>
      </c>
      <c r="DJ110" s="306">
        <v>0</v>
      </c>
      <c r="DK110" s="306">
        <v>0</v>
      </c>
      <c r="DL110" s="306">
        <v>0</v>
      </c>
      <c r="DM110" s="306">
        <v>0</v>
      </c>
      <c r="DN110" s="306">
        <v>0</v>
      </c>
      <c r="DO110" s="306">
        <v>0</v>
      </c>
      <c r="DP110" s="306">
        <v>38</v>
      </c>
      <c r="DQ110" s="306">
        <v>38</v>
      </c>
    </row>
    <row r="111" spans="1:121" x14ac:dyDescent="0.2">
      <c r="A111" s="12" t="s">
        <v>197</v>
      </c>
      <c r="B111" s="169">
        <v>105</v>
      </c>
      <c r="C111" s="12" t="s">
        <v>266</v>
      </c>
      <c r="D111" s="200">
        <v>1973</v>
      </c>
      <c r="E111" s="11"/>
      <c r="F111" s="169" t="s">
        <v>196</v>
      </c>
      <c r="G111" s="35">
        <v>1</v>
      </c>
      <c r="H111" s="201">
        <v>5</v>
      </c>
      <c r="I111" s="201" t="s">
        <v>19</v>
      </c>
      <c r="J111" s="115">
        <v>17650</v>
      </c>
      <c r="K111" s="115">
        <v>1697</v>
      </c>
      <c r="L111" s="157"/>
      <c r="M111" s="115">
        <v>962</v>
      </c>
      <c r="N111" s="115">
        <v>57</v>
      </c>
      <c r="O111" s="115">
        <v>117</v>
      </c>
      <c r="P111" s="115">
        <v>57</v>
      </c>
      <c r="Q111" s="115">
        <v>134</v>
      </c>
      <c r="R111" s="228">
        <v>3036.02</v>
      </c>
      <c r="S111" s="230">
        <v>1659.73</v>
      </c>
      <c r="T111" s="115">
        <f t="shared" si="98"/>
        <v>53</v>
      </c>
      <c r="U111" s="203">
        <f t="shared" si="99"/>
        <v>2851.56</v>
      </c>
      <c r="V111" s="180">
        <f t="shared" si="100"/>
        <v>1545.3600000000001</v>
      </c>
      <c r="W111" s="115">
        <v>4</v>
      </c>
      <c r="X111" s="207">
        <v>184.46</v>
      </c>
      <c r="Y111" s="207">
        <v>114.37</v>
      </c>
      <c r="Z111" s="204"/>
      <c r="AA111" s="207"/>
      <c r="AB111" s="207"/>
      <c r="AC111" s="207">
        <f t="shared" si="101"/>
        <v>0</v>
      </c>
      <c r="AD111" s="248">
        <f t="shared" si="102"/>
        <v>0</v>
      </c>
      <c r="AE111" s="275"/>
      <c r="AF111" s="275"/>
      <c r="AG111" s="207"/>
      <c r="AH111" s="207"/>
      <c r="AI111" s="207">
        <f t="shared" si="103"/>
        <v>3036.02</v>
      </c>
      <c r="AJ111" s="170"/>
      <c r="AK111" s="170"/>
      <c r="AL111" s="170">
        <v>3</v>
      </c>
      <c r="AM111" s="170">
        <v>3</v>
      </c>
      <c r="AN111" s="170">
        <v>1</v>
      </c>
      <c r="AO111" s="170">
        <v>1</v>
      </c>
      <c r="AP111" s="170">
        <v>2010</v>
      </c>
      <c r="AQ111" s="170"/>
      <c r="AR111" s="170">
        <v>480</v>
      </c>
      <c r="AS111" s="170">
        <v>185</v>
      </c>
      <c r="AT111" s="170">
        <v>90</v>
      </c>
      <c r="AU111" s="170">
        <f t="shared" si="90"/>
        <v>4208</v>
      </c>
      <c r="AV111" s="170"/>
      <c r="AW111" s="170">
        <v>4208</v>
      </c>
      <c r="AX111" s="170"/>
      <c r="AY111" s="170">
        <v>197</v>
      </c>
      <c r="AZ111" s="170">
        <v>1670</v>
      </c>
      <c r="BA111" s="170">
        <v>1670</v>
      </c>
      <c r="BB111" s="170"/>
      <c r="BC111" s="170">
        <v>9</v>
      </c>
      <c r="BD111" s="170">
        <v>123</v>
      </c>
      <c r="BE111" s="170">
        <v>57</v>
      </c>
      <c r="BF111" s="170">
        <v>1</v>
      </c>
      <c r="BG111" s="170">
        <v>300</v>
      </c>
      <c r="BH111" s="170">
        <v>60</v>
      </c>
      <c r="BI111" s="170"/>
      <c r="BJ111" s="115">
        <f t="shared" si="104"/>
        <v>1</v>
      </c>
      <c r="BK111" s="115">
        <f t="shared" si="105"/>
        <v>3036.02</v>
      </c>
      <c r="BL111" s="115">
        <f t="shared" si="106"/>
        <v>1659.73</v>
      </c>
      <c r="BM111" s="115" t="str">
        <f t="shared" si="107"/>
        <v>0</v>
      </c>
      <c r="BN111" s="115" t="str">
        <f t="shared" si="108"/>
        <v>0</v>
      </c>
      <c r="BO111" s="115" t="str">
        <f t="shared" si="109"/>
        <v>0</v>
      </c>
      <c r="BP111" s="115" t="str">
        <f t="shared" si="110"/>
        <v>0</v>
      </c>
      <c r="BQ111" s="115" t="str">
        <f t="shared" si="111"/>
        <v>0</v>
      </c>
      <c r="BR111" s="115" t="str">
        <f t="shared" si="112"/>
        <v>0</v>
      </c>
      <c r="BS111" s="115"/>
      <c r="BT111" s="115"/>
      <c r="BU111" s="115">
        <v>860</v>
      </c>
      <c r="BV111" s="115">
        <v>2454</v>
      </c>
      <c r="BW111" s="115"/>
      <c r="BX111" s="115">
        <f>AP111</f>
        <v>2010</v>
      </c>
      <c r="BY111" s="253">
        <v>1629.35</v>
      </c>
      <c r="BZ111" s="253">
        <v>569.41999999999996</v>
      </c>
      <c r="CA111" s="205">
        <v>2603</v>
      </c>
      <c r="CB111" s="282">
        <f t="shared" si="113"/>
        <v>906</v>
      </c>
      <c r="CC111" s="209" t="str">
        <f t="shared" si="91"/>
        <v>0</v>
      </c>
      <c r="CD111" s="235">
        <f t="shared" si="92"/>
        <v>0</v>
      </c>
      <c r="CE111" s="209">
        <f t="shared" si="97"/>
        <v>1</v>
      </c>
      <c r="CF111" s="235">
        <f t="shared" si="93"/>
        <v>4208</v>
      </c>
      <c r="CG111" s="235">
        <f t="shared" si="94"/>
        <v>1</v>
      </c>
      <c r="CH111" s="235">
        <f t="shared" si="95"/>
        <v>4208</v>
      </c>
      <c r="CI111" s="156">
        <v>48</v>
      </c>
      <c r="CJ111" s="284" t="str">
        <f t="shared" si="114"/>
        <v>0</v>
      </c>
      <c r="CK111" s="284" t="str">
        <f t="shared" si="115"/>
        <v>0</v>
      </c>
      <c r="CL111" s="243">
        <f t="shared" si="116"/>
        <v>6.075717551267779</v>
      </c>
      <c r="CM111" s="216" t="str">
        <f t="shared" si="117"/>
        <v>0</v>
      </c>
      <c r="CN111" s="216" t="str">
        <f t="shared" si="118"/>
        <v>0</v>
      </c>
      <c r="CO111" s="243">
        <f t="shared" si="119"/>
        <v>6.075717551267779</v>
      </c>
      <c r="CP111" s="306">
        <v>1</v>
      </c>
      <c r="CQ111" s="306">
        <v>0</v>
      </c>
      <c r="CR111" s="306">
        <v>0</v>
      </c>
      <c r="CS111" s="306">
        <v>0</v>
      </c>
      <c r="CT111" s="306">
        <v>1</v>
      </c>
      <c r="CU111" s="306">
        <v>0</v>
      </c>
      <c r="CV111" s="306">
        <v>0</v>
      </c>
      <c r="CW111" s="306">
        <v>0</v>
      </c>
      <c r="CX111" s="306">
        <v>0</v>
      </c>
      <c r="CY111" s="306">
        <v>57</v>
      </c>
      <c r="CZ111" s="306">
        <f t="shared" si="96"/>
        <v>57</v>
      </c>
      <c r="DA111" s="306">
        <v>0</v>
      </c>
      <c r="DB111" s="306">
        <v>39</v>
      </c>
      <c r="DC111" s="306">
        <v>25</v>
      </c>
      <c r="DD111" s="306">
        <v>64</v>
      </c>
      <c r="DE111" s="306">
        <v>50</v>
      </c>
      <c r="DF111" s="306">
        <v>25</v>
      </c>
      <c r="DG111" s="306">
        <v>63</v>
      </c>
      <c r="DH111" s="306">
        <v>51</v>
      </c>
      <c r="DI111" s="306">
        <v>0</v>
      </c>
      <c r="DJ111" s="306">
        <v>0</v>
      </c>
      <c r="DK111" s="306">
        <v>6</v>
      </c>
      <c r="DL111" s="306">
        <v>0</v>
      </c>
      <c r="DM111" s="306">
        <v>0</v>
      </c>
      <c r="DN111" s="306">
        <v>6</v>
      </c>
      <c r="DO111" s="306">
        <v>0</v>
      </c>
      <c r="DP111" s="306">
        <v>57</v>
      </c>
      <c r="DQ111" s="306">
        <v>57</v>
      </c>
    </row>
    <row r="112" spans="1:121" x14ac:dyDescent="0.2">
      <c r="A112" s="27" t="s">
        <v>142</v>
      </c>
      <c r="B112" s="169">
        <v>106</v>
      </c>
      <c r="C112" s="12" t="s">
        <v>81</v>
      </c>
      <c r="D112" s="13">
        <v>1969</v>
      </c>
      <c r="E112" s="11"/>
      <c r="F112" s="169" t="s">
        <v>20</v>
      </c>
      <c r="G112" s="35">
        <v>1</v>
      </c>
      <c r="H112" s="45">
        <v>5</v>
      </c>
      <c r="I112" s="1" t="s">
        <v>22</v>
      </c>
      <c r="J112" s="122">
        <v>9017</v>
      </c>
      <c r="K112" s="122">
        <v>677</v>
      </c>
      <c r="L112" s="122">
        <v>785</v>
      </c>
      <c r="M112" s="122"/>
      <c r="N112" s="122">
        <v>59</v>
      </c>
      <c r="O112" s="122">
        <v>113</v>
      </c>
      <c r="P112" s="122">
        <v>60</v>
      </c>
      <c r="Q112" s="122">
        <v>91</v>
      </c>
      <c r="R112" s="180">
        <v>2561.34</v>
      </c>
      <c r="S112" s="121">
        <v>1744</v>
      </c>
      <c r="T112" s="122">
        <f t="shared" si="98"/>
        <v>51</v>
      </c>
      <c r="U112" s="180">
        <f t="shared" si="99"/>
        <v>2199.34</v>
      </c>
      <c r="V112" s="180">
        <f t="shared" si="100"/>
        <v>1491.25</v>
      </c>
      <c r="W112" s="122">
        <v>8</v>
      </c>
      <c r="X112" s="180">
        <v>362</v>
      </c>
      <c r="Y112" s="180">
        <v>252.75</v>
      </c>
      <c r="Z112" s="122"/>
      <c r="AA112" s="180"/>
      <c r="AB112" s="180"/>
      <c r="AC112" s="180">
        <f t="shared" si="101"/>
        <v>0</v>
      </c>
      <c r="AD112" s="179">
        <f t="shared" si="102"/>
        <v>0</v>
      </c>
      <c r="AE112" s="271"/>
      <c r="AF112" s="179"/>
      <c r="AG112" s="180"/>
      <c r="AH112" s="180"/>
      <c r="AI112" s="180">
        <f t="shared" si="103"/>
        <v>2561.34</v>
      </c>
      <c r="AJ112" s="122"/>
      <c r="AK112" s="122"/>
      <c r="AL112" s="122">
        <v>3</v>
      </c>
      <c r="AM112" s="122"/>
      <c r="AN112" s="122"/>
      <c r="AO112" s="122">
        <v>1</v>
      </c>
      <c r="AP112" s="122">
        <v>1827</v>
      </c>
      <c r="AQ112" s="35"/>
      <c r="AR112" s="122">
        <f>104+29+114</f>
        <v>247</v>
      </c>
      <c r="AS112" s="122">
        <v>159</v>
      </c>
      <c r="AT112" s="122">
        <v>38</v>
      </c>
      <c r="AU112" s="122">
        <f t="shared" si="90"/>
        <v>2193</v>
      </c>
      <c r="AV112" s="122"/>
      <c r="AW112" s="122">
        <v>2193</v>
      </c>
      <c r="AX112" s="122">
        <v>1425</v>
      </c>
      <c r="AY112" s="122">
        <v>104</v>
      </c>
      <c r="AZ112" s="122">
        <v>653</v>
      </c>
      <c r="BA112" s="122">
        <v>653</v>
      </c>
      <c r="BB112" s="122">
        <v>15</v>
      </c>
      <c r="BC112" s="122">
        <v>9</v>
      </c>
      <c r="BD112" s="122">
        <v>160</v>
      </c>
      <c r="BE112" s="122">
        <v>59</v>
      </c>
      <c r="BF112" s="122">
        <v>1</v>
      </c>
      <c r="BG112" s="122">
        <v>11274</v>
      </c>
      <c r="BH112" s="122">
        <v>219</v>
      </c>
      <c r="BI112" s="122"/>
      <c r="BJ112" s="115" t="str">
        <f t="shared" si="104"/>
        <v>0</v>
      </c>
      <c r="BK112" s="115" t="str">
        <f t="shared" si="105"/>
        <v>0</v>
      </c>
      <c r="BL112" s="115" t="str">
        <f t="shared" si="106"/>
        <v>0</v>
      </c>
      <c r="BM112" s="115">
        <f t="shared" si="107"/>
        <v>1</v>
      </c>
      <c r="BN112" s="115">
        <f t="shared" si="108"/>
        <v>2561.34</v>
      </c>
      <c r="BO112" s="115">
        <f t="shared" si="109"/>
        <v>1744</v>
      </c>
      <c r="BP112" s="115" t="str">
        <f t="shared" si="110"/>
        <v>0</v>
      </c>
      <c r="BQ112" s="115" t="str">
        <f t="shared" si="111"/>
        <v>0</v>
      </c>
      <c r="BR112" s="115" t="str">
        <f t="shared" si="112"/>
        <v>0</v>
      </c>
      <c r="BS112" s="115"/>
      <c r="BT112" s="115">
        <v>2</v>
      </c>
      <c r="BU112" s="122"/>
      <c r="BV112" s="115"/>
      <c r="BW112" s="115"/>
      <c r="BX112" s="115"/>
      <c r="BY112" s="275">
        <v>859.79</v>
      </c>
      <c r="BZ112" s="253">
        <v>206.39</v>
      </c>
      <c r="CA112" s="157">
        <v>1689</v>
      </c>
      <c r="CB112" s="275">
        <f t="shared" si="113"/>
        <v>1012</v>
      </c>
      <c r="CC112" s="209" t="str">
        <f t="shared" si="91"/>
        <v>0</v>
      </c>
      <c r="CD112" s="235">
        <f t="shared" si="92"/>
        <v>0</v>
      </c>
      <c r="CE112" s="209">
        <f t="shared" si="97"/>
        <v>1</v>
      </c>
      <c r="CF112" s="235">
        <f t="shared" si="93"/>
        <v>2193</v>
      </c>
      <c r="CG112" s="235">
        <f t="shared" si="94"/>
        <v>1</v>
      </c>
      <c r="CH112" s="235">
        <f t="shared" si="95"/>
        <v>2193</v>
      </c>
      <c r="CI112" s="14">
        <v>53</v>
      </c>
      <c r="CJ112" s="284" t="str">
        <f t="shared" si="114"/>
        <v>0</v>
      </c>
      <c r="CK112" s="284" t="str">
        <f t="shared" si="115"/>
        <v>0</v>
      </c>
      <c r="CL112" s="243">
        <f t="shared" si="116"/>
        <v>14.133227138919471</v>
      </c>
      <c r="CM112" s="216" t="str">
        <f t="shared" si="117"/>
        <v>0</v>
      </c>
      <c r="CN112" s="216" t="str">
        <f t="shared" si="118"/>
        <v>0</v>
      </c>
      <c r="CO112" s="243">
        <f t="shared" si="119"/>
        <v>14.133227138919471</v>
      </c>
      <c r="CP112" s="305">
        <v>1</v>
      </c>
      <c r="CQ112" s="305">
        <v>0</v>
      </c>
      <c r="CR112" s="305">
        <v>0</v>
      </c>
      <c r="CS112" s="305">
        <v>0</v>
      </c>
      <c r="CT112" s="305">
        <v>1</v>
      </c>
      <c r="CU112" s="305">
        <v>0</v>
      </c>
      <c r="CV112" s="305">
        <v>0</v>
      </c>
      <c r="CW112" s="305">
        <v>0</v>
      </c>
      <c r="CX112" s="306">
        <v>0</v>
      </c>
      <c r="CY112" s="306">
        <v>58</v>
      </c>
      <c r="CZ112" s="306">
        <f t="shared" si="96"/>
        <v>48</v>
      </c>
      <c r="DA112" s="306">
        <v>10</v>
      </c>
      <c r="DB112" s="306">
        <v>34</v>
      </c>
      <c r="DC112" s="306">
        <v>25</v>
      </c>
      <c r="DD112" s="306">
        <v>33</v>
      </c>
      <c r="DE112" s="306">
        <v>25</v>
      </c>
      <c r="DF112" s="306">
        <v>25</v>
      </c>
      <c r="DG112" s="306">
        <v>33</v>
      </c>
      <c r="DH112" s="306">
        <v>25</v>
      </c>
      <c r="DI112" s="306">
        <v>5</v>
      </c>
      <c r="DJ112" s="306">
        <v>3</v>
      </c>
      <c r="DK112" s="306">
        <v>6</v>
      </c>
      <c r="DL112" s="306">
        <v>3</v>
      </c>
      <c r="DM112" s="306">
        <v>3</v>
      </c>
      <c r="DN112" s="306">
        <v>6</v>
      </c>
      <c r="DO112" s="306">
        <v>3</v>
      </c>
      <c r="DP112" s="306">
        <v>58</v>
      </c>
      <c r="DQ112" s="306">
        <v>58</v>
      </c>
    </row>
    <row r="113" spans="1:126" x14ac:dyDescent="0.2">
      <c r="A113" s="12" t="s">
        <v>197</v>
      </c>
      <c r="B113" s="169">
        <v>107</v>
      </c>
      <c r="C113" s="12" t="s">
        <v>267</v>
      </c>
      <c r="D113" s="200">
        <v>1977</v>
      </c>
      <c r="E113" s="11"/>
      <c r="F113" s="169">
        <v>84</v>
      </c>
      <c r="G113" s="35">
        <v>1</v>
      </c>
      <c r="H113" s="201">
        <v>9</v>
      </c>
      <c r="I113" s="201" t="s">
        <v>22</v>
      </c>
      <c r="J113" s="115">
        <v>20116</v>
      </c>
      <c r="K113" s="115">
        <v>1413</v>
      </c>
      <c r="L113" s="157"/>
      <c r="M113" s="115">
        <v>1190</v>
      </c>
      <c r="N113" s="115">
        <f>143-1</f>
        <v>142</v>
      </c>
      <c r="O113" s="115">
        <v>316</v>
      </c>
      <c r="P113" s="115">
        <v>142</v>
      </c>
      <c r="Q113" s="115">
        <v>308</v>
      </c>
      <c r="R113" s="228">
        <f>7622.37-52.06</f>
        <v>7570.3099999999995</v>
      </c>
      <c r="S113" s="230">
        <f>4510.3-44</f>
        <v>4466.3</v>
      </c>
      <c r="T113" s="115">
        <f t="shared" si="98"/>
        <v>137</v>
      </c>
      <c r="U113" s="203">
        <f t="shared" si="99"/>
        <v>7293.6799999999994</v>
      </c>
      <c r="V113" s="180">
        <f t="shared" si="100"/>
        <v>4294.79</v>
      </c>
      <c r="W113" s="115">
        <v>5</v>
      </c>
      <c r="X113" s="207">
        <v>276.63</v>
      </c>
      <c r="Y113" s="207">
        <v>171.51</v>
      </c>
      <c r="Z113" s="204"/>
      <c r="AA113" s="207"/>
      <c r="AB113" s="207"/>
      <c r="AC113" s="207">
        <f t="shared" si="101"/>
        <v>88.4</v>
      </c>
      <c r="AD113" s="248">
        <f t="shared" si="102"/>
        <v>0</v>
      </c>
      <c r="AE113" s="275"/>
      <c r="AF113" s="275"/>
      <c r="AG113" s="207">
        <v>88.4</v>
      </c>
      <c r="AH113" s="207"/>
      <c r="AI113" s="207">
        <f t="shared" si="103"/>
        <v>7658.7099999999991</v>
      </c>
      <c r="AJ113" s="170"/>
      <c r="AK113" s="170">
        <v>4</v>
      </c>
      <c r="AL113" s="170">
        <v>4</v>
      </c>
      <c r="AM113" s="170">
        <v>4</v>
      </c>
      <c r="AN113" s="170"/>
      <c r="AO113" s="170">
        <v>4</v>
      </c>
      <c r="AP113" s="170">
        <v>5910</v>
      </c>
      <c r="AQ113" s="170"/>
      <c r="AR113" s="170">
        <v>814</v>
      </c>
      <c r="AS113" s="170">
        <v>328</v>
      </c>
      <c r="AT113" s="170">
        <v>80</v>
      </c>
      <c r="AU113" s="170">
        <f t="shared" si="90"/>
        <v>9113</v>
      </c>
      <c r="AV113" s="170">
        <v>9113</v>
      </c>
      <c r="AW113" s="170"/>
      <c r="AX113" s="170">
        <v>3484</v>
      </c>
      <c r="AY113" s="170">
        <v>300</v>
      </c>
      <c r="AZ113" s="170">
        <v>1402</v>
      </c>
      <c r="BA113" s="170">
        <v>1402</v>
      </c>
      <c r="BB113" s="170">
        <v>64</v>
      </c>
      <c r="BC113" s="170">
        <v>12</v>
      </c>
      <c r="BD113" s="170">
        <v>500</v>
      </c>
      <c r="BE113" s="170">
        <v>144</v>
      </c>
      <c r="BF113" s="170"/>
      <c r="BG113" s="170">
        <v>14280</v>
      </c>
      <c r="BH113" s="170">
        <v>6540</v>
      </c>
      <c r="BI113" s="170">
        <v>180</v>
      </c>
      <c r="BJ113" s="115" t="str">
        <f t="shared" si="104"/>
        <v>0</v>
      </c>
      <c r="BK113" s="115" t="str">
        <f t="shared" si="105"/>
        <v>0</v>
      </c>
      <c r="BL113" s="115" t="str">
        <f t="shared" si="106"/>
        <v>0</v>
      </c>
      <c r="BM113" s="115">
        <f t="shared" si="107"/>
        <v>1</v>
      </c>
      <c r="BN113" s="115">
        <f t="shared" si="108"/>
        <v>7570.3099999999995</v>
      </c>
      <c r="BO113" s="115">
        <f t="shared" si="109"/>
        <v>4466.3</v>
      </c>
      <c r="BP113" s="115" t="str">
        <f t="shared" si="110"/>
        <v>0</v>
      </c>
      <c r="BQ113" s="115" t="str">
        <f t="shared" si="111"/>
        <v>0</v>
      </c>
      <c r="BR113" s="115" t="str">
        <f t="shared" si="112"/>
        <v>0</v>
      </c>
      <c r="BS113" s="115"/>
      <c r="BT113" s="115"/>
      <c r="BU113" s="115">
        <f>BA113</f>
        <v>1402</v>
      </c>
      <c r="BV113" s="115">
        <v>5026</v>
      </c>
      <c r="BW113" s="115"/>
      <c r="BX113" s="115"/>
      <c r="BY113" s="253">
        <v>2298.2600000000002</v>
      </c>
      <c r="BZ113" s="253">
        <v>1041.23</v>
      </c>
      <c r="CA113" s="205">
        <v>3430</v>
      </c>
      <c r="CB113" s="282">
        <f t="shared" si="113"/>
        <v>2017</v>
      </c>
      <c r="CC113" s="209">
        <f t="shared" si="91"/>
        <v>1</v>
      </c>
      <c r="CD113" s="235">
        <f t="shared" si="92"/>
        <v>9113</v>
      </c>
      <c r="CE113" s="209" t="str">
        <f t="shared" si="97"/>
        <v>0</v>
      </c>
      <c r="CF113" s="235">
        <f t="shared" si="93"/>
        <v>0</v>
      </c>
      <c r="CG113" s="235">
        <f t="shared" si="94"/>
        <v>1</v>
      </c>
      <c r="CH113" s="235">
        <f t="shared" si="95"/>
        <v>9113</v>
      </c>
      <c r="CI113" s="156">
        <v>47</v>
      </c>
      <c r="CJ113" s="284" t="str">
        <f t="shared" si="114"/>
        <v>0</v>
      </c>
      <c r="CK113" s="284" t="str">
        <f t="shared" si="115"/>
        <v>0</v>
      </c>
      <c r="CL113" s="243">
        <f t="shared" si="116"/>
        <v>3.6541436215954168</v>
      </c>
      <c r="CM113" s="216" t="str">
        <f t="shared" si="117"/>
        <v>0</v>
      </c>
      <c r="CN113" s="216" t="str">
        <f t="shared" si="118"/>
        <v>0</v>
      </c>
      <c r="CO113" s="243">
        <f t="shared" si="119"/>
        <v>3.611965983827564</v>
      </c>
      <c r="CP113" s="306">
        <v>1</v>
      </c>
      <c r="CQ113" s="306">
        <v>0</v>
      </c>
      <c r="CR113" s="306">
        <v>0</v>
      </c>
      <c r="CS113" s="306">
        <v>0</v>
      </c>
      <c r="CT113" s="306">
        <v>2</v>
      </c>
      <c r="CU113" s="306">
        <v>0</v>
      </c>
      <c r="CV113" s="306">
        <v>0</v>
      </c>
      <c r="CW113" s="306">
        <v>0</v>
      </c>
      <c r="CX113" s="306">
        <v>0</v>
      </c>
      <c r="CY113" s="306">
        <v>142</v>
      </c>
      <c r="CZ113" s="306">
        <f t="shared" si="96"/>
        <v>136</v>
      </c>
      <c r="DA113" s="306">
        <v>6</v>
      </c>
      <c r="DB113" s="306">
        <v>99</v>
      </c>
      <c r="DC113" s="306">
        <v>80</v>
      </c>
      <c r="DD113" s="306">
        <v>90</v>
      </c>
      <c r="DE113" s="306">
        <v>104</v>
      </c>
      <c r="DF113" s="306">
        <v>80</v>
      </c>
      <c r="DG113" s="306">
        <v>90</v>
      </c>
      <c r="DH113" s="306">
        <v>104</v>
      </c>
      <c r="DI113" s="306">
        <v>3</v>
      </c>
      <c r="DJ113" s="306">
        <v>1</v>
      </c>
      <c r="DK113" s="306">
        <v>5</v>
      </c>
      <c r="DL113" s="306">
        <v>1</v>
      </c>
      <c r="DM113" s="306">
        <v>1</v>
      </c>
      <c r="DN113" s="306">
        <v>5</v>
      </c>
      <c r="DO113" s="306">
        <v>1</v>
      </c>
      <c r="DP113" s="306">
        <v>142</v>
      </c>
      <c r="DQ113" s="306">
        <v>142</v>
      </c>
    </row>
    <row r="114" spans="1:126" x14ac:dyDescent="0.2">
      <c r="A114" s="12" t="s">
        <v>142</v>
      </c>
      <c r="B114" s="169">
        <v>108</v>
      </c>
      <c r="C114" s="12" t="s">
        <v>183</v>
      </c>
      <c r="D114" s="13">
        <v>1987</v>
      </c>
      <c r="E114" s="11"/>
      <c r="F114" s="169" t="s">
        <v>24</v>
      </c>
      <c r="G114" s="35">
        <v>1</v>
      </c>
      <c r="H114" s="45">
        <v>9</v>
      </c>
      <c r="I114" s="1" t="s">
        <v>22</v>
      </c>
      <c r="J114" s="122">
        <v>10268</v>
      </c>
      <c r="K114" s="122">
        <v>439</v>
      </c>
      <c r="L114" s="122"/>
      <c r="M114" s="122">
        <v>376</v>
      </c>
      <c r="N114" s="122">
        <v>32</v>
      </c>
      <c r="O114" s="122">
        <v>96</v>
      </c>
      <c r="P114" s="122">
        <v>32</v>
      </c>
      <c r="Q114" s="122">
        <v>67</v>
      </c>
      <c r="R114" s="180">
        <v>2126.8000000000002</v>
      </c>
      <c r="S114" s="121">
        <v>1359</v>
      </c>
      <c r="T114" s="122">
        <f t="shared" si="98"/>
        <v>32</v>
      </c>
      <c r="U114" s="180">
        <f t="shared" si="99"/>
        <v>2126.8000000000002</v>
      </c>
      <c r="V114" s="180">
        <f t="shared" si="100"/>
        <v>1359</v>
      </c>
      <c r="W114" s="122">
        <v>0</v>
      </c>
      <c r="X114" s="180">
        <v>0</v>
      </c>
      <c r="Y114" s="180">
        <v>0</v>
      </c>
      <c r="Z114" s="122"/>
      <c r="AA114" s="180"/>
      <c r="AB114" s="180"/>
      <c r="AC114" s="180">
        <f t="shared" si="101"/>
        <v>181.4</v>
      </c>
      <c r="AD114" s="179">
        <f t="shared" si="102"/>
        <v>181.4</v>
      </c>
      <c r="AE114" s="271"/>
      <c r="AF114" s="179">
        <v>181.4</v>
      </c>
      <c r="AG114" s="180"/>
      <c r="AH114" s="180"/>
      <c r="AI114" s="180">
        <f t="shared" si="103"/>
        <v>2308.2000000000003</v>
      </c>
      <c r="AJ114" s="122"/>
      <c r="AK114" s="122">
        <v>1</v>
      </c>
      <c r="AL114" s="122">
        <v>1</v>
      </c>
      <c r="AM114" s="122">
        <v>1</v>
      </c>
      <c r="AN114" s="122"/>
      <c r="AO114" s="122">
        <v>1</v>
      </c>
      <c r="AP114" s="122">
        <v>2163</v>
      </c>
      <c r="AQ114" s="35"/>
      <c r="AR114" s="122">
        <f>56+28+42</f>
        <v>126</v>
      </c>
      <c r="AS114" s="122">
        <v>166</v>
      </c>
      <c r="AT114" s="122">
        <v>54</v>
      </c>
      <c r="AU114" s="122">
        <f t="shared" si="90"/>
        <v>2579</v>
      </c>
      <c r="AV114" s="122">
        <v>2371</v>
      </c>
      <c r="AW114" s="122">
        <v>208</v>
      </c>
      <c r="AX114" s="122">
        <v>1210</v>
      </c>
      <c r="AY114" s="122">
        <v>94</v>
      </c>
      <c r="AZ114" s="122">
        <v>376</v>
      </c>
      <c r="BA114" s="122">
        <v>376</v>
      </c>
      <c r="BB114" s="122">
        <v>9</v>
      </c>
      <c r="BC114" s="122">
        <v>24</v>
      </c>
      <c r="BD114" s="122">
        <v>160</v>
      </c>
      <c r="BE114" s="122">
        <v>32</v>
      </c>
      <c r="BF114" s="122">
        <v>1</v>
      </c>
      <c r="BG114" s="122">
        <v>5794</v>
      </c>
      <c r="BH114" s="122">
        <v>472</v>
      </c>
      <c r="BI114" s="122">
        <v>132</v>
      </c>
      <c r="BJ114" s="115" t="str">
        <f t="shared" si="104"/>
        <v>0</v>
      </c>
      <c r="BK114" s="115" t="str">
        <f t="shared" si="105"/>
        <v>0</v>
      </c>
      <c r="BL114" s="115" t="str">
        <f t="shared" si="106"/>
        <v>0</v>
      </c>
      <c r="BM114" s="115">
        <f t="shared" si="107"/>
        <v>1</v>
      </c>
      <c r="BN114" s="115">
        <f t="shared" si="108"/>
        <v>2126.8000000000002</v>
      </c>
      <c r="BO114" s="115">
        <f t="shared" si="109"/>
        <v>1359</v>
      </c>
      <c r="BP114" s="115" t="str">
        <f t="shared" si="110"/>
        <v>0</v>
      </c>
      <c r="BQ114" s="115" t="str">
        <f t="shared" si="111"/>
        <v>0</v>
      </c>
      <c r="BR114" s="115" t="str">
        <f t="shared" si="112"/>
        <v>0</v>
      </c>
      <c r="BS114" s="115"/>
      <c r="BT114" s="115">
        <v>1</v>
      </c>
      <c r="BU114" s="122">
        <v>376</v>
      </c>
      <c r="BV114" s="115">
        <v>27</v>
      </c>
      <c r="BW114" s="115"/>
      <c r="BX114" s="115"/>
      <c r="BY114" s="275">
        <v>801.6</v>
      </c>
      <c r="BZ114" s="253">
        <v>373.6</v>
      </c>
      <c r="CA114" s="157">
        <v>924</v>
      </c>
      <c r="CB114" s="275">
        <f t="shared" si="113"/>
        <v>485</v>
      </c>
      <c r="CC114" s="209">
        <f t="shared" si="91"/>
        <v>1</v>
      </c>
      <c r="CD114" s="235">
        <f t="shared" si="92"/>
        <v>2371</v>
      </c>
      <c r="CE114" s="209"/>
      <c r="CF114" s="235">
        <f t="shared" si="93"/>
        <v>208</v>
      </c>
      <c r="CG114" s="235">
        <f t="shared" si="94"/>
        <v>1</v>
      </c>
      <c r="CH114" s="235">
        <f t="shared" si="95"/>
        <v>2579</v>
      </c>
      <c r="CI114" s="14">
        <v>53</v>
      </c>
      <c r="CJ114" s="284" t="str">
        <f t="shared" si="114"/>
        <v>0</v>
      </c>
      <c r="CK114" s="284" t="str">
        <f t="shared" si="115"/>
        <v>0</v>
      </c>
      <c r="CL114" s="243">
        <f t="shared" si="116"/>
        <v>0</v>
      </c>
      <c r="CM114" s="216" t="str">
        <f t="shared" si="117"/>
        <v>0</v>
      </c>
      <c r="CN114" s="216" t="str">
        <f t="shared" si="118"/>
        <v>0</v>
      </c>
      <c r="CO114" s="243">
        <f t="shared" si="119"/>
        <v>7.858937700372584</v>
      </c>
      <c r="CP114" s="305">
        <v>1</v>
      </c>
      <c r="CQ114" s="305">
        <v>0</v>
      </c>
      <c r="CR114" s="305">
        <v>0</v>
      </c>
      <c r="CS114" s="305">
        <v>1</v>
      </c>
      <c r="CT114" s="305">
        <v>2</v>
      </c>
      <c r="CU114" s="305">
        <v>0</v>
      </c>
      <c r="CV114" s="305">
        <v>0</v>
      </c>
      <c r="CW114" s="305">
        <v>1</v>
      </c>
      <c r="CX114" s="306">
        <v>0</v>
      </c>
      <c r="CY114" s="306">
        <v>32</v>
      </c>
      <c r="CZ114" s="306">
        <f t="shared" si="96"/>
        <v>32</v>
      </c>
      <c r="DA114" s="306">
        <v>0</v>
      </c>
      <c r="DB114" s="306">
        <v>23</v>
      </c>
      <c r="DC114" s="306">
        <v>14</v>
      </c>
      <c r="DD114" s="306">
        <v>18</v>
      </c>
      <c r="DE114" s="306">
        <v>14</v>
      </c>
      <c r="DF114" s="306">
        <v>14</v>
      </c>
      <c r="DG114" s="306">
        <v>18</v>
      </c>
      <c r="DH114" s="306">
        <v>14</v>
      </c>
      <c r="DI114" s="306">
        <v>0</v>
      </c>
      <c r="DJ114" s="306">
        <v>0</v>
      </c>
      <c r="DK114" s="306">
        <v>0</v>
      </c>
      <c r="DL114" s="306">
        <v>0</v>
      </c>
      <c r="DM114" s="306">
        <v>0</v>
      </c>
      <c r="DN114" s="306">
        <v>0</v>
      </c>
      <c r="DO114" s="306">
        <v>0</v>
      </c>
      <c r="DP114" s="306">
        <v>32</v>
      </c>
      <c r="DQ114" s="306">
        <v>32</v>
      </c>
      <c r="DR114" s="7"/>
      <c r="DS114" s="7"/>
      <c r="DT114" s="7"/>
      <c r="DU114" s="7"/>
      <c r="DV114" s="7"/>
    </row>
    <row r="115" spans="1:126" x14ac:dyDescent="0.2">
      <c r="A115" s="12" t="s">
        <v>197</v>
      </c>
      <c r="B115" s="169">
        <v>109</v>
      </c>
      <c r="C115" s="12" t="s">
        <v>268</v>
      </c>
      <c r="D115" s="200">
        <v>1979</v>
      </c>
      <c r="E115" s="11"/>
      <c r="F115" s="169" t="s">
        <v>21</v>
      </c>
      <c r="G115" s="35">
        <v>1</v>
      </c>
      <c r="H115" s="201">
        <v>9</v>
      </c>
      <c r="I115" s="201" t="s">
        <v>19</v>
      </c>
      <c r="J115" s="115">
        <v>25664</v>
      </c>
      <c r="K115" s="115">
        <v>1022</v>
      </c>
      <c r="L115" s="157">
        <v>1150</v>
      </c>
      <c r="M115" s="115"/>
      <c r="N115" s="115">
        <v>105</v>
      </c>
      <c r="O115" s="115">
        <v>231</v>
      </c>
      <c r="P115" s="115">
        <v>105</v>
      </c>
      <c r="Q115" s="115">
        <v>193</v>
      </c>
      <c r="R115" s="228">
        <v>5493.64</v>
      </c>
      <c r="S115" s="230">
        <v>3137.66</v>
      </c>
      <c r="T115" s="115">
        <f t="shared" si="98"/>
        <v>102</v>
      </c>
      <c r="U115" s="203">
        <f t="shared" si="99"/>
        <v>5349.9400000000005</v>
      </c>
      <c r="V115" s="180">
        <f t="shared" si="100"/>
        <v>3048.5699999999997</v>
      </c>
      <c r="W115" s="115">
        <v>3</v>
      </c>
      <c r="X115" s="207">
        <v>143.69999999999999</v>
      </c>
      <c r="Y115" s="207">
        <v>89.09</v>
      </c>
      <c r="Z115" s="204"/>
      <c r="AA115" s="207"/>
      <c r="AB115" s="207"/>
      <c r="AC115" s="207">
        <f t="shared" si="101"/>
        <v>0</v>
      </c>
      <c r="AD115" s="248">
        <f t="shared" si="102"/>
        <v>0</v>
      </c>
      <c r="AE115" s="275"/>
      <c r="AF115" s="275"/>
      <c r="AG115" s="207"/>
      <c r="AH115" s="207"/>
      <c r="AI115" s="207">
        <f t="shared" si="103"/>
        <v>5493.64</v>
      </c>
      <c r="AJ115" s="170"/>
      <c r="AK115" s="170">
        <v>3</v>
      </c>
      <c r="AL115" s="170">
        <v>3</v>
      </c>
      <c r="AM115" s="170">
        <v>3</v>
      </c>
      <c r="AN115" s="170"/>
      <c r="AO115" s="170">
        <v>3</v>
      </c>
      <c r="AP115" s="170">
        <v>4180</v>
      </c>
      <c r="AQ115" s="170"/>
      <c r="AR115" s="170">
        <v>740</v>
      </c>
      <c r="AS115" s="170">
        <v>242</v>
      </c>
      <c r="AT115" s="170">
        <v>105</v>
      </c>
      <c r="AU115" s="170">
        <f t="shared" si="90"/>
        <v>7574</v>
      </c>
      <c r="AV115" s="170">
        <v>7574</v>
      </c>
      <c r="AW115" s="170"/>
      <c r="AX115" s="170"/>
      <c r="AY115" s="170">
        <v>228</v>
      </c>
      <c r="AZ115" s="170">
        <v>976</v>
      </c>
      <c r="BA115" s="170">
        <v>970</v>
      </c>
      <c r="BB115" s="170"/>
      <c r="BC115" s="170">
        <v>9</v>
      </c>
      <c r="BD115" s="170">
        <v>216</v>
      </c>
      <c r="BE115" s="170">
        <v>105</v>
      </c>
      <c r="BF115" s="170"/>
      <c r="BG115" s="170">
        <v>17100</v>
      </c>
      <c r="BH115" s="170">
        <v>4905</v>
      </c>
      <c r="BI115" s="170">
        <v>135</v>
      </c>
      <c r="BJ115" s="115">
        <f t="shared" si="104"/>
        <v>1</v>
      </c>
      <c r="BK115" s="115">
        <f t="shared" si="105"/>
        <v>5493.64</v>
      </c>
      <c r="BL115" s="115">
        <f t="shared" si="106"/>
        <v>3137.66</v>
      </c>
      <c r="BM115" s="115" t="str">
        <f t="shared" si="107"/>
        <v>0</v>
      </c>
      <c r="BN115" s="115" t="str">
        <f t="shared" si="108"/>
        <v>0</v>
      </c>
      <c r="BO115" s="115" t="str">
        <f t="shared" si="109"/>
        <v>0</v>
      </c>
      <c r="BP115" s="115" t="str">
        <f t="shared" si="110"/>
        <v>0</v>
      </c>
      <c r="BQ115" s="115" t="str">
        <f t="shared" si="111"/>
        <v>0</v>
      </c>
      <c r="BR115" s="115" t="str">
        <f t="shared" si="112"/>
        <v>0</v>
      </c>
      <c r="BS115" s="115"/>
      <c r="BT115" s="115">
        <v>2</v>
      </c>
      <c r="BU115" s="115">
        <f>BA115</f>
        <v>970</v>
      </c>
      <c r="BV115" s="115">
        <v>4264</v>
      </c>
      <c r="BW115" s="115"/>
      <c r="BX115" s="115">
        <f>AP115</f>
        <v>4180</v>
      </c>
      <c r="BY115" s="253">
        <v>2068.0300000000002</v>
      </c>
      <c r="BZ115" s="253">
        <v>1039.8800000000001</v>
      </c>
      <c r="CA115" s="205">
        <v>2470</v>
      </c>
      <c r="CB115" s="282">
        <f t="shared" si="113"/>
        <v>1448</v>
      </c>
      <c r="CC115" s="209">
        <f t="shared" si="91"/>
        <v>1</v>
      </c>
      <c r="CD115" s="235">
        <f t="shared" si="92"/>
        <v>7574</v>
      </c>
      <c r="CE115" s="209" t="str">
        <f>IF(CF115&gt;0,G115,"0")</f>
        <v>0</v>
      </c>
      <c r="CF115" s="235">
        <f t="shared" si="93"/>
        <v>0</v>
      </c>
      <c r="CG115" s="235">
        <f t="shared" si="94"/>
        <v>1</v>
      </c>
      <c r="CH115" s="235">
        <f t="shared" si="95"/>
        <v>7574</v>
      </c>
      <c r="CI115" s="156">
        <v>82</v>
      </c>
      <c r="CJ115" s="284" t="str">
        <f t="shared" si="114"/>
        <v>0</v>
      </c>
      <c r="CK115" s="284" t="str">
        <f t="shared" si="115"/>
        <v>0</v>
      </c>
      <c r="CL115" s="243">
        <f t="shared" si="116"/>
        <v>2.6157520332602791</v>
      </c>
      <c r="CM115" s="216" t="str">
        <f t="shared" si="117"/>
        <v>0</v>
      </c>
      <c r="CN115" s="216" t="str">
        <f t="shared" si="118"/>
        <v>0</v>
      </c>
      <c r="CO115" s="243">
        <f t="shared" si="119"/>
        <v>2.6157520332602791</v>
      </c>
      <c r="CP115" s="306">
        <v>1</v>
      </c>
      <c r="CQ115" s="306">
        <v>0</v>
      </c>
      <c r="CR115" s="306">
        <v>0</v>
      </c>
      <c r="CS115" s="306">
        <v>0</v>
      </c>
      <c r="CT115" s="306">
        <v>2</v>
      </c>
      <c r="CU115" s="306">
        <v>0</v>
      </c>
      <c r="CV115" s="306">
        <v>0</v>
      </c>
      <c r="CW115" s="306">
        <v>0</v>
      </c>
      <c r="CX115" s="306">
        <v>0</v>
      </c>
      <c r="CY115" s="306">
        <v>105</v>
      </c>
      <c r="CZ115" s="306">
        <f t="shared" si="96"/>
        <v>103</v>
      </c>
      <c r="DA115" s="306">
        <v>2</v>
      </c>
      <c r="DB115" s="306">
        <v>98</v>
      </c>
      <c r="DC115" s="306">
        <v>55</v>
      </c>
      <c r="DD115" s="306">
        <v>72</v>
      </c>
      <c r="DE115" s="306">
        <v>87</v>
      </c>
      <c r="DF115" s="306">
        <v>55</v>
      </c>
      <c r="DG115" s="306">
        <v>68</v>
      </c>
      <c r="DH115" s="306">
        <v>91</v>
      </c>
      <c r="DI115" s="306">
        <v>2</v>
      </c>
      <c r="DJ115" s="306">
        <v>1</v>
      </c>
      <c r="DK115" s="306">
        <v>4</v>
      </c>
      <c r="DL115" s="306">
        <v>1</v>
      </c>
      <c r="DM115" s="306">
        <v>1</v>
      </c>
      <c r="DN115" s="306">
        <v>4</v>
      </c>
      <c r="DO115" s="306">
        <v>1</v>
      </c>
      <c r="DP115" s="306">
        <v>105</v>
      </c>
      <c r="DQ115" s="306">
        <v>105</v>
      </c>
    </row>
    <row r="116" spans="1:126" x14ac:dyDescent="0.2">
      <c r="A116" s="27" t="s">
        <v>142</v>
      </c>
      <c r="B116" s="169">
        <v>110</v>
      </c>
      <c r="C116" s="12" t="s">
        <v>82</v>
      </c>
      <c r="D116" s="13">
        <v>1969</v>
      </c>
      <c r="E116" s="11"/>
      <c r="F116" s="169" t="s">
        <v>20</v>
      </c>
      <c r="G116" s="35">
        <v>1</v>
      </c>
      <c r="H116" s="45">
        <v>5</v>
      </c>
      <c r="I116" s="1" t="s">
        <v>22</v>
      </c>
      <c r="J116" s="122">
        <v>9087</v>
      </c>
      <c r="K116" s="122">
        <v>684</v>
      </c>
      <c r="L116" s="122">
        <v>790</v>
      </c>
      <c r="M116" s="122"/>
      <c r="N116" s="122">
        <v>59</v>
      </c>
      <c r="O116" s="122">
        <v>113</v>
      </c>
      <c r="P116" s="122">
        <v>59</v>
      </c>
      <c r="Q116" s="122">
        <v>121</v>
      </c>
      <c r="R116" s="180">
        <f>2562.04-0.02</f>
        <v>2562.02</v>
      </c>
      <c r="S116" s="121">
        <v>1750</v>
      </c>
      <c r="T116" s="122">
        <f t="shared" si="98"/>
        <v>52</v>
      </c>
      <c r="U116" s="180">
        <f t="shared" si="99"/>
        <v>2276.75</v>
      </c>
      <c r="V116" s="180">
        <f t="shared" si="100"/>
        <v>1561.72</v>
      </c>
      <c r="W116" s="122">
        <v>7</v>
      </c>
      <c r="X116" s="180">
        <v>285.27</v>
      </c>
      <c r="Y116" s="180">
        <v>188.28</v>
      </c>
      <c r="Z116" s="122"/>
      <c r="AA116" s="180"/>
      <c r="AB116" s="180"/>
      <c r="AC116" s="180">
        <f t="shared" si="101"/>
        <v>0</v>
      </c>
      <c r="AD116" s="179">
        <f t="shared" si="102"/>
        <v>0</v>
      </c>
      <c r="AE116" s="271"/>
      <c r="AF116" s="179"/>
      <c r="AG116" s="180"/>
      <c r="AH116" s="180"/>
      <c r="AI116" s="180">
        <f t="shared" si="103"/>
        <v>2562.02</v>
      </c>
      <c r="AJ116" s="122"/>
      <c r="AK116" s="122"/>
      <c r="AL116" s="122">
        <v>3</v>
      </c>
      <c r="AM116" s="122"/>
      <c r="AN116" s="122">
        <v>1</v>
      </c>
      <c r="AO116" s="122">
        <v>1</v>
      </c>
      <c r="AP116" s="122">
        <v>1819</v>
      </c>
      <c r="AQ116" s="35"/>
      <c r="AR116" s="122">
        <f>104+29+114</f>
        <v>247</v>
      </c>
      <c r="AS116" s="122">
        <v>210</v>
      </c>
      <c r="AT116" s="122">
        <v>38</v>
      </c>
      <c r="AU116" s="122">
        <f t="shared" si="90"/>
        <v>2193</v>
      </c>
      <c r="AV116" s="122"/>
      <c r="AW116" s="122">
        <v>2193</v>
      </c>
      <c r="AX116" s="122">
        <v>1425</v>
      </c>
      <c r="AY116" s="122">
        <v>104</v>
      </c>
      <c r="AZ116" s="122">
        <v>659</v>
      </c>
      <c r="BA116" s="122">
        <v>659</v>
      </c>
      <c r="BB116" s="122">
        <v>15</v>
      </c>
      <c r="BC116" s="122">
        <v>9</v>
      </c>
      <c r="BD116" s="122">
        <v>160</v>
      </c>
      <c r="BE116" s="122">
        <v>59</v>
      </c>
      <c r="BF116" s="122">
        <v>1</v>
      </c>
      <c r="BG116" s="122">
        <v>11274</v>
      </c>
      <c r="BH116" s="122">
        <v>219</v>
      </c>
      <c r="BI116" s="122"/>
      <c r="BJ116" s="115" t="str">
        <f t="shared" si="104"/>
        <v>0</v>
      </c>
      <c r="BK116" s="115" t="str">
        <f t="shared" si="105"/>
        <v>0</v>
      </c>
      <c r="BL116" s="115" t="str">
        <f t="shared" si="106"/>
        <v>0</v>
      </c>
      <c r="BM116" s="115">
        <f t="shared" si="107"/>
        <v>1</v>
      </c>
      <c r="BN116" s="115">
        <f t="shared" si="108"/>
        <v>2562.02</v>
      </c>
      <c r="BO116" s="115">
        <f t="shared" si="109"/>
        <v>1750</v>
      </c>
      <c r="BP116" s="115" t="str">
        <f t="shared" si="110"/>
        <v>0</v>
      </c>
      <c r="BQ116" s="115" t="str">
        <f t="shared" si="111"/>
        <v>0</v>
      </c>
      <c r="BR116" s="115" t="str">
        <f t="shared" si="112"/>
        <v>0</v>
      </c>
      <c r="BS116" s="115"/>
      <c r="BT116" s="115">
        <v>2</v>
      </c>
      <c r="BU116" s="122"/>
      <c r="BV116" s="115"/>
      <c r="BW116" s="115"/>
      <c r="BX116" s="115"/>
      <c r="BY116" s="275">
        <v>870.02</v>
      </c>
      <c r="BZ116" s="253">
        <v>211.52</v>
      </c>
      <c r="CA116" s="157">
        <v>1784</v>
      </c>
      <c r="CB116" s="275">
        <f t="shared" si="113"/>
        <v>1100</v>
      </c>
      <c r="CC116" s="209" t="str">
        <f t="shared" si="91"/>
        <v>0</v>
      </c>
      <c r="CD116" s="235">
        <f t="shared" si="92"/>
        <v>0</v>
      </c>
      <c r="CE116" s="209">
        <f>IF(CF116&gt;0,G116,"0")</f>
        <v>1</v>
      </c>
      <c r="CF116" s="235">
        <f t="shared" si="93"/>
        <v>2193</v>
      </c>
      <c r="CG116" s="235">
        <f t="shared" si="94"/>
        <v>1</v>
      </c>
      <c r="CH116" s="235">
        <f t="shared" si="95"/>
        <v>2193</v>
      </c>
      <c r="CI116" s="14">
        <v>50</v>
      </c>
      <c r="CJ116" s="284" t="str">
        <f t="shared" si="114"/>
        <v>0</v>
      </c>
      <c r="CK116" s="284" t="str">
        <f t="shared" si="115"/>
        <v>0</v>
      </c>
      <c r="CL116" s="243">
        <f t="shared" si="116"/>
        <v>11.134573500597185</v>
      </c>
      <c r="CM116" s="216" t="str">
        <f t="shared" si="117"/>
        <v>0</v>
      </c>
      <c r="CN116" s="216" t="str">
        <f t="shared" si="118"/>
        <v>0</v>
      </c>
      <c r="CO116" s="243">
        <f t="shared" si="119"/>
        <v>11.134573500597185</v>
      </c>
      <c r="CP116" s="305">
        <v>1</v>
      </c>
      <c r="CQ116" s="305">
        <v>0</v>
      </c>
      <c r="CR116" s="305">
        <v>0</v>
      </c>
      <c r="CS116" s="305">
        <v>0</v>
      </c>
      <c r="CT116" s="305">
        <v>1</v>
      </c>
      <c r="CU116" s="305">
        <v>0</v>
      </c>
      <c r="CV116" s="305">
        <v>0</v>
      </c>
      <c r="CW116" s="305">
        <v>0</v>
      </c>
      <c r="CX116" s="306">
        <v>0</v>
      </c>
      <c r="CY116" s="306">
        <v>59</v>
      </c>
      <c r="CZ116" s="306">
        <f t="shared" si="96"/>
        <v>52</v>
      </c>
      <c r="DA116" s="306">
        <v>7</v>
      </c>
      <c r="DB116" s="306">
        <v>34</v>
      </c>
      <c r="DC116" s="306">
        <v>27</v>
      </c>
      <c r="DD116" s="306">
        <v>31</v>
      </c>
      <c r="DE116" s="306">
        <v>28</v>
      </c>
      <c r="DF116" s="306">
        <v>27</v>
      </c>
      <c r="DG116" s="306">
        <v>32</v>
      </c>
      <c r="DH116" s="306">
        <v>27</v>
      </c>
      <c r="DI116" s="306">
        <v>5</v>
      </c>
      <c r="DJ116" s="306">
        <v>1</v>
      </c>
      <c r="DK116" s="306">
        <v>3</v>
      </c>
      <c r="DL116" s="306">
        <v>1</v>
      </c>
      <c r="DM116" s="306">
        <v>1</v>
      </c>
      <c r="DN116" s="306">
        <v>3</v>
      </c>
      <c r="DO116" s="306">
        <v>1</v>
      </c>
      <c r="DP116" s="306">
        <v>59</v>
      </c>
      <c r="DQ116" s="306">
        <v>59</v>
      </c>
      <c r="DR116" s="7"/>
      <c r="DS116" s="7"/>
      <c r="DT116" s="7"/>
      <c r="DU116" s="7"/>
      <c r="DV116" s="7"/>
    </row>
    <row r="117" spans="1:126" x14ac:dyDescent="0.2">
      <c r="A117" s="12" t="s">
        <v>142</v>
      </c>
      <c r="B117" s="169">
        <v>111</v>
      </c>
      <c r="C117" s="12" t="s">
        <v>83</v>
      </c>
      <c r="D117" s="13">
        <v>1973</v>
      </c>
      <c r="E117" s="11"/>
      <c r="F117" s="169" t="s">
        <v>196</v>
      </c>
      <c r="G117" s="35">
        <v>1</v>
      </c>
      <c r="H117" s="45">
        <v>5</v>
      </c>
      <c r="I117" s="1" t="s">
        <v>19</v>
      </c>
      <c r="J117" s="122">
        <v>20367</v>
      </c>
      <c r="K117" s="122">
        <v>1385</v>
      </c>
      <c r="L117" s="122">
        <v>1551</v>
      </c>
      <c r="M117" s="122"/>
      <c r="N117" s="122">
        <v>75</v>
      </c>
      <c r="O117" s="122">
        <v>156</v>
      </c>
      <c r="P117" s="122">
        <v>75</v>
      </c>
      <c r="Q117" s="122">
        <v>139</v>
      </c>
      <c r="R117" s="180">
        <f>4053.53-0.04</f>
        <v>4053.4900000000002</v>
      </c>
      <c r="S117" s="121">
        <f>2187.82</f>
        <v>2187.8200000000002</v>
      </c>
      <c r="T117" s="122">
        <f t="shared" si="98"/>
        <v>72</v>
      </c>
      <c r="U117" s="180">
        <f t="shared" si="99"/>
        <v>3880.69</v>
      </c>
      <c r="V117" s="180">
        <f t="shared" si="100"/>
        <v>2093.09</v>
      </c>
      <c r="W117" s="122">
        <v>3</v>
      </c>
      <c r="X117" s="180">
        <v>172.8</v>
      </c>
      <c r="Y117" s="180">
        <v>94.73</v>
      </c>
      <c r="Z117" s="122"/>
      <c r="AA117" s="180"/>
      <c r="AB117" s="180"/>
      <c r="AC117" s="180">
        <f t="shared" si="101"/>
        <v>54.7</v>
      </c>
      <c r="AD117" s="179">
        <f t="shared" si="102"/>
        <v>0</v>
      </c>
      <c r="AE117" s="271"/>
      <c r="AF117" s="179"/>
      <c r="AG117" s="180">
        <v>54.7</v>
      </c>
      <c r="AH117" s="180"/>
      <c r="AI117" s="180">
        <f t="shared" si="103"/>
        <v>4108.1900000000005</v>
      </c>
      <c r="AJ117" s="122"/>
      <c r="AK117" s="122"/>
      <c r="AL117" s="122">
        <v>4</v>
      </c>
      <c r="AM117" s="122">
        <v>4</v>
      </c>
      <c r="AN117" s="122">
        <v>1</v>
      </c>
      <c r="AO117" s="122">
        <v>1</v>
      </c>
      <c r="AP117" s="122">
        <v>3011</v>
      </c>
      <c r="AQ117" s="35"/>
      <c r="AR117" s="122">
        <f>154+77+234</f>
        <v>465</v>
      </c>
      <c r="AS117" s="122">
        <v>185</v>
      </c>
      <c r="AT117" s="122">
        <v>140</v>
      </c>
      <c r="AU117" s="122">
        <f t="shared" ref="AU117:AU148" si="120">AV117+AW117</f>
        <v>5292</v>
      </c>
      <c r="AV117" s="122"/>
      <c r="AW117" s="122">
        <v>5292</v>
      </c>
      <c r="AX117" s="122"/>
      <c r="AY117" s="122">
        <v>259</v>
      </c>
      <c r="AZ117" s="122">
        <v>1334</v>
      </c>
      <c r="BA117" s="122">
        <v>1334</v>
      </c>
      <c r="BB117" s="122">
        <v>20</v>
      </c>
      <c r="BC117" s="122">
        <v>17</v>
      </c>
      <c r="BD117" s="122">
        <v>220</v>
      </c>
      <c r="BE117" s="122">
        <v>76</v>
      </c>
      <c r="BF117" s="122">
        <v>1</v>
      </c>
      <c r="BG117" s="122">
        <v>16472</v>
      </c>
      <c r="BH117" s="122">
        <v>1260</v>
      </c>
      <c r="BI117" s="122"/>
      <c r="BJ117" s="115">
        <f t="shared" si="104"/>
        <v>1</v>
      </c>
      <c r="BK117" s="115">
        <f t="shared" si="105"/>
        <v>4053.4900000000002</v>
      </c>
      <c r="BL117" s="115">
        <f t="shared" si="106"/>
        <v>2187.8200000000002</v>
      </c>
      <c r="BM117" s="115" t="str">
        <f t="shared" si="107"/>
        <v>0</v>
      </c>
      <c r="BN117" s="115" t="str">
        <f t="shared" si="108"/>
        <v>0</v>
      </c>
      <c r="BO117" s="115" t="str">
        <f t="shared" si="109"/>
        <v>0</v>
      </c>
      <c r="BP117" s="115" t="str">
        <f t="shared" si="110"/>
        <v>0</v>
      </c>
      <c r="BQ117" s="115" t="str">
        <f t="shared" si="111"/>
        <v>0</v>
      </c>
      <c r="BR117" s="115" t="str">
        <f t="shared" si="112"/>
        <v>0</v>
      </c>
      <c r="BS117" s="115"/>
      <c r="BT117" s="115">
        <v>2</v>
      </c>
      <c r="BU117" s="122">
        <v>1334</v>
      </c>
      <c r="BV117" s="115">
        <v>456</v>
      </c>
      <c r="BW117" s="115"/>
      <c r="BX117" s="115">
        <f>AP117</f>
        <v>3011</v>
      </c>
      <c r="BY117" s="275">
        <v>2200.63</v>
      </c>
      <c r="BZ117" s="253">
        <v>764.17</v>
      </c>
      <c r="CA117" s="157">
        <v>3358</v>
      </c>
      <c r="CB117" s="275">
        <f t="shared" si="113"/>
        <v>1973</v>
      </c>
      <c r="CC117" s="209" t="str">
        <f t="shared" ref="CC117:CC148" si="121">IF(CD117&gt;0,G117,"0")</f>
        <v>0</v>
      </c>
      <c r="CD117" s="235">
        <f t="shared" ref="CD117:CD148" si="122">AV117</f>
        <v>0</v>
      </c>
      <c r="CE117" s="209">
        <f>IF(CF117&gt;0,G117,"0")</f>
        <v>1</v>
      </c>
      <c r="CF117" s="235">
        <f t="shared" ref="CF117:CF148" si="123">AW117</f>
        <v>5292</v>
      </c>
      <c r="CG117" s="235">
        <f t="shared" ref="CG117:CG148" si="124">CC117+CE117</f>
        <v>1</v>
      </c>
      <c r="CH117" s="235">
        <f t="shared" ref="CH117:CH148" si="125">CD117+CF117</f>
        <v>5292</v>
      </c>
      <c r="CI117" s="14">
        <v>47</v>
      </c>
      <c r="CJ117" s="284" t="str">
        <f t="shared" si="114"/>
        <v>0</v>
      </c>
      <c r="CK117" s="284" t="str">
        <f t="shared" si="115"/>
        <v>0</v>
      </c>
      <c r="CL117" s="243">
        <f t="shared" si="116"/>
        <v>4.2629931244433807</v>
      </c>
      <c r="CM117" s="216" t="str">
        <f t="shared" si="117"/>
        <v>0</v>
      </c>
      <c r="CN117" s="216" t="str">
        <f t="shared" si="118"/>
        <v>0</v>
      </c>
      <c r="CO117" s="243">
        <f t="shared" si="119"/>
        <v>4.2062319415606382</v>
      </c>
      <c r="CP117" s="305">
        <v>1</v>
      </c>
      <c r="CQ117" s="305">
        <v>0</v>
      </c>
      <c r="CR117" s="305">
        <v>0</v>
      </c>
      <c r="CS117" s="305">
        <v>0</v>
      </c>
      <c r="CT117" s="305">
        <v>1</v>
      </c>
      <c r="CU117" s="305">
        <v>0</v>
      </c>
      <c r="CV117" s="305">
        <v>0</v>
      </c>
      <c r="CW117" s="305">
        <v>0</v>
      </c>
      <c r="CX117" s="306">
        <v>0</v>
      </c>
      <c r="CY117" s="306">
        <v>76</v>
      </c>
      <c r="CZ117" s="306">
        <f t="shared" ref="CZ117:CZ148" si="126">CY117-DA117</f>
        <v>70</v>
      </c>
      <c r="DA117" s="306">
        <v>6</v>
      </c>
      <c r="DB117" s="306">
        <v>55</v>
      </c>
      <c r="DC117" s="306">
        <v>38</v>
      </c>
      <c r="DD117" s="306">
        <v>75</v>
      </c>
      <c r="DE117" s="306">
        <v>75</v>
      </c>
      <c r="DF117" s="306">
        <v>38</v>
      </c>
      <c r="DG117" s="306">
        <v>75</v>
      </c>
      <c r="DH117" s="306">
        <v>75</v>
      </c>
      <c r="DI117" s="306">
        <v>2</v>
      </c>
      <c r="DJ117" s="306">
        <v>1</v>
      </c>
      <c r="DK117" s="306">
        <v>8</v>
      </c>
      <c r="DL117" s="306">
        <v>2</v>
      </c>
      <c r="DM117" s="306">
        <v>1</v>
      </c>
      <c r="DN117" s="306">
        <v>8</v>
      </c>
      <c r="DO117" s="306">
        <v>2</v>
      </c>
      <c r="DP117" s="306">
        <v>76</v>
      </c>
      <c r="DQ117" s="306">
        <v>76</v>
      </c>
      <c r="DR117" s="7"/>
      <c r="DS117" s="7"/>
      <c r="DT117" s="7"/>
      <c r="DU117" s="7"/>
      <c r="DV117" s="7"/>
    </row>
    <row r="118" spans="1:126" x14ac:dyDescent="0.2">
      <c r="A118" s="27" t="s">
        <v>142</v>
      </c>
      <c r="B118" s="169">
        <v>112</v>
      </c>
      <c r="C118" s="12" t="s">
        <v>84</v>
      </c>
      <c r="D118" s="13">
        <v>1977</v>
      </c>
      <c r="E118" s="11"/>
      <c r="F118" s="169" t="s">
        <v>21</v>
      </c>
      <c r="G118" s="35">
        <v>1</v>
      </c>
      <c r="H118" s="45">
        <v>9</v>
      </c>
      <c r="I118" s="1" t="s">
        <v>19</v>
      </c>
      <c r="J118" s="122">
        <v>20185</v>
      </c>
      <c r="K118" s="122">
        <v>972</v>
      </c>
      <c r="L118" s="122">
        <v>728</v>
      </c>
      <c r="M118" s="122">
        <v>210</v>
      </c>
      <c r="N118" s="122">
        <v>64</v>
      </c>
      <c r="O118" s="122">
        <v>144</v>
      </c>
      <c r="P118" s="122">
        <v>64</v>
      </c>
      <c r="Q118" s="122">
        <v>145</v>
      </c>
      <c r="R118" s="180">
        <v>3279.44</v>
      </c>
      <c r="S118" s="121">
        <v>1899</v>
      </c>
      <c r="T118" s="122">
        <f t="shared" si="98"/>
        <v>62</v>
      </c>
      <c r="U118" s="180">
        <f t="shared" si="99"/>
        <v>3171.54</v>
      </c>
      <c r="V118" s="180">
        <f t="shared" si="100"/>
        <v>1837.06</v>
      </c>
      <c r="W118" s="122">
        <v>2</v>
      </c>
      <c r="X118" s="180">
        <v>107.9</v>
      </c>
      <c r="Y118" s="180">
        <v>61.94</v>
      </c>
      <c r="Z118" s="122"/>
      <c r="AA118" s="180"/>
      <c r="AB118" s="180"/>
      <c r="AC118" s="180">
        <f t="shared" si="101"/>
        <v>534.1</v>
      </c>
      <c r="AD118" s="179">
        <f t="shared" si="102"/>
        <v>534.1</v>
      </c>
      <c r="AE118" s="271"/>
      <c r="AF118" s="179">
        <f>533.21+0.89</f>
        <v>534.1</v>
      </c>
      <c r="AG118" s="180"/>
      <c r="AH118" s="180"/>
      <c r="AI118" s="180">
        <f t="shared" si="103"/>
        <v>3813.54</v>
      </c>
      <c r="AJ118" s="122"/>
      <c r="AK118" s="122">
        <v>2</v>
      </c>
      <c r="AL118" s="122">
        <v>2</v>
      </c>
      <c r="AM118" s="122">
        <v>2</v>
      </c>
      <c r="AN118" s="122"/>
      <c r="AO118" s="122">
        <v>1</v>
      </c>
      <c r="AP118" s="122">
        <v>3651</v>
      </c>
      <c r="AQ118" s="35"/>
      <c r="AR118" s="122">
        <f>158+79+105</f>
        <v>342</v>
      </c>
      <c r="AS118" s="122">
        <v>197</v>
      </c>
      <c r="AT118" s="122">
        <v>100</v>
      </c>
      <c r="AU118" s="122">
        <f t="shared" si="120"/>
        <v>4386</v>
      </c>
      <c r="AV118" s="122">
        <v>3555</v>
      </c>
      <c r="AW118" s="122">
        <v>831</v>
      </c>
      <c r="AX118" s="122"/>
      <c r="AY118" s="122">
        <v>208</v>
      </c>
      <c r="AZ118" s="122">
        <v>894</v>
      </c>
      <c r="BA118" s="122">
        <v>894</v>
      </c>
      <c r="BB118" s="122">
        <v>10</v>
      </c>
      <c r="BC118" s="122">
        <v>11</v>
      </c>
      <c r="BD118" s="122">
        <v>216</v>
      </c>
      <c r="BE118" s="122">
        <v>64</v>
      </c>
      <c r="BF118" s="122">
        <v>1</v>
      </c>
      <c r="BG118" s="122">
        <v>14825</v>
      </c>
      <c r="BH118" s="122">
        <v>1134</v>
      </c>
      <c r="BI118" s="122">
        <v>294</v>
      </c>
      <c r="BJ118" s="115">
        <f t="shared" si="104"/>
        <v>1</v>
      </c>
      <c r="BK118" s="115">
        <f t="shared" si="105"/>
        <v>3279.44</v>
      </c>
      <c r="BL118" s="115">
        <f t="shared" si="106"/>
        <v>1899</v>
      </c>
      <c r="BM118" s="115" t="str">
        <f t="shared" si="107"/>
        <v>0</v>
      </c>
      <c r="BN118" s="115" t="str">
        <f t="shared" si="108"/>
        <v>0</v>
      </c>
      <c r="BO118" s="115" t="str">
        <f t="shared" si="109"/>
        <v>0</v>
      </c>
      <c r="BP118" s="115" t="str">
        <f t="shared" si="110"/>
        <v>0</v>
      </c>
      <c r="BQ118" s="115" t="str">
        <f t="shared" si="111"/>
        <v>0</v>
      </c>
      <c r="BR118" s="115" t="str">
        <f t="shared" si="112"/>
        <v>0</v>
      </c>
      <c r="BS118" s="115">
        <v>1</v>
      </c>
      <c r="BT118" s="115"/>
      <c r="BU118" s="122">
        <v>894</v>
      </c>
      <c r="BV118" s="115">
        <v>189</v>
      </c>
      <c r="BW118" s="115"/>
      <c r="BX118" s="115">
        <f>AP118</f>
        <v>3651</v>
      </c>
      <c r="BY118" s="275">
        <v>1625.14</v>
      </c>
      <c r="BZ118" s="253">
        <v>680.82</v>
      </c>
      <c r="CA118" s="157">
        <v>1477</v>
      </c>
      <c r="CB118" s="275">
        <f t="shared" si="113"/>
        <v>505</v>
      </c>
      <c r="CC118" s="209">
        <f t="shared" si="121"/>
        <v>1</v>
      </c>
      <c r="CD118" s="235">
        <f t="shared" si="122"/>
        <v>3555</v>
      </c>
      <c r="CE118" s="209"/>
      <c r="CF118" s="235">
        <f t="shared" si="123"/>
        <v>831</v>
      </c>
      <c r="CG118" s="235">
        <f t="shared" si="124"/>
        <v>1</v>
      </c>
      <c r="CH118" s="235">
        <f t="shared" si="125"/>
        <v>4386</v>
      </c>
      <c r="CI118" s="14">
        <v>63</v>
      </c>
      <c r="CJ118" s="284" t="str">
        <f t="shared" si="114"/>
        <v>0</v>
      </c>
      <c r="CK118" s="284" t="str">
        <f t="shared" si="115"/>
        <v>0</v>
      </c>
      <c r="CL118" s="243">
        <f t="shared" si="116"/>
        <v>3.290195887102676</v>
      </c>
      <c r="CM118" s="216" t="str">
        <f t="shared" si="117"/>
        <v>0</v>
      </c>
      <c r="CN118" s="216" t="str">
        <f t="shared" si="118"/>
        <v>0</v>
      </c>
      <c r="CO118" s="243">
        <f t="shared" si="119"/>
        <v>16.834751962743276</v>
      </c>
      <c r="CP118" s="305">
        <v>1</v>
      </c>
      <c r="CQ118" s="305">
        <v>0</v>
      </c>
      <c r="CR118" s="305">
        <v>0</v>
      </c>
      <c r="CS118" s="305">
        <v>0</v>
      </c>
      <c r="CT118" s="305">
        <v>2</v>
      </c>
      <c r="CU118" s="305">
        <v>0</v>
      </c>
      <c r="CV118" s="305">
        <v>0</v>
      </c>
      <c r="CW118" s="305">
        <v>0</v>
      </c>
      <c r="CX118" s="306">
        <v>0</v>
      </c>
      <c r="CY118" s="306">
        <v>64</v>
      </c>
      <c r="CZ118" s="306">
        <f t="shared" si="126"/>
        <v>61</v>
      </c>
      <c r="DA118" s="306">
        <v>3</v>
      </c>
      <c r="DB118" s="306">
        <v>45</v>
      </c>
      <c r="DC118" s="306">
        <v>29</v>
      </c>
      <c r="DD118" s="306">
        <v>46</v>
      </c>
      <c r="DE118" s="306">
        <v>50</v>
      </c>
      <c r="DF118" s="306">
        <v>30</v>
      </c>
      <c r="DG118" s="306">
        <v>45</v>
      </c>
      <c r="DH118" s="306">
        <v>51</v>
      </c>
      <c r="DI118" s="306">
        <v>0</v>
      </c>
      <c r="DJ118" s="306">
        <v>0</v>
      </c>
      <c r="DK118" s="306">
        <v>4</v>
      </c>
      <c r="DL118" s="306">
        <v>0</v>
      </c>
      <c r="DM118" s="306">
        <v>0</v>
      </c>
      <c r="DN118" s="306">
        <v>4</v>
      </c>
      <c r="DO118" s="306">
        <v>0</v>
      </c>
      <c r="DP118" s="306">
        <v>64</v>
      </c>
      <c r="DQ118" s="306">
        <v>64</v>
      </c>
      <c r="DR118" s="7"/>
      <c r="DS118" s="7"/>
      <c r="DT118" s="7"/>
      <c r="DU118" s="7"/>
      <c r="DV118" s="7"/>
    </row>
    <row r="119" spans="1:126" s="210" customFormat="1" x14ac:dyDescent="0.2">
      <c r="A119" s="12" t="s">
        <v>142</v>
      </c>
      <c r="B119" s="169">
        <v>113</v>
      </c>
      <c r="C119" s="12" t="s">
        <v>184</v>
      </c>
      <c r="D119" s="13">
        <v>1986</v>
      </c>
      <c r="E119" s="11"/>
      <c r="F119" s="169" t="s">
        <v>24</v>
      </c>
      <c r="G119" s="35">
        <v>1</v>
      </c>
      <c r="H119" s="45">
        <v>9</v>
      </c>
      <c r="I119" s="1" t="s">
        <v>22</v>
      </c>
      <c r="J119" s="122">
        <v>10353</v>
      </c>
      <c r="K119" s="122">
        <v>415</v>
      </c>
      <c r="L119" s="122"/>
      <c r="M119" s="122">
        <v>375</v>
      </c>
      <c r="N119" s="122">
        <v>32</v>
      </c>
      <c r="O119" s="122">
        <v>96</v>
      </c>
      <c r="P119" s="122">
        <v>32</v>
      </c>
      <c r="Q119" s="122">
        <v>79</v>
      </c>
      <c r="R119" s="180">
        <v>2109.1999999999998</v>
      </c>
      <c r="S119" s="121">
        <v>1346.7</v>
      </c>
      <c r="T119" s="122">
        <f t="shared" si="98"/>
        <v>28</v>
      </c>
      <c r="U119" s="180">
        <f t="shared" si="99"/>
        <v>1844.6</v>
      </c>
      <c r="V119" s="180">
        <f t="shared" si="100"/>
        <v>1178.2</v>
      </c>
      <c r="W119" s="122">
        <v>4</v>
      </c>
      <c r="X119" s="180">
        <v>264.60000000000002</v>
      </c>
      <c r="Y119" s="180">
        <v>168.5</v>
      </c>
      <c r="Z119" s="122"/>
      <c r="AA119" s="180"/>
      <c r="AB119" s="180"/>
      <c r="AC119" s="180">
        <f t="shared" si="101"/>
        <v>241.2</v>
      </c>
      <c r="AD119" s="179">
        <f t="shared" si="102"/>
        <v>241.2</v>
      </c>
      <c r="AE119" s="271"/>
      <c r="AF119" s="179">
        <v>241.2</v>
      </c>
      <c r="AG119" s="180"/>
      <c r="AH119" s="180"/>
      <c r="AI119" s="180">
        <f t="shared" si="103"/>
        <v>2350.3999999999996</v>
      </c>
      <c r="AJ119" s="122"/>
      <c r="AK119" s="122">
        <v>1</v>
      </c>
      <c r="AL119" s="122">
        <v>1</v>
      </c>
      <c r="AM119" s="122">
        <v>1</v>
      </c>
      <c r="AN119" s="122"/>
      <c r="AO119" s="122">
        <v>1</v>
      </c>
      <c r="AP119" s="122">
        <v>2163</v>
      </c>
      <c r="AQ119" s="35"/>
      <c r="AR119" s="122">
        <f>101+51+44</f>
        <v>196</v>
      </c>
      <c r="AS119" s="122">
        <v>94</v>
      </c>
      <c r="AT119" s="122">
        <v>54</v>
      </c>
      <c r="AU119" s="122">
        <f t="shared" si="120"/>
        <v>2578</v>
      </c>
      <c r="AV119" s="122">
        <v>2371</v>
      </c>
      <c r="AW119" s="122">
        <v>207</v>
      </c>
      <c r="AX119" s="122">
        <v>1210</v>
      </c>
      <c r="AY119" s="122">
        <v>91</v>
      </c>
      <c r="AZ119" s="122">
        <v>375</v>
      </c>
      <c r="BA119" s="122">
        <v>375</v>
      </c>
      <c r="BB119" s="122">
        <v>18</v>
      </c>
      <c r="BC119" s="122">
        <v>24</v>
      </c>
      <c r="BD119" s="122">
        <v>142</v>
      </c>
      <c r="BE119" s="122">
        <v>32</v>
      </c>
      <c r="BF119" s="122">
        <v>1</v>
      </c>
      <c r="BG119" s="122">
        <v>5794</v>
      </c>
      <c r="BH119" s="122">
        <v>369</v>
      </c>
      <c r="BI119" s="122">
        <v>132</v>
      </c>
      <c r="BJ119" s="115" t="str">
        <f t="shared" si="104"/>
        <v>0</v>
      </c>
      <c r="BK119" s="115" t="str">
        <f t="shared" si="105"/>
        <v>0</v>
      </c>
      <c r="BL119" s="115" t="str">
        <f t="shared" si="106"/>
        <v>0</v>
      </c>
      <c r="BM119" s="115">
        <f t="shared" si="107"/>
        <v>1</v>
      </c>
      <c r="BN119" s="115">
        <f t="shared" si="108"/>
        <v>2109.1999999999998</v>
      </c>
      <c r="BO119" s="115">
        <f t="shared" si="109"/>
        <v>1346.7</v>
      </c>
      <c r="BP119" s="115" t="str">
        <f t="shared" si="110"/>
        <v>0</v>
      </c>
      <c r="BQ119" s="115" t="str">
        <f t="shared" si="111"/>
        <v>0</v>
      </c>
      <c r="BR119" s="115" t="str">
        <f t="shared" si="112"/>
        <v>0</v>
      </c>
      <c r="BS119" s="115"/>
      <c r="BT119" s="115">
        <v>1</v>
      </c>
      <c r="BU119" s="122">
        <v>375</v>
      </c>
      <c r="BV119" s="115">
        <v>27</v>
      </c>
      <c r="BW119" s="115"/>
      <c r="BX119" s="115"/>
      <c r="BY119" s="275">
        <v>815.2</v>
      </c>
      <c r="BZ119" s="253">
        <v>386.7</v>
      </c>
      <c r="CA119" s="157">
        <v>814</v>
      </c>
      <c r="CB119" s="275">
        <f t="shared" si="113"/>
        <v>399</v>
      </c>
      <c r="CC119" s="209">
        <f t="shared" si="121"/>
        <v>1</v>
      </c>
      <c r="CD119" s="235">
        <f t="shared" si="122"/>
        <v>2371</v>
      </c>
      <c r="CE119" s="209"/>
      <c r="CF119" s="235">
        <f t="shared" si="123"/>
        <v>207</v>
      </c>
      <c r="CG119" s="235">
        <f t="shared" si="124"/>
        <v>1</v>
      </c>
      <c r="CH119" s="235">
        <f t="shared" si="125"/>
        <v>2578</v>
      </c>
      <c r="CI119" s="14">
        <v>51</v>
      </c>
      <c r="CJ119" s="284" t="str">
        <f t="shared" si="114"/>
        <v>0</v>
      </c>
      <c r="CK119" s="284" t="str">
        <f t="shared" si="115"/>
        <v>0</v>
      </c>
      <c r="CL119" s="243">
        <f t="shared" si="116"/>
        <v>12.545040773753083</v>
      </c>
      <c r="CM119" s="216" t="str">
        <f t="shared" si="117"/>
        <v>0</v>
      </c>
      <c r="CN119" s="216" t="str">
        <f t="shared" si="118"/>
        <v>0</v>
      </c>
      <c r="CO119" s="243">
        <f t="shared" si="119"/>
        <v>21.519741320626277</v>
      </c>
      <c r="CP119" s="305">
        <v>1</v>
      </c>
      <c r="CQ119" s="305">
        <v>0</v>
      </c>
      <c r="CR119" s="305">
        <v>0</v>
      </c>
      <c r="CS119" s="305">
        <v>0</v>
      </c>
      <c r="CT119" s="305">
        <v>2</v>
      </c>
      <c r="CU119" s="305">
        <v>0</v>
      </c>
      <c r="CV119" s="305">
        <v>0</v>
      </c>
      <c r="CW119" s="305">
        <v>0</v>
      </c>
      <c r="CX119" s="306">
        <v>0</v>
      </c>
      <c r="CY119" s="306">
        <v>32</v>
      </c>
      <c r="CZ119" s="306">
        <f t="shared" si="126"/>
        <v>28</v>
      </c>
      <c r="DA119" s="306">
        <v>4</v>
      </c>
      <c r="DB119" s="306">
        <v>24</v>
      </c>
      <c r="DC119" s="306">
        <v>14</v>
      </c>
      <c r="DD119" s="306">
        <v>18</v>
      </c>
      <c r="DE119" s="306">
        <v>14</v>
      </c>
      <c r="DF119" s="306">
        <v>14</v>
      </c>
      <c r="DG119" s="306">
        <v>18</v>
      </c>
      <c r="DH119" s="306">
        <v>14</v>
      </c>
      <c r="DI119" s="306">
        <v>2</v>
      </c>
      <c r="DJ119" s="306">
        <v>2</v>
      </c>
      <c r="DK119" s="306">
        <v>0</v>
      </c>
      <c r="DL119" s="306">
        <v>2</v>
      </c>
      <c r="DM119" s="306">
        <v>2</v>
      </c>
      <c r="DN119" s="306">
        <v>0</v>
      </c>
      <c r="DO119" s="306">
        <v>2</v>
      </c>
      <c r="DP119" s="306">
        <v>32</v>
      </c>
      <c r="DQ119" s="306">
        <v>32</v>
      </c>
      <c r="DR119" s="7"/>
      <c r="DS119" s="7"/>
      <c r="DT119" s="7"/>
      <c r="DU119" s="7"/>
      <c r="DV119" s="7"/>
    </row>
    <row r="120" spans="1:126" s="210" customFormat="1" x14ac:dyDescent="0.2">
      <c r="A120" s="12" t="s">
        <v>142</v>
      </c>
      <c r="B120" s="169">
        <v>114</v>
      </c>
      <c r="C120" s="12" t="s">
        <v>171</v>
      </c>
      <c r="D120" s="13">
        <v>1960</v>
      </c>
      <c r="E120" s="11"/>
      <c r="F120" s="169" t="s">
        <v>13</v>
      </c>
      <c r="G120" s="35">
        <v>1</v>
      </c>
      <c r="H120" s="45">
        <v>5</v>
      </c>
      <c r="I120" s="1" t="s">
        <v>19</v>
      </c>
      <c r="J120" s="122">
        <f>12592+9922+6411+6399</f>
        <v>35324</v>
      </c>
      <c r="K120" s="116">
        <v>2538</v>
      </c>
      <c r="L120" s="122">
        <f>1081+835+561+545</f>
        <v>3022</v>
      </c>
      <c r="M120" s="122"/>
      <c r="N120" s="122">
        <v>215</v>
      </c>
      <c r="O120" s="122">
        <v>391</v>
      </c>
      <c r="P120" s="122">
        <v>216</v>
      </c>
      <c r="Q120" s="122">
        <v>368</v>
      </c>
      <c r="R120" s="180">
        <f>8798.28+0.07-0.02</f>
        <v>8798.33</v>
      </c>
      <c r="S120" s="121">
        <v>5401.67</v>
      </c>
      <c r="T120" s="122">
        <f t="shared" si="98"/>
        <v>188</v>
      </c>
      <c r="U120" s="180">
        <f t="shared" si="99"/>
        <v>7675.55</v>
      </c>
      <c r="V120" s="180">
        <f t="shared" si="100"/>
        <v>4716.7700000000004</v>
      </c>
      <c r="W120" s="122">
        <v>27</v>
      </c>
      <c r="X120" s="180">
        <v>1122.78</v>
      </c>
      <c r="Y120" s="180">
        <v>684.9</v>
      </c>
      <c r="Z120" s="122"/>
      <c r="AA120" s="180"/>
      <c r="AB120" s="180"/>
      <c r="AC120" s="180">
        <f t="shared" si="101"/>
        <v>104.1</v>
      </c>
      <c r="AD120" s="179">
        <f t="shared" si="102"/>
        <v>0</v>
      </c>
      <c r="AE120" s="271"/>
      <c r="AF120" s="179"/>
      <c r="AG120" s="180">
        <v>104.1</v>
      </c>
      <c r="AH120" s="180"/>
      <c r="AI120" s="180">
        <f t="shared" si="103"/>
        <v>8902.43</v>
      </c>
      <c r="AJ120" s="122"/>
      <c r="AK120" s="122"/>
      <c r="AL120" s="122">
        <f>4+3+2+2</f>
        <v>11</v>
      </c>
      <c r="AM120" s="122"/>
      <c r="AN120" s="122"/>
      <c r="AO120" s="122">
        <f>1+1</f>
        <v>2</v>
      </c>
      <c r="AP120" s="122">
        <f>2320+1905+1386+1357</f>
        <v>6968</v>
      </c>
      <c r="AQ120" s="35"/>
      <c r="AR120" s="122">
        <f>276+317+116+116</f>
        <v>825</v>
      </c>
      <c r="AS120" s="122">
        <f>276+183+145+80</f>
        <v>684</v>
      </c>
      <c r="AT120" s="122">
        <f>51+38+26+26</f>
        <v>141</v>
      </c>
      <c r="AU120" s="122">
        <f t="shared" si="120"/>
        <v>8454</v>
      </c>
      <c r="AV120" s="122"/>
      <c r="AW120" s="122">
        <f>3073+2305+1538+1538</f>
        <v>8454</v>
      </c>
      <c r="AX120" s="122"/>
      <c r="AY120" s="122">
        <f>202+166+108+107</f>
        <v>583</v>
      </c>
      <c r="AZ120" s="122">
        <f>886+699+452+451</f>
        <v>2488</v>
      </c>
      <c r="BA120" s="122">
        <f>886+699+452+451</f>
        <v>2488</v>
      </c>
      <c r="BB120" s="122">
        <f>20+15+10+10</f>
        <v>55</v>
      </c>
      <c r="BC120" s="122">
        <f>12+9+6+6</f>
        <v>33</v>
      </c>
      <c r="BD120" s="122">
        <f>220+175+110+110</f>
        <v>615</v>
      </c>
      <c r="BE120" s="122">
        <f>79+59+40+40</f>
        <v>218</v>
      </c>
      <c r="BF120" s="122">
        <f>4+3+2+2</f>
        <v>11</v>
      </c>
      <c r="BG120" s="122">
        <f>14872+11154+7436+7436</f>
        <v>40898</v>
      </c>
      <c r="BH120" s="122">
        <f>492+369+246+246</f>
        <v>1353</v>
      </c>
      <c r="BI120" s="122"/>
      <c r="BJ120" s="115">
        <f t="shared" si="104"/>
        <v>1</v>
      </c>
      <c r="BK120" s="115">
        <f t="shared" si="105"/>
        <v>8798.33</v>
      </c>
      <c r="BL120" s="115">
        <f t="shared" si="106"/>
        <v>5401.67</v>
      </c>
      <c r="BM120" s="115" t="str">
        <f t="shared" si="107"/>
        <v>0</v>
      </c>
      <c r="BN120" s="115" t="str">
        <f t="shared" si="108"/>
        <v>0</v>
      </c>
      <c r="BO120" s="115" t="str">
        <f t="shared" si="109"/>
        <v>0</v>
      </c>
      <c r="BP120" s="115" t="str">
        <f t="shared" si="110"/>
        <v>0</v>
      </c>
      <c r="BQ120" s="115" t="str">
        <f t="shared" si="111"/>
        <v>0</v>
      </c>
      <c r="BR120" s="115" t="str">
        <f t="shared" si="112"/>
        <v>0</v>
      </c>
      <c r="BS120" s="115"/>
      <c r="BT120" s="115">
        <f>2+1+1+1</f>
        <v>5</v>
      </c>
      <c r="BU120" s="122"/>
      <c r="BV120" s="115"/>
      <c r="BW120" s="115"/>
      <c r="BX120" s="115">
        <f>AP120</f>
        <v>6968</v>
      </c>
      <c r="BY120" s="275">
        <v>3173.31</v>
      </c>
      <c r="BZ120" s="253">
        <v>676.08</v>
      </c>
      <c r="CA120" s="157">
        <f>2581+2070+1324+1329</f>
        <v>7304</v>
      </c>
      <c r="CB120" s="275">
        <f t="shared" si="113"/>
        <v>4766</v>
      </c>
      <c r="CC120" s="209" t="str">
        <f t="shared" si="121"/>
        <v>0</v>
      </c>
      <c r="CD120" s="235">
        <f t="shared" si="122"/>
        <v>0</v>
      </c>
      <c r="CE120" s="209">
        <f t="shared" ref="CE120:CE151" si="127">IF(CF120&gt;0,G120,"0")</f>
        <v>1</v>
      </c>
      <c r="CF120" s="235">
        <f t="shared" si="123"/>
        <v>8454</v>
      </c>
      <c r="CG120" s="235">
        <f t="shared" si="124"/>
        <v>1</v>
      </c>
      <c r="CH120" s="235">
        <f t="shared" si="125"/>
        <v>8454</v>
      </c>
      <c r="CI120" s="14">
        <v>47</v>
      </c>
      <c r="CJ120" s="284" t="str">
        <f t="shared" si="114"/>
        <v>0</v>
      </c>
      <c r="CK120" s="284" t="str">
        <f t="shared" si="115"/>
        <v>0</v>
      </c>
      <c r="CL120" s="243">
        <f t="shared" si="116"/>
        <v>12.76128538029376</v>
      </c>
      <c r="CM120" s="216" t="str">
        <f t="shared" si="117"/>
        <v>0</v>
      </c>
      <c r="CN120" s="216" t="str">
        <f t="shared" si="118"/>
        <v>0</v>
      </c>
      <c r="CO120" s="243">
        <f t="shared" si="119"/>
        <v>12.612062099898566</v>
      </c>
      <c r="CP120" s="305">
        <v>1</v>
      </c>
      <c r="CQ120" s="305">
        <v>0</v>
      </c>
      <c r="CR120" s="305">
        <v>0</v>
      </c>
      <c r="CS120" s="305">
        <v>0</v>
      </c>
      <c r="CT120" s="305">
        <v>4</v>
      </c>
      <c r="CU120" s="305">
        <v>0</v>
      </c>
      <c r="CV120" s="305">
        <v>0</v>
      </c>
      <c r="CW120" s="305">
        <v>0</v>
      </c>
      <c r="CX120" s="306">
        <v>0</v>
      </c>
      <c r="CY120" s="306">
        <v>215</v>
      </c>
      <c r="CZ120" s="306">
        <f t="shared" si="126"/>
        <v>184</v>
      </c>
      <c r="DA120" s="306">
        <v>31</v>
      </c>
      <c r="DB120" s="306">
        <v>130</v>
      </c>
      <c r="DC120" s="306">
        <v>86</v>
      </c>
      <c r="DD120" s="306">
        <v>129</v>
      </c>
      <c r="DE120" s="306">
        <v>86</v>
      </c>
      <c r="DF120" s="306">
        <v>86</v>
      </c>
      <c r="DG120" s="306">
        <v>128</v>
      </c>
      <c r="DH120" s="306">
        <v>87</v>
      </c>
      <c r="DI120" s="306">
        <v>12</v>
      </c>
      <c r="DJ120" s="306">
        <v>12</v>
      </c>
      <c r="DK120" s="306">
        <v>16</v>
      </c>
      <c r="DL120" s="306">
        <v>12</v>
      </c>
      <c r="DM120" s="306">
        <v>12</v>
      </c>
      <c r="DN120" s="306">
        <v>16</v>
      </c>
      <c r="DO120" s="306">
        <v>12</v>
      </c>
      <c r="DP120" s="306">
        <v>215</v>
      </c>
      <c r="DQ120" s="306">
        <v>215</v>
      </c>
      <c r="DR120" s="7"/>
      <c r="DS120" s="7"/>
      <c r="DT120" s="7"/>
      <c r="DU120" s="7"/>
      <c r="DV120" s="7"/>
    </row>
    <row r="121" spans="1:126" s="210" customFormat="1" x14ac:dyDescent="0.2">
      <c r="A121" s="27" t="s">
        <v>197</v>
      </c>
      <c r="B121" s="169">
        <v>115</v>
      </c>
      <c r="C121" s="12" t="s">
        <v>263</v>
      </c>
      <c r="D121" s="200">
        <v>1965</v>
      </c>
      <c r="E121" s="11"/>
      <c r="F121" s="169" t="s">
        <v>13</v>
      </c>
      <c r="G121" s="35">
        <v>1</v>
      </c>
      <c r="H121" s="201">
        <v>5</v>
      </c>
      <c r="I121" s="201" t="s">
        <v>19</v>
      </c>
      <c r="J121" s="115">
        <v>9807</v>
      </c>
      <c r="K121" s="115">
        <v>717</v>
      </c>
      <c r="L121" s="157">
        <v>840</v>
      </c>
      <c r="M121" s="115"/>
      <c r="N121" s="115">
        <v>56</v>
      </c>
      <c r="O121" s="115">
        <v>112</v>
      </c>
      <c r="P121" s="115">
        <v>56</v>
      </c>
      <c r="Q121" s="115">
        <v>46</v>
      </c>
      <c r="R121" s="228">
        <v>2488.48</v>
      </c>
      <c r="S121" s="230">
        <v>1565.83</v>
      </c>
      <c r="T121" s="115">
        <f t="shared" si="98"/>
        <v>53</v>
      </c>
      <c r="U121" s="203">
        <f t="shared" si="99"/>
        <v>2386.44</v>
      </c>
      <c r="V121" s="180">
        <f t="shared" si="100"/>
        <v>1502.57</v>
      </c>
      <c r="W121" s="115">
        <v>3</v>
      </c>
      <c r="X121" s="207">
        <v>102.04</v>
      </c>
      <c r="Y121" s="207">
        <v>63.26</v>
      </c>
      <c r="Z121" s="204"/>
      <c r="AA121" s="207"/>
      <c r="AB121" s="207"/>
      <c r="AC121" s="207">
        <f t="shared" si="101"/>
        <v>43.300000000000004</v>
      </c>
      <c r="AD121" s="248">
        <f t="shared" si="102"/>
        <v>0</v>
      </c>
      <c r="AE121" s="275"/>
      <c r="AF121" s="275"/>
      <c r="AG121" s="207">
        <f>85.54-42.24</f>
        <v>43.300000000000004</v>
      </c>
      <c r="AH121" s="207"/>
      <c r="AI121" s="207">
        <f t="shared" si="103"/>
        <v>2531.7800000000002</v>
      </c>
      <c r="AJ121" s="170"/>
      <c r="AK121" s="170"/>
      <c r="AL121" s="170">
        <v>3</v>
      </c>
      <c r="AM121" s="170"/>
      <c r="AN121" s="170"/>
      <c r="AO121" s="170">
        <v>1</v>
      </c>
      <c r="AP121" s="170">
        <v>1727</v>
      </c>
      <c r="AQ121" s="170"/>
      <c r="AR121" s="170">
        <v>386</v>
      </c>
      <c r="AS121" s="170">
        <v>242</v>
      </c>
      <c r="AT121" s="170">
        <v>50</v>
      </c>
      <c r="AU121" s="170">
        <f t="shared" si="120"/>
        <v>2655</v>
      </c>
      <c r="AV121" s="170"/>
      <c r="AW121" s="170">
        <v>2655</v>
      </c>
      <c r="AX121" s="170"/>
      <c r="AY121" s="170">
        <v>81</v>
      </c>
      <c r="AZ121" s="170">
        <v>701</v>
      </c>
      <c r="BA121" s="170">
        <v>701</v>
      </c>
      <c r="BB121" s="170">
        <v>12</v>
      </c>
      <c r="BC121" s="170">
        <v>12</v>
      </c>
      <c r="BD121" s="170">
        <v>176</v>
      </c>
      <c r="BE121" s="170">
        <v>59</v>
      </c>
      <c r="BF121" s="170"/>
      <c r="BG121" s="170">
        <v>300</v>
      </c>
      <c r="BH121" s="170">
        <v>60</v>
      </c>
      <c r="BI121" s="170"/>
      <c r="BJ121" s="115">
        <f t="shared" si="104"/>
        <v>1</v>
      </c>
      <c r="BK121" s="115">
        <f t="shared" si="105"/>
        <v>2488.48</v>
      </c>
      <c r="BL121" s="115">
        <f t="shared" si="106"/>
        <v>1565.83</v>
      </c>
      <c r="BM121" s="115" t="str">
        <f t="shared" si="107"/>
        <v>0</v>
      </c>
      <c r="BN121" s="115" t="str">
        <f t="shared" si="108"/>
        <v>0</v>
      </c>
      <c r="BO121" s="115" t="str">
        <f t="shared" si="109"/>
        <v>0</v>
      </c>
      <c r="BP121" s="115" t="str">
        <f t="shared" si="110"/>
        <v>0</v>
      </c>
      <c r="BQ121" s="115" t="str">
        <f t="shared" si="111"/>
        <v>0</v>
      </c>
      <c r="BR121" s="115" t="str">
        <f t="shared" si="112"/>
        <v>0</v>
      </c>
      <c r="BS121" s="115"/>
      <c r="BT121" s="115"/>
      <c r="BU121" s="115">
        <f>BA121</f>
        <v>701</v>
      </c>
      <c r="BV121" s="115">
        <v>2422</v>
      </c>
      <c r="BW121" s="115"/>
      <c r="BX121" s="115">
        <f>AP121</f>
        <v>1727</v>
      </c>
      <c r="BY121" s="253">
        <v>897.19999999999993</v>
      </c>
      <c r="BZ121" s="253">
        <v>187.57</v>
      </c>
      <c r="CA121" s="205">
        <v>1437</v>
      </c>
      <c r="CB121" s="282">
        <f t="shared" si="113"/>
        <v>720</v>
      </c>
      <c r="CC121" s="209" t="str">
        <f t="shared" si="121"/>
        <v>0</v>
      </c>
      <c r="CD121" s="235">
        <f t="shared" si="122"/>
        <v>0</v>
      </c>
      <c r="CE121" s="209">
        <f t="shared" si="127"/>
        <v>1</v>
      </c>
      <c r="CF121" s="235">
        <f t="shared" si="123"/>
        <v>2655</v>
      </c>
      <c r="CG121" s="235">
        <f t="shared" si="124"/>
        <v>1</v>
      </c>
      <c r="CH121" s="235">
        <f t="shared" si="125"/>
        <v>2655</v>
      </c>
      <c r="CI121" s="156">
        <v>45</v>
      </c>
      <c r="CJ121" s="284" t="str">
        <f t="shared" si="114"/>
        <v>0</v>
      </c>
      <c r="CK121" s="284" t="str">
        <f t="shared" si="115"/>
        <v>0</v>
      </c>
      <c r="CL121" s="243">
        <f t="shared" si="116"/>
        <v>4.1004950813347909</v>
      </c>
      <c r="CM121" s="216" t="str">
        <f t="shared" si="117"/>
        <v>0</v>
      </c>
      <c r="CN121" s="216" t="str">
        <f t="shared" si="118"/>
        <v>0</v>
      </c>
      <c r="CO121" s="243">
        <f t="shared" si="119"/>
        <v>4.0303659875660607</v>
      </c>
      <c r="CP121" s="306">
        <v>1</v>
      </c>
      <c r="CQ121" s="306">
        <v>0</v>
      </c>
      <c r="CR121" s="306">
        <v>0</v>
      </c>
      <c r="CS121" s="306">
        <v>0</v>
      </c>
      <c r="CT121" s="306">
        <v>1</v>
      </c>
      <c r="CU121" s="306">
        <v>0</v>
      </c>
      <c r="CV121" s="306">
        <v>0</v>
      </c>
      <c r="CW121" s="306">
        <v>0</v>
      </c>
      <c r="CX121" s="306">
        <v>0</v>
      </c>
      <c r="CY121" s="306">
        <v>58</v>
      </c>
      <c r="CZ121" s="306">
        <f t="shared" si="126"/>
        <v>55</v>
      </c>
      <c r="DA121" s="306">
        <v>3</v>
      </c>
      <c r="DB121" s="306">
        <v>31</v>
      </c>
      <c r="DC121" s="306">
        <v>17</v>
      </c>
      <c r="DD121" s="306">
        <v>44</v>
      </c>
      <c r="DE121" s="306">
        <v>17</v>
      </c>
      <c r="DF121" s="306">
        <v>17</v>
      </c>
      <c r="DG121" s="306">
        <v>44</v>
      </c>
      <c r="DH121" s="306">
        <v>17</v>
      </c>
      <c r="DI121" s="306">
        <v>0</v>
      </c>
      <c r="DJ121" s="306">
        <v>0</v>
      </c>
      <c r="DK121" s="306">
        <v>2</v>
      </c>
      <c r="DL121" s="306">
        <v>0</v>
      </c>
      <c r="DM121" s="306">
        <v>0</v>
      </c>
      <c r="DN121" s="306">
        <v>2</v>
      </c>
      <c r="DO121" s="306">
        <v>0</v>
      </c>
      <c r="DP121" s="306">
        <v>58</v>
      </c>
      <c r="DQ121" s="306">
        <v>58</v>
      </c>
      <c r="DR121" s="3"/>
      <c r="DS121" s="3"/>
      <c r="DT121" s="3"/>
      <c r="DU121" s="3"/>
      <c r="DV121" s="3"/>
    </row>
    <row r="122" spans="1:126" s="210" customFormat="1" x14ac:dyDescent="0.2">
      <c r="A122" s="12" t="s">
        <v>142</v>
      </c>
      <c r="B122" s="169">
        <v>116</v>
      </c>
      <c r="C122" s="12" t="s">
        <v>79</v>
      </c>
      <c r="D122" s="13">
        <v>1971</v>
      </c>
      <c r="E122" s="11"/>
      <c r="F122" s="169" t="s">
        <v>20</v>
      </c>
      <c r="G122" s="35">
        <v>1</v>
      </c>
      <c r="H122" s="45">
        <v>5</v>
      </c>
      <c r="I122" s="1" t="s">
        <v>22</v>
      </c>
      <c r="J122" s="122">
        <v>8984</v>
      </c>
      <c r="K122" s="122">
        <v>670</v>
      </c>
      <c r="L122" s="122">
        <v>781</v>
      </c>
      <c r="M122" s="122"/>
      <c r="N122" s="122">
        <v>59</v>
      </c>
      <c r="O122" s="122">
        <v>113</v>
      </c>
      <c r="P122" s="122">
        <v>59</v>
      </c>
      <c r="Q122" s="122">
        <v>111</v>
      </c>
      <c r="R122" s="180">
        <v>2530.02</v>
      </c>
      <c r="S122" s="121">
        <v>1727.94</v>
      </c>
      <c r="T122" s="122">
        <f t="shared" si="98"/>
        <v>56</v>
      </c>
      <c r="U122" s="180">
        <f t="shared" si="99"/>
        <v>2409.39</v>
      </c>
      <c r="V122" s="180">
        <f t="shared" si="100"/>
        <v>1646.93</v>
      </c>
      <c r="W122" s="122">
        <v>3</v>
      </c>
      <c r="X122" s="180">
        <v>120.63</v>
      </c>
      <c r="Y122" s="180">
        <v>81.010000000000005</v>
      </c>
      <c r="Z122" s="122"/>
      <c r="AA122" s="180"/>
      <c r="AB122" s="180"/>
      <c r="AC122" s="180">
        <f t="shared" si="101"/>
        <v>0</v>
      </c>
      <c r="AD122" s="179">
        <f t="shared" si="102"/>
        <v>0</v>
      </c>
      <c r="AE122" s="271"/>
      <c r="AF122" s="179"/>
      <c r="AG122" s="180"/>
      <c r="AH122" s="180"/>
      <c r="AI122" s="180">
        <f t="shared" si="103"/>
        <v>2530.02</v>
      </c>
      <c r="AJ122" s="122"/>
      <c r="AK122" s="122"/>
      <c r="AL122" s="122">
        <v>3</v>
      </c>
      <c r="AM122" s="122"/>
      <c r="AN122" s="122">
        <v>1</v>
      </c>
      <c r="AO122" s="122">
        <v>1</v>
      </c>
      <c r="AP122" s="122">
        <v>1820</v>
      </c>
      <c r="AQ122" s="35"/>
      <c r="AR122" s="122">
        <f>104+34+114</f>
        <v>252</v>
      </c>
      <c r="AS122" s="122">
        <v>165</v>
      </c>
      <c r="AT122" s="122">
        <v>38</v>
      </c>
      <c r="AU122" s="122">
        <f t="shared" si="120"/>
        <v>2208</v>
      </c>
      <c r="AV122" s="122"/>
      <c r="AW122" s="122">
        <v>2208</v>
      </c>
      <c r="AX122" s="122">
        <v>1425</v>
      </c>
      <c r="AY122" s="122">
        <v>104</v>
      </c>
      <c r="AZ122" s="122">
        <v>651</v>
      </c>
      <c r="BA122" s="122">
        <v>651</v>
      </c>
      <c r="BB122" s="122">
        <v>15</v>
      </c>
      <c r="BC122" s="122">
        <v>9</v>
      </c>
      <c r="BD122" s="122">
        <v>160</v>
      </c>
      <c r="BE122" s="122">
        <v>59</v>
      </c>
      <c r="BF122" s="122">
        <v>1</v>
      </c>
      <c r="BG122" s="122">
        <v>11274</v>
      </c>
      <c r="BH122" s="122">
        <v>219</v>
      </c>
      <c r="BI122" s="122"/>
      <c r="BJ122" s="115" t="str">
        <f t="shared" si="104"/>
        <v>0</v>
      </c>
      <c r="BK122" s="115" t="str">
        <f t="shared" si="105"/>
        <v>0</v>
      </c>
      <c r="BL122" s="115" t="str">
        <f t="shared" si="106"/>
        <v>0</v>
      </c>
      <c r="BM122" s="115">
        <f t="shared" si="107"/>
        <v>1</v>
      </c>
      <c r="BN122" s="115">
        <f t="shared" si="108"/>
        <v>2530.02</v>
      </c>
      <c r="BO122" s="115">
        <f t="shared" si="109"/>
        <v>1727.94</v>
      </c>
      <c r="BP122" s="115" t="str">
        <f t="shared" si="110"/>
        <v>0</v>
      </c>
      <c r="BQ122" s="115" t="str">
        <f t="shared" si="111"/>
        <v>0</v>
      </c>
      <c r="BR122" s="115" t="str">
        <f t="shared" si="112"/>
        <v>0</v>
      </c>
      <c r="BS122" s="115"/>
      <c r="BT122" s="115">
        <v>1</v>
      </c>
      <c r="BU122" s="122">
        <v>651</v>
      </c>
      <c r="BV122" s="115"/>
      <c r="BW122" s="115">
        <v>13</v>
      </c>
      <c r="BX122" s="115"/>
      <c r="BY122" s="275">
        <v>854.31</v>
      </c>
      <c r="BZ122" s="253">
        <v>203.31</v>
      </c>
      <c r="CA122" s="157">
        <v>1784</v>
      </c>
      <c r="CB122" s="275">
        <f t="shared" si="113"/>
        <v>1114</v>
      </c>
      <c r="CC122" s="209" t="str">
        <f t="shared" si="121"/>
        <v>0</v>
      </c>
      <c r="CD122" s="235">
        <f t="shared" si="122"/>
        <v>0</v>
      </c>
      <c r="CE122" s="209">
        <f t="shared" si="127"/>
        <v>1</v>
      </c>
      <c r="CF122" s="235">
        <f t="shared" si="123"/>
        <v>2208</v>
      </c>
      <c r="CG122" s="235">
        <f t="shared" si="124"/>
        <v>1</v>
      </c>
      <c r="CH122" s="235">
        <f t="shared" si="125"/>
        <v>2208</v>
      </c>
      <c r="CI122" s="14">
        <v>52</v>
      </c>
      <c r="CJ122" s="284" t="str">
        <f t="shared" si="114"/>
        <v>0</v>
      </c>
      <c r="CK122" s="284" t="str">
        <f t="shared" si="115"/>
        <v>0</v>
      </c>
      <c r="CL122" s="243">
        <f t="shared" si="116"/>
        <v>4.7679464984466531</v>
      </c>
      <c r="CM122" s="216" t="str">
        <f t="shared" si="117"/>
        <v>0</v>
      </c>
      <c r="CN122" s="216" t="str">
        <f t="shared" si="118"/>
        <v>0</v>
      </c>
      <c r="CO122" s="243">
        <f t="shared" si="119"/>
        <v>4.7679464984466531</v>
      </c>
      <c r="CP122" s="305">
        <v>1</v>
      </c>
      <c r="CQ122" s="305">
        <v>0</v>
      </c>
      <c r="CR122" s="305">
        <v>0</v>
      </c>
      <c r="CS122" s="305">
        <v>0</v>
      </c>
      <c r="CT122" s="305">
        <v>1</v>
      </c>
      <c r="CU122" s="305">
        <v>0</v>
      </c>
      <c r="CV122" s="305">
        <v>0</v>
      </c>
      <c r="CW122" s="305">
        <v>0</v>
      </c>
      <c r="CX122" s="306">
        <v>0</v>
      </c>
      <c r="CY122" s="306">
        <v>59</v>
      </c>
      <c r="CZ122" s="306">
        <f t="shared" si="126"/>
        <v>55</v>
      </c>
      <c r="DA122" s="306">
        <v>4</v>
      </c>
      <c r="DB122" s="306">
        <v>35</v>
      </c>
      <c r="DC122" s="306">
        <v>35</v>
      </c>
      <c r="DD122" s="306">
        <v>24</v>
      </c>
      <c r="DE122" s="306">
        <v>35</v>
      </c>
      <c r="DF122" s="306">
        <v>35</v>
      </c>
      <c r="DG122" s="306">
        <v>24</v>
      </c>
      <c r="DH122" s="306">
        <v>35</v>
      </c>
      <c r="DI122" s="306">
        <v>2</v>
      </c>
      <c r="DJ122" s="306">
        <v>2</v>
      </c>
      <c r="DK122" s="306">
        <v>2</v>
      </c>
      <c r="DL122" s="306">
        <v>2</v>
      </c>
      <c r="DM122" s="306">
        <v>2</v>
      </c>
      <c r="DN122" s="306">
        <v>2</v>
      </c>
      <c r="DO122" s="306">
        <v>2</v>
      </c>
      <c r="DP122" s="306">
        <v>59</v>
      </c>
      <c r="DQ122" s="306">
        <v>59</v>
      </c>
      <c r="DR122" s="7"/>
      <c r="DS122" s="7"/>
      <c r="DT122" s="7"/>
      <c r="DU122" s="7"/>
      <c r="DV122" s="7"/>
    </row>
    <row r="123" spans="1:126" s="210" customFormat="1" x14ac:dyDescent="0.2">
      <c r="A123" s="12" t="s">
        <v>142</v>
      </c>
      <c r="B123" s="169">
        <v>117</v>
      </c>
      <c r="C123" s="12" t="s">
        <v>182</v>
      </c>
      <c r="D123" s="13">
        <v>1971</v>
      </c>
      <c r="E123" s="11"/>
      <c r="F123" s="169" t="s">
        <v>20</v>
      </c>
      <c r="G123" s="35">
        <v>1</v>
      </c>
      <c r="H123" s="45">
        <v>5</v>
      </c>
      <c r="I123" s="1" t="s">
        <v>22</v>
      </c>
      <c r="J123" s="122">
        <v>9016</v>
      </c>
      <c r="K123" s="122">
        <v>674</v>
      </c>
      <c r="L123" s="122">
        <v>785</v>
      </c>
      <c r="M123" s="122"/>
      <c r="N123" s="122">
        <v>59</v>
      </c>
      <c r="O123" s="122">
        <v>113</v>
      </c>
      <c r="P123" s="122">
        <v>60</v>
      </c>
      <c r="Q123" s="122">
        <v>116</v>
      </c>
      <c r="R123" s="180">
        <v>2529.38</v>
      </c>
      <c r="S123" s="121">
        <v>1689.6</v>
      </c>
      <c r="T123" s="122">
        <f t="shared" si="98"/>
        <v>56</v>
      </c>
      <c r="U123" s="180">
        <f t="shared" si="99"/>
        <v>2393.9900000000002</v>
      </c>
      <c r="V123" s="180">
        <f t="shared" si="100"/>
        <v>1597.86</v>
      </c>
      <c r="W123" s="122">
        <v>3</v>
      </c>
      <c r="X123" s="180">
        <v>135.38999999999999</v>
      </c>
      <c r="Y123" s="180">
        <v>91.74</v>
      </c>
      <c r="Z123" s="122"/>
      <c r="AA123" s="180"/>
      <c r="AB123" s="180"/>
      <c r="AC123" s="180">
        <f t="shared" si="101"/>
        <v>0</v>
      </c>
      <c r="AD123" s="179">
        <f t="shared" si="102"/>
        <v>0</v>
      </c>
      <c r="AE123" s="271"/>
      <c r="AF123" s="179"/>
      <c r="AG123" s="180"/>
      <c r="AH123" s="180"/>
      <c r="AI123" s="180">
        <f t="shared" si="103"/>
        <v>2529.38</v>
      </c>
      <c r="AJ123" s="122"/>
      <c r="AK123" s="122"/>
      <c r="AL123" s="122">
        <v>3</v>
      </c>
      <c r="AM123" s="122"/>
      <c r="AN123" s="122"/>
      <c r="AO123" s="122">
        <v>1</v>
      </c>
      <c r="AP123" s="122">
        <v>1822</v>
      </c>
      <c r="AQ123" s="35"/>
      <c r="AR123" s="122">
        <f>96+42+114</f>
        <v>252</v>
      </c>
      <c r="AS123" s="122">
        <v>195</v>
      </c>
      <c r="AT123" s="122">
        <v>38</v>
      </c>
      <c r="AU123" s="122">
        <f t="shared" si="120"/>
        <v>2193</v>
      </c>
      <c r="AV123" s="122"/>
      <c r="AW123" s="122">
        <v>2193</v>
      </c>
      <c r="AX123" s="122">
        <v>1425</v>
      </c>
      <c r="AY123" s="122">
        <v>104</v>
      </c>
      <c r="AZ123" s="122">
        <v>653</v>
      </c>
      <c r="BA123" s="122">
        <v>653</v>
      </c>
      <c r="BB123" s="122">
        <v>15</v>
      </c>
      <c r="BC123" s="122">
        <v>9</v>
      </c>
      <c r="BD123" s="122">
        <v>160</v>
      </c>
      <c r="BE123" s="122">
        <v>59</v>
      </c>
      <c r="BF123" s="122">
        <v>1</v>
      </c>
      <c r="BG123" s="122">
        <v>11274</v>
      </c>
      <c r="BH123" s="122">
        <v>219</v>
      </c>
      <c r="BI123" s="122"/>
      <c r="BJ123" s="115" t="str">
        <f t="shared" si="104"/>
        <v>0</v>
      </c>
      <c r="BK123" s="115" t="str">
        <f t="shared" si="105"/>
        <v>0</v>
      </c>
      <c r="BL123" s="115" t="str">
        <f t="shared" si="106"/>
        <v>0</v>
      </c>
      <c r="BM123" s="115">
        <f t="shared" si="107"/>
        <v>1</v>
      </c>
      <c r="BN123" s="115">
        <f t="shared" si="108"/>
        <v>2529.38</v>
      </c>
      <c r="BO123" s="115">
        <f t="shared" si="109"/>
        <v>1689.6</v>
      </c>
      <c r="BP123" s="115" t="str">
        <f t="shared" si="110"/>
        <v>0</v>
      </c>
      <c r="BQ123" s="115" t="str">
        <f t="shared" si="111"/>
        <v>0</v>
      </c>
      <c r="BR123" s="115" t="str">
        <f t="shared" si="112"/>
        <v>0</v>
      </c>
      <c r="BS123" s="115"/>
      <c r="BT123" s="115"/>
      <c r="BU123" s="122"/>
      <c r="BV123" s="115"/>
      <c r="BW123" s="115"/>
      <c r="BX123" s="115"/>
      <c r="BY123" s="275">
        <v>859.23</v>
      </c>
      <c r="BZ123" s="253">
        <v>205.93</v>
      </c>
      <c r="CA123" s="157">
        <v>1731</v>
      </c>
      <c r="CB123" s="275">
        <f t="shared" si="113"/>
        <v>1057</v>
      </c>
      <c r="CC123" s="209" t="str">
        <f t="shared" si="121"/>
        <v>0</v>
      </c>
      <c r="CD123" s="235">
        <f t="shared" si="122"/>
        <v>0</v>
      </c>
      <c r="CE123" s="209">
        <f t="shared" si="127"/>
        <v>1</v>
      </c>
      <c r="CF123" s="235">
        <f t="shared" si="123"/>
        <v>2193</v>
      </c>
      <c r="CG123" s="235">
        <f t="shared" si="124"/>
        <v>1</v>
      </c>
      <c r="CH123" s="235">
        <f t="shared" si="125"/>
        <v>2193</v>
      </c>
      <c r="CI123" s="14">
        <v>53</v>
      </c>
      <c r="CJ123" s="284" t="str">
        <f t="shared" si="114"/>
        <v>0</v>
      </c>
      <c r="CK123" s="284" t="str">
        <f t="shared" si="115"/>
        <v>0</v>
      </c>
      <c r="CL123" s="243">
        <f t="shared" si="116"/>
        <v>5.3526951268690341</v>
      </c>
      <c r="CM123" s="216" t="str">
        <f t="shared" si="117"/>
        <v>0</v>
      </c>
      <c r="CN123" s="216" t="str">
        <f t="shared" si="118"/>
        <v>0</v>
      </c>
      <c r="CO123" s="243">
        <f t="shared" si="119"/>
        <v>5.3526951268690341</v>
      </c>
      <c r="CP123" s="305">
        <v>1</v>
      </c>
      <c r="CQ123" s="305">
        <v>0</v>
      </c>
      <c r="CR123" s="305">
        <v>0</v>
      </c>
      <c r="CS123" s="305">
        <v>0</v>
      </c>
      <c r="CT123" s="305">
        <v>1</v>
      </c>
      <c r="CU123" s="305">
        <v>0</v>
      </c>
      <c r="CV123" s="305">
        <v>0</v>
      </c>
      <c r="CW123" s="305">
        <v>0</v>
      </c>
      <c r="CX123" s="306">
        <v>0</v>
      </c>
      <c r="CY123" s="306">
        <v>59</v>
      </c>
      <c r="CZ123" s="306">
        <f t="shared" si="126"/>
        <v>54</v>
      </c>
      <c r="DA123" s="306">
        <v>5</v>
      </c>
      <c r="DB123" s="306">
        <v>42</v>
      </c>
      <c r="DC123" s="306">
        <v>26</v>
      </c>
      <c r="DD123" s="306">
        <v>33</v>
      </c>
      <c r="DE123" s="306">
        <v>26</v>
      </c>
      <c r="DF123" s="306">
        <v>27</v>
      </c>
      <c r="DG123" s="306">
        <v>32</v>
      </c>
      <c r="DH123" s="306">
        <v>27</v>
      </c>
      <c r="DI123" s="306">
        <v>0</v>
      </c>
      <c r="DJ123" s="306">
        <v>1</v>
      </c>
      <c r="DK123" s="306">
        <v>2</v>
      </c>
      <c r="DL123" s="306">
        <v>1</v>
      </c>
      <c r="DM123" s="306">
        <v>1</v>
      </c>
      <c r="DN123" s="306">
        <v>2</v>
      </c>
      <c r="DO123" s="306">
        <v>1</v>
      </c>
      <c r="DP123" s="306">
        <v>59</v>
      </c>
      <c r="DQ123" s="306">
        <v>59</v>
      </c>
      <c r="DR123" s="7"/>
      <c r="DS123" s="7"/>
      <c r="DT123" s="7"/>
      <c r="DU123" s="7"/>
      <c r="DV123" s="7"/>
    </row>
    <row r="124" spans="1:126" s="210" customFormat="1" x14ac:dyDescent="0.2">
      <c r="A124" s="27" t="s">
        <v>197</v>
      </c>
      <c r="B124" s="169">
        <v>118</v>
      </c>
      <c r="C124" s="12" t="s">
        <v>264</v>
      </c>
      <c r="D124" s="200">
        <v>1973</v>
      </c>
      <c r="E124" s="11"/>
      <c r="F124" s="169" t="s">
        <v>196</v>
      </c>
      <c r="G124" s="35">
        <v>1</v>
      </c>
      <c r="H124" s="201">
        <v>5</v>
      </c>
      <c r="I124" s="201" t="s">
        <v>19</v>
      </c>
      <c r="J124" s="115">
        <v>9965</v>
      </c>
      <c r="K124" s="115">
        <v>683</v>
      </c>
      <c r="L124" s="157">
        <v>816</v>
      </c>
      <c r="M124" s="115"/>
      <c r="N124" s="115">
        <v>38</v>
      </c>
      <c r="O124" s="115">
        <v>78</v>
      </c>
      <c r="P124" s="115">
        <v>38</v>
      </c>
      <c r="Q124" s="115">
        <v>83</v>
      </c>
      <c r="R124" s="228">
        <v>2061.8000000000002</v>
      </c>
      <c r="S124" s="230">
        <v>1128.5999999999999</v>
      </c>
      <c r="T124" s="115">
        <f t="shared" si="98"/>
        <v>36</v>
      </c>
      <c r="U124" s="203">
        <f t="shared" si="99"/>
        <v>1957.1000000000001</v>
      </c>
      <c r="V124" s="180">
        <f t="shared" si="100"/>
        <v>1063.6899999999998</v>
      </c>
      <c r="W124" s="115">
        <v>2</v>
      </c>
      <c r="X124" s="207">
        <v>104.7</v>
      </c>
      <c r="Y124" s="207">
        <v>64.91</v>
      </c>
      <c r="Z124" s="204"/>
      <c r="AA124" s="207"/>
      <c r="AB124" s="207"/>
      <c r="AC124" s="207">
        <f t="shared" si="101"/>
        <v>0</v>
      </c>
      <c r="AD124" s="248">
        <f t="shared" si="102"/>
        <v>0</v>
      </c>
      <c r="AE124" s="275"/>
      <c r="AF124" s="275"/>
      <c r="AG124" s="207"/>
      <c r="AH124" s="207"/>
      <c r="AI124" s="207">
        <f t="shared" si="103"/>
        <v>2061.8000000000002</v>
      </c>
      <c r="AJ124" s="170"/>
      <c r="AK124" s="170"/>
      <c r="AL124" s="170">
        <v>2</v>
      </c>
      <c r="AM124" s="170">
        <v>2</v>
      </c>
      <c r="AN124" s="170"/>
      <c r="AO124" s="170">
        <v>1</v>
      </c>
      <c r="AP124" s="170">
        <v>2498</v>
      </c>
      <c r="AQ124" s="170"/>
      <c r="AR124" s="170">
        <v>386</v>
      </c>
      <c r="AS124" s="170">
        <v>1023</v>
      </c>
      <c r="AT124" s="170">
        <v>60</v>
      </c>
      <c r="AU124" s="170">
        <f t="shared" si="120"/>
        <v>2805</v>
      </c>
      <c r="AV124" s="170"/>
      <c r="AW124" s="170">
        <v>2805</v>
      </c>
      <c r="AX124" s="170"/>
      <c r="AY124" s="170">
        <v>132</v>
      </c>
      <c r="AZ124" s="170">
        <v>655</v>
      </c>
      <c r="BA124" s="170">
        <v>655</v>
      </c>
      <c r="BB124" s="170"/>
      <c r="BC124" s="170">
        <v>6</v>
      </c>
      <c r="BD124" s="170">
        <v>82</v>
      </c>
      <c r="BE124" s="170">
        <v>38</v>
      </c>
      <c r="BF124" s="170"/>
      <c r="BG124" s="170">
        <v>200</v>
      </c>
      <c r="BH124" s="170">
        <v>40</v>
      </c>
      <c r="BI124" s="170"/>
      <c r="BJ124" s="115">
        <f t="shared" si="104"/>
        <v>1</v>
      </c>
      <c r="BK124" s="115">
        <f t="shared" si="105"/>
        <v>2061.8000000000002</v>
      </c>
      <c r="BL124" s="115">
        <f t="shared" si="106"/>
        <v>1128.5999999999999</v>
      </c>
      <c r="BM124" s="115" t="str">
        <f t="shared" si="107"/>
        <v>0</v>
      </c>
      <c r="BN124" s="115" t="str">
        <f t="shared" si="108"/>
        <v>0</v>
      </c>
      <c r="BO124" s="115" t="str">
        <f t="shared" si="109"/>
        <v>0</v>
      </c>
      <c r="BP124" s="115" t="str">
        <f t="shared" si="110"/>
        <v>0</v>
      </c>
      <c r="BQ124" s="115" t="str">
        <f t="shared" si="111"/>
        <v>0</v>
      </c>
      <c r="BR124" s="115" t="str">
        <f t="shared" si="112"/>
        <v>0</v>
      </c>
      <c r="BS124" s="115"/>
      <c r="BT124" s="115"/>
      <c r="BU124" s="115">
        <f>BA124</f>
        <v>655</v>
      </c>
      <c r="BV124" s="115">
        <v>2566</v>
      </c>
      <c r="BW124" s="115"/>
      <c r="BX124" s="115">
        <f>AP124</f>
        <v>2498</v>
      </c>
      <c r="BY124" s="253">
        <v>1088.8</v>
      </c>
      <c r="BZ124" s="253">
        <v>381.4</v>
      </c>
      <c r="CA124" s="205">
        <v>1239</v>
      </c>
      <c r="CB124" s="282">
        <f t="shared" si="113"/>
        <v>556</v>
      </c>
      <c r="CC124" s="209" t="str">
        <f t="shared" si="121"/>
        <v>0</v>
      </c>
      <c r="CD124" s="235">
        <f t="shared" si="122"/>
        <v>0</v>
      </c>
      <c r="CE124" s="209">
        <f t="shared" si="127"/>
        <v>1</v>
      </c>
      <c r="CF124" s="235">
        <f t="shared" si="123"/>
        <v>2805</v>
      </c>
      <c r="CG124" s="235">
        <f t="shared" si="124"/>
        <v>1</v>
      </c>
      <c r="CH124" s="235">
        <f t="shared" si="125"/>
        <v>2805</v>
      </c>
      <c r="CI124" s="156">
        <v>65</v>
      </c>
      <c r="CJ124" s="284" t="str">
        <f t="shared" si="114"/>
        <v>0</v>
      </c>
      <c r="CK124" s="284" t="str">
        <f t="shared" si="115"/>
        <v>0</v>
      </c>
      <c r="CL124" s="243">
        <f t="shared" si="116"/>
        <v>5.0780871083519248</v>
      </c>
      <c r="CM124" s="216" t="str">
        <f t="shared" si="117"/>
        <v>0</v>
      </c>
      <c r="CN124" s="216" t="str">
        <f t="shared" si="118"/>
        <v>0</v>
      </c>
      <c r="CO124" s="243">
        <f t="shared" si="119"/>
        <v>5.0780871083519248</v>
      </c>
      <c r="CP124" s="306">
        <v>1</v>
      </c>
      <c r="CQ124" s="306">
        <v>0</v>
      </c>
      <c r="CR124" s="306">
        <v>0</v>
      </c>
      <c r="CS124" s="306">
        <v>0</v>
      </c>
      <c r="CT124" s="306">
        <v>1</v>
      </c>
      <c r="CU124" s="306">
        <v>0</v>
      </c>
      <c r="CV124" s="306">
        <v>0</v>
      </c>
      <c r="CW124" s="306">
        <v>0</v>
      </c>
      <c r="CX124" s="306">
        <v>0</v>
      </c>
      <c r="CY124" s="306">
        <v>38</v>
      </c>
      <c r="CZ124" s="306">
        <f t="shared" si="126"/>
        <v>36</v>
      </c>
      <c r="DA124" s="306">
        <v>2</v>
      </c>
      <c r="DB124" s="306">
        <v>24</v>
      </c>
      <c r="DC124" s="306">
        <v>19</v>
      </c>
      <c r="DD124" s="306">
        <v>38</v>
      </c>
      <c r="DE124" s="306">
        <v>38</v>
      </c>
      <c r="DF124" s="306">
        <v>19</v>
      </c>
      <c r="DG124" s="306">
        <v>37</v>
      </c>
      <c r="DH124" s="306">
        <v>39</v>
      </c>
      <c r="DI124" s="306">
        <v>2</v>
      </c>
      <c r="DJ124" s="306">
        <v>0</v>
      </c>
      <c r="DK124" s="306">
        <v>2</v>
      </c>
      <c r="DL124" s="306">
        <v>0</v>
      </c>
      <c r="DM124" s="306">
        <v>0</v>
      </c>
      <c r="DN124" s="306">
        <v>2</v>
      </c>
      <c r="DO124" s="306">
        <v>0</v>
      </c>
      <c r="DP124" s="306">
        <v>38</v>
      </c>
      <c r="DQ124" s="306">
        <v>38</v>
      </c>
      <c r="DR124" s="211"/>
      <c r="DS124" s="211"/>
      <c r="DT124" s="211"/>
      <c r="DU124" s="211"/>
      <c r="DV124" s="211"/>
    </row>
    <row r="125" spans="1:126" s="210" customFormat="1" x14ac:dyDescent="0.2">
      <c r="A125" s="12" t="s">
        <v>142</v>
      </c>
      <c r="B125" s="169">
        <v>119</v>
      </c>
      <c r="C125" s="12" t="s">
        <v>80</v>
      </c>
      <c r="D125" s="13">
        <v>1971</v>
      </c>
      <c r="E125" s="11"/>
      <c r="F125" s="169" t="s">
        <v>20</v>
      </c>
      <c r="G125" s="35">
        <v>1</v>
      </c>
      <c r="H125" s="45">
        <v>5</v>
      </c>
      <c r="I125" s="1" t="s">
        <v>22</v>
      </c>
      <c r="J125" s="122">
        <v>9058</v>
      </c>
      <c r="K125" s="122">
        <v>663</v>
      </c>
      <c r="L125" s="122">
        <v>786</v>
      </c>
      <c r="M125" s="122"/>
      <c r="N125" s="122">
        <v>60</v>
      </c>
      <c r="O125" s="122">
        <v>115</v>
      </c>
      <c r="P125" s="122">
        <v>60</v>
      </c>
      <c r="Q125" s="122">
        <v>98</v>
      </c>
      <c r="R125" s="180">
        <f>2585.96-0.14+0.03</f>
        <v>2585.8500000000004</v>
      </c>
      <c r="S125" s="121">
        <v>1763.6</v>
      </c>
      <c r="T125" s="122">
        <f t="shared" si="98"/>
        <v>51</v>
      </c>
      <c r="U125" s="180">
        <f t="shared" si="99"/>
        <v>2130.2300000000005</v>
      </c>
      <c r="V125" s="180">
        <f t="shared" si="100"/>
        <v>1436.7199999999998</v>
      </c>
      <c r="W125" s="122">
        <v>9</v>
      </c>
      <c r="X125" s="180">
        <v>455.62</v>
      </c>
      <c r="Y125" s="180">
        <v>326.88</v>
      </c>
      <c r="Z125" s="122"/>
      <c r="AA125" s="180"/>
      <c r="AB125" s="180"/>
      <c r="AC125" s="180">
        <f t="shared" si="101"/>
        <v>0</v>
      </c>
      <c r="AD125" s="179">
        <f t="shared" si="102"/>
        <v>0</v>
      </c>
      <c r="AE125" s="271"/>
      <c r="AF125" s="179"/>
      <c r="AG125" s="180"/>
      <c r="AH125" s="180"/>
      <c r="AI125" s="180">
        <f t="shared" si="103"/>
        <v>2585.8500000000004</v>
      </c>
      <c r="AJ125" s="122"/>
      <c r="AK125" s="122"/>
      <c r="AL125" s="122">
        <v>3</v>
      </c>
      <c r="AM125" s="122"/>
      <c r="AN125" s="122">
        <v>1</v>
      </c>
      <c r="AO125" s="122">
        <v>1</v>
      </c>
      <c r="AP125" s="122">
        <v>1827</v>
      </c>
      <c r="AQ125" s="35">
        <v>17</v>
      </c>
      <c r="AR125" s="122">
        <f>104+29+114</f>
        <v>247</v>
      </c>
      <c r="AS125" s="122">
        <v>162</v>
      </c>
      <c r="AT125" s="122">
        <v>38</v>
      </c>
      <c r="AU125" s="122">
        <f t="shared" si="120"/>
        <v>2193</v>
      </c>
      <c r="AV125" s="122"/>
      <c r="AW125" s="122">
        <v>2193</v>
      </c>
      <c r="AX125" s="122">
        <v>1425</v>
      </c>
      <c r="AY125" s="122">
        <v>101</v>
      </c>
      <c r="AZ125" s="122">
        <v>654</v>
      </c>
      <c r="BA125" s="122">
        <v>654</v>
      </c>
      <c r="BB125" s="122">
        <v>15</v>
      </c>
      <c r="BC125" s="122">
        <v>9</v>
      </c>
      <c r="BD125" s="122">
        <v>163</v>
      </c>
      <c r="BE125" s="122">
        <v>60</v>
      </c>
      <c r="BF125" s="122">
        <v>1</v>
      </c>
      <c r="BG125" s="122">
        <v>11274</v>
      </c>
      <c r="BH125" s="122">
        <v>219</v>
      </c>
      <c r="BI125" s="122"/>
      <c r="BJ125" s="115" t="str">
        <f t="shared" si="104"/>
        <v>0</v>
      </c>
      <c r="BK125" s="115" t="str">
        <f t="shared" si="105"/>
        <v>0</v>
      </c>
      <c r="BL125" s="115" t="str">
        <f t="shared" si="106"/>
        <v>0</v>
      </c>
      <c r="BM125" s="115">
        <f t="shared" si="107"/>
        <v>1</v>
      </c>
      <c r="BN125" s="115">
        <f t="shared" si="108"/>
        <v>2585.8500000000004</v>
      </c>
      <c r="BO125" s="115">
        <f t="shared" si="109"/>
        <v>1763.6</v>
      </c>
      <c r="BP125" s="115" t="str">
        <f t="shared" si="110"/>
        <v>0</v>
      </c>
      <c r="BQ125" s="115" t="str">
        <f t="shared" si="111"/>
        <v>0</v>
      </c>
      <c r="BR125" s="115" t="str">
        <f t="shared" si="112"/>
        <v>0</v>
      </c>
      <c r="BS125" s="115"/>
      <c r="BT125" s="115"/>
      <c r="BU125" s="122">
        <v>654</v>
      </c>
      <c r="BV125" s="115"/>
      <c r="BW125" s="115"/>
      <c r="BX125" s="115"/>
      <c r="BY125" s="275">
        <v>859.71</v>
      </c>
      <c r="BZ125" s="253">
        <v>205.71</v>
      </c>
      <c r="CA125" s="157">
        <v>1745</v>
      </c>
      <c r="CB125" s="275">
        <f t="shared" si="113"/>
        <v>1082</v>
      </c>
      <c r="CC125" s="209" t="str">
        <f t="shared" si="121"/>
        <v>0</v>
      </c>
      <c r="CD125" s="235">
        <f t="shared" si="122"/>
        <v>0</v>
      </c>
      <c r="CE125" s="209">
        <f t="shared" si="127"/>
        <v>1</v>
      </c>
      <c r="CF125" s="235">
        <f t="shared" si="123"/>
        <v>2193</v>
      </c>
      <c r="CG125" s="235">
        <f t="shared" si="124"/>
        <v>1</v>
      </c>
      <c r="CH125" s="235">
        <f t="shared" si="125"/>
        <v>2193</v>
      </c>
      <c r="CI125" s="14">
        <v>53</v>
      </c>
      <c r="CJ125" s="284" t="str">
        <f t="shared" si="114"/>
        <v>0</v>
      </c>
      <c r="CK125" s="284" t="str">
        <f t="shared" si="115"/>
        <v>0</v>
      </c>
      <c r="CL125" s="243">
        <f t="shared" si="116"/>
        <v>17.619738190536957</v>
      </c>
      <c r="CM125" s="216" t="str">
        <f t="shared" si="117"/>
        <v>0</v>
      </c>
      <c r="CN125" s="216" t="str">
        <f t="shared" si="118"/>
        <v>0</v>
      </c>
      <c r="CO125" s="243">
        <f t="shared" si="119"/>
        <v>17.619738190536957</v>
      </c>
      <c r="CP125" s="305">
        <v>1</v>
      </c>
      <c r="CQ125" s="305">
        <v>0</v>
      </c>
      <c r="CR125" s="305">
        <v>0</v>
      </c>
      <c r="CS125" s="305">
        <v>0</v>
      </c>
      <c r="CT125" s="305">
        <v>1</v>
      </c>
      <c r="CU125" s="305">
        <v>0</v>
      </c>
      <c r="CV125" s="305">
        <v>0</v>
      </c>
      <c r="CW125" s="305">
        <v>0</v>
      </c>
      <c r="CX125" s="306">
        <v>0</v>
      </c>
      <c r="CY125" s="306">
        <v>60</v>
      </c>
      <c r="CZ125" s="306">
        <f t="shared" si="126"/>
        <v>50</v>
      </c>
      <c r="DA125" s="306">
        <v>10</v>
      </c>
      <c r="DB125" s="306">
        <v>39</v>
      </c>
      <c r="DC125" s="306">
        <v>24</v>
      </c>
      <c r="DD125" s="306">
        <v>36</v>
      </c>
      <c r="DE125" s="306">
        <v>24</v>
      </c>
      <c r="DF125" s="306">
        <v>24</v>
      </c>
      <c r="DG125" s="306">
        <v>36</v>
      </c>
      <c r="DH125" s="306">
        <v>24</v>
      </c>
      <c r="DI125" s="306">
        <v>4</v>
      </c>
      <c r="DJ125" s="306">
        <v>2</v>
      </c>
      <c r="DK125" s="306">
        <v>6</v>
      </c>
      <c r="DL125" s="306">
        <v>2</v>
      </c>
      <c r="DM125" s="306">
        <v>2</v>
      </c>
      <c r="DN125" s="306">
        <v>6</v>
      </c>
      <c r="DO125" s="306">
        <v>2</v>
      </c>
      <c r="DP125" s="306">
        <v>60</v>
      </c>
      <c r="DQ125" s="306">
        <v>60</v>
      </c>
      <c r="DR125" s="3"/>
      <c r="DS125" s="3"/>
      <c r="DT125" s="3"/>
      <c r="DU125" s="3"/>
      <c r="DV125" s="3"/>
    </row>
    <row r="126" spans="1:126" s="210" customFormat="1" collapsed="1" x14ac:dyDescent="0.2">
      <c r="A126" s="327" t="s">
        <v>203</v>
      </c>
      <c r="B126" s="169">
        <v>120</v>
      </c>
      <c r="C126" s="12" t="s">
        <v>271</v>
      </c>
      <c r="D126" s="200">
        <v>1986</v>
      </c>
      <c r="E126" s="11"/>
      <c r="F126" s="169" t="s">
        <v>21</v>
      </c>
      <c r="G126" s="35">
        <v>1</v>
      </c>
      <c r="H126" s="201">
        <v>9</v>
      </c>
      <c r="I126" s="201" t="s">
        <v>19</v>
      </c>
      <c r="J126" s="115">
        <v>52840</v>
      </c>
      <c r="K126" s="115">
        <v>4336</v>
      </c>
      <c r="L126" s="157"/>
      <c r="M126" s="115">
        <v>1463</v>
      </c>
      <c r="N126" s="115">
        <v>128</v>
      </c>
      <c r="O126" s="115">
        <v>288</v>
      </c>
      <c r="P126" s="115">
        <v>128</v>
      </c>
      <c r="Q126" s="115">
        <v>250</v>
      </c>
      <c r="R126" s="228">
        <v>6779.41</v>
      </c>
      <c r="S126" s="230">
        <v>3970.4</v>
      </c>
      <c r="T126" s="115">
        <f t="shared" si="98"/>
        <v>121</v>
      </c>
      <c r="U126" s="203">
        <f t="shared" si="99"/>
        <v>6412.21</v>
      </c>
      <c r="V126" s="180">
        <f t="shared" si="100"/>
        <v>3742.7400000000002</v>
      </c>
      <c r="W126" s="115">
        <v>7</v>
      </c>
      <c r="X126" s="207">
        <v>367.2</v>
      </c>
      <c r="Y126" s="207">
        <v>227.66</v>
      </c>
      <c r="Z126" s="204"/>
      <c r="AA126" s="207"/>
      <c r="AB126" s="207"/>
      <c r="AC126" s="207">
        <f t="shared" si="101"/>
        <v>2935.7</v>
      </c>
      <c r="AD126" s="248">
        <f t="shared" si="102"/>
        <v>0</v>
      </c>
      <c r="AE126" s="275"/>
      <c r="AF126" s="248"/>
      <c r="AG126" s="207">
        <f>2216-32.6</f>
        <v>2183.4</v>
      </c>
      <c r="AH126" s="207">
        <v>752.3</v>
      </c>
      <c r="AI126" s="207">
        <f t="shared" si="103"/>
        <v>9715.11</v>
      </c>
      <c r="AJ126" s="170"/>
      <c r="AK126" s="170">
        <v>4</v>
      </c>
      <c r="AL126" s="170">
        <v>4</v>
      </c>
      <c r="AM126" s="170">
        <v>4</v>
      </c>
      <c r="AN126" s="170"/>
      <c r="AO126" s="170">
        <v>2</v>
      </c>
      <c r="AP126" s="170">
        <v>7570</v>
      </c>
      <c r="AQ126" s="170"/>
      <c r="AR126" s="170">
        <v>877</v>
      </c>
      <c r="AS126" s="170">
        <v>240</v>
      </c>
      <c r="AT126" s="170">
        <v>140</v>
      </c>
      <c r="AU126" s="170">
        <f t="shared" si="120"/>
        <v>10099</v>
      </c>
      <c r="AV126" s="170">
        <v>10099</v>
      </c>
      <c r="AW126" s="170"/>
      <c r="AX126" s="170"/>
      <c r="AY126" s="170">
        <v>525</v>
      </c>
      <c r="AZ126" s="170">
        <v>3786</v>
      </c>
      <c r="BA126" s="170">
        <v>1045</v>
      </c>
      <c r="BB126" s="170"/>
      <c r="BC126" s="170">
        <v>12</v>
      </c>
      <c r="BD126" s="170">
        <v>492</v>
      </c>
      <c r="BE126" s="170">
        <v>128</v>
      </c>
      <c r="BF126" s="170"/>
      <c r="BG126" s="170">
        <v>22800</v>
      </c>
      <c r="BH126" s="170">
        <v>6540</v>
      </c>
      <c r="BI126" s="170">
        <v>180</v>
      </c>
      <c r="BJ126" s="115">
        <f t="shared" si="104"/>
        <v>1</v>
      </c>
      <c r="BK126" s="115">
        <f t="shared" si="105"/>
        <v>6779.41</v>
      </c>
      <c r="BL126" s="115">
        <f t="shared" si="106"/>
        <v>3970.4</v>
      </c>
      <c r="BM126" s="115" t="str">
        <f t="shared" si="107"/>
        <v>0</v>
      </c>
      <c r="BN126" s="115" t="str">
        <f t="shared" si="108"/>
        <v>0</v>
      </c>
      <c r="BO126" s="115" t="str">
        <f t="shared" si="109"/>
        <v>0</v>
      </c>
      <c r="BP126" s="115" t="str">
        <f t="shared" si="110"/>
        <v>0</v>
      </c>
      <c r="BQ126" s="115" t="str">
        <f t="shared" si="111"/>
        <v>0</v>
      </c>
      <c r="BR126" s="115" t="str">
        <f t="shared" si="112"/>
        <v>0</v>
      </c>
      <c r="BS126" s="115"/>
      <c r="BT126" s="115"/>
      <c r="BU126" s="115">
        <f t="shared" ref="BU126:BU131" si="128">BA126</f>
        <v>1045</v>
      </c>
      <c r="BV126" s="115">
        <v>6122</v>
      </c>
      <c r="BW126" s="115"/>
      <c r="BX126" s="115">
        <f>AP126</f>
        <v>7570</v>
      </c>
      <c r="BY126" s="253">
        <v>5244.05</v>
      </c>
      <c r="BZ126" s="253">
        <v>1376.4</v>
      </c>
      <c r="CA126" s="205">
        <v>6706</v>
      </c>
      <c r="CB126" s="282">
        <f t="shared" si="113"/>
        <v>2370</v>
      </c>
      <c r="CC126" s="209">
        <f t="shared" si="121"/>
        <v>1</v>
      </c>
      <c r="CD126" s="235">
        <f t="shared" si="122"/>
        <v>10099</v>
      </c>
      <c r="CE126" s="209" t="str">
        <f t="shared" si="127"/>
        <v>0</v>
      </c>
      <c r="CF126" s="235">
        <f t="shared" si="123"/>
        <v>0</v>
      </c>
      <c r="CG126" s="235">
        <f t="shared" si="124"/>
        <v>1</v>
      </c>
      <c r="CH126" s="235">
        <f t="shared" si="125"/>
        <v>10099</v>
      </c>
      <c r="CI126" s="156">
        <v>72</v>
      </c>
      <c r="CJ126" s="284" t="str">
        <f t="shared" si="114"/>
        <v>0</v>
      </c>
      <c r="CK126" s="284" t="str">
        <f t="shared" si="115"/>
        <v>0</v>
      </c>
      <c r="CL126" s="243">
        <f t="shared" si="116"/>
        <v>5.4164005422300754</v>
      </c>
      <c r="CM126" s="216" t="str">
        <f t="shared" si="117"/>
        <v>0</v>
      </c>
      <c r="CN126" s="216" t="str">
        <f t="shared" si="118"/>
        <v>0</v>
      </c>
      <c r="CO126" s="243">
        <f t="shared" si="119"/>
        <v>3.7796792830961254</v>
      </c>
      <c r="CP126" s="306">
        <v>1</v>
      </c>
      <c r="CQ126" s="306">
        <v>0</v>
      </c>
      <c r="CR126" s="306">
        <v>0</v>
      </c>
      <c r="CS126" s="306">
        <v>0</v>
      </c>
      <c r="CT126" s="306">
        <v>4</v>
      </c>
      <c r="CU126" s="306">
        <v>0</v>
      </c>
      <c r="CV126" s="306">
        <v>0</v>
      </c>
      <c r="CW126" s="306">
        <v>0</v>
      </c>
      <c r="CX126" s="306">
        <v>0</v>
      </c>
      <c r="CY126" s="306">
        <v>128</v>
      </c>
      <c r="CZ126" s="306">
        <f t="shared" si="126"/>
        <v>122</v>
      </c>
      <c r="DA126" s="306">
        <v>6</v>
      </c>
      <c r="DB126" s="306">
        <v>121</v>
      </c>
      <c r="DC126" s="306">
        <v>61</v>
      </c>
      <c r="DD126" s="306">
        <v>93</v>
      </c>
      <c r="DE126" s="306">
        <v>100</v>
      </c>
      <c r="DF126" s="306">
        <v>61</v>
      </c>
      <c r="DG126" s="306">
        <v>93</v>
      </c>
      <c r="DH126" s="306">
        <v>100</v>
      </c>
      <c r="DI126" s="306">
        <v>6</v>
      </c>
      <c r="DJ126" s="306">
        <v>1</v>
      </c>
      <c r="DK126" s="306">
        <v>5</v>
      </c>
      <c r="DL126" s="306">
        <v>1</v>
      </c>
      <c r="DM126" s="306">
        <v>1</v>
      </c>
      <c r="DN126" s="306">
        <v>5</v>
      </c>
      <c r="DO126" s="306">
        <v>1</v>
      </c>
      <c r="DP126" s="306">
        <v>128</v>
      </c>
      <c r="DQ126" s="306">
        <v>128</v>
      </c>
      <c r="DR126" s="3"/>
      <c r="DS126" s="3"/>
      <c r="DT126" s="3"/>
      <c r="DU126" s="3"/>
      <c r="DV126" s="3"/>
    </row>
    <row r="127" spans="1:126" s="210" customFormat="1" x14ac:dyDescent="0.2">
      <c r="A127" s="12" t="s">
        <v>197</v>
      </c>
      <c r="B127" s="169">
        <v>121</v>
      </c>
      <c r="C127" s="12" t="s">
        <v>272</v>
      </c>
      <c r="D127" s="200">
        <v>1973</v>
      </c>
      <c r="E127" s="11"/>
      <c r="F127" s="169" t="s">
        <v>20</v>
      </c>
      <c r="G127" s="35">
        <v>1</v>
      </c>
      <c r="H127" s="201">
        <v>5</v>
      </c>
      <c r="I127" s="201" t="s">
        <v>22</v>
      </c>
      <c r="J127" s="115">
        <v>9032</v>
      </c>
      <c r="K127" s="115">
        <v>679</v>
      </c>
      <c r="L127" s="157">
        <v>789</v>
      </c>
      <c r="M127" s="115"/>
      <c r="N127" s="115">
        <v>60</v>
      </c>
      <c r="O127" s="115">
        <v>115</v>
      </c>
      <c r="P127" s="115">
        <v>60</v>
      </c>
      <c r="Q127" s="115">
        <v>143</v>
      </c>
      <c r="R127" s="228">
        <f>2575.6+0.04</f>
        <v>2575.64</v>
      </c>
      <c r="S127" s="230">
        <v>1761.07</v>
      </c>
      <c r="T127" s="115">
        <f t="shared" si="98"/>
        <v>56</v>
      </c>
      <c r="U127" s="203">
        <f t="shared" si="99"/>
        <v>2413.02</v>
      </c>
      <c r="V127" s="180">
        <f t="shared" si="100"/>
        <v>1660.27</v>
      </c>
      <c r="W127" s="115">
        <v>4</v>
      </c>
      <c r="X127" s="207">
        <v>162.62</v>
      </c>
      <c r="Y127" s="207">
        <v>100.8</v>
      </c>
      <c r="Z127" s="204"/>
      <c r="AA127" s="207"/>
      <c r="AB127" s="207"/>
      <c r="AC127" s="207">
        <f t="shared" si="101"/>
        <v>0</v>
      </c>
      <c r="AD127" s="248">
        <f t="shared" si="102"/>
        <v>0</v>
      </c>
      <c r="AE127" s="275"/>
      <c r="AF127" s="248"/>
      <c r="AG127" s="207"/>
      <c r="AH127" s="207"/>
      <c r="AI127" s="207">
        <f t="shared" si="103"/>
        <v>2575.64</v>
      </c>
      <c r="AJ127" s="170"/>
      <c r="AK127" s="170"/>
      <c r="AL127" s="170">
        <v>3</v>
      </c>
      <c r="AM127" s="170"/>
      <c r="AN127" s="170"/>
      <c r="AO127" s="170">
        <v>2</v>
      </c>
      <c r="AP127" s="170">
        <v>1666</v>
      </c>
      <c r="AQ127" s="170"/>
      <c r="AR127" s="170">
        <v>374</v>
      </c>
      <c r="AS127" s="170">
        <v>199</v>
      </c>
      <c r="AT127" s="170">
        <v>54</v>
      </c>
      <c r="AU127" s="170">
        <f t="shared" si="120"/>
        <v>2655</v>
      </c>
      <c r="AV127" s="170"/>
      <c r="AW127" s="170">
        <v>2655</v>
      </c>
      <c r="AX127" s="170">
        <v>1452</v>
      </c>
      <c r="AY127" s="170">
        <v>100</v>
      </c>
      <c r="AZ127" s="170">
        <v>656</v>
      </c>
      <c r="BA127" s="170">
        <v>656</v>
      </c>
      <c r="BB127" s="170">
        <v>12</v>
      </c>
      <c r="BC127" s="170">
        <v>6</v>
      </c>
      <c r="BD127" s="170">
        <v>175</v>
      </c>
      <c r="BE127" s="170">
        <v>60</v>
      </c>
      <c r="BF127" s="170"/>
      <c r="BG127" s="170">
        <v>300</v>
      </c>
      <c r="BH127" s="170">
        <v>60</v>
      </c>
      <c r="BI127" s="170"/>
      <c r="BJ127" s="115" t="str">
        <f t="shared" si="104"/>
        <v>0</v>
      </c>
      <c r="BK127" s="115" t="str">
        <f t="shared" si="105"/>
        <v>0</v>
      </c>
      <c r="BL127" s="115" t="str">
        <f t="shared" si="106"/>
        <v>0</v>
      </c>
      <c r="BM127" s="115">
        <f t="shared" si="107"/>
        <v>1</v>
      </c>
      <c r="BN127" s="115">
        <f t="shared" si="108"/>
        <v>2575.64</v>
      </c>
      <c r="BO127" s="115">
        <f t="shared" si="109"/>
        <v>1761.07</v>
      </c>
      <c r="BP127" s="115" t="str">
        <f t="shared" si="110"/>
        <v>0</v>
      </c>
      <c r="BQ127" s="115" t="str">
        <f t="shared" si="111"/>
        <v>0</v>
      </c>
      <c r="BR127" s="115" t="str">
        <f t="shared" si="112"/>
        <v>0</v>
      </c>
      <c r="BS127" s="115"/>
      <c r="BT127" s="115"/>
      <c r="BU127" s="115">
        <f t="shared" si="128"/>
        <v>656</v>
      </c>
      <c r="BV127" s="115">
        <v>2013</v>
      </c>
      <c r="BW127" s="115"/>
      <c r="BX127" s="115"/>
      <c r="BY127" s="253">
        <v>862.24</v>
      </c>
      <c r="BZ127" s="253">
        <v>205.84</v>
      </c>
      <c r="CA127" s="205">
        <v>2380</v>
      </c>
      <c r="CB127" s="282">
        <f t="shared" si="113"/>
        <v>1701</v>
      </c>
      <c r="CC127" s="209" t="str">
        <f t="shared" si="121"/>
        <v>0</v>
      </c>
      <c r="CD127" s="235">
        <f t="shared" si="122"/>
        <v>0</v>
      </c>
      <c r="CE127" s="209">
        <f t="shared" si="127"/>
        <v>1</v>
      </c>
      <c r="CF127" s="235">
        <f t="shared" si="123"/>
        <v>2655</v>
      </c>
      <c r="CG127" s="235">
        <f t="shared" si="124"/>
        <v>1</v>
      </c>
      <c r="CH127" s="235">
        <f t="shared" si="125"/>
        <v>2655</v>
      </c>
      <c r="CI127" s="156">
        <v>55</v>
      </c>
      <c r="CJ127" s="284" t="str">
        <f t="shared" si="114"/>
        <v>0</v>
      </c>
      <c r="CK127" s="284" t="str">
        <f t="shared" si="115"/>
        <v>0</v>
      </c>
      <c r="CL127" s="243">
        <f t="shared" si="116"/>
        <v>6.3137705579972367</v>
      </c>
      <c r="CM127" s="216" t="str">
        <f t="shared" si="117"/>
        <v>0</v>
      </c>
      <c r="CN127" s="216" t="str">
        <f t="shared" si="118"/>
        <v>0</v>
      </c>
      <c r="CO127" s="243">
        <f t="shared" si="119"/>
        <v>6.3137705579972367</v>
      </c>
      <c r="CP127" s="306">
        <v>1</v>
      </c>
      <c r="CQ127" s="306">
        <v>0</v>
      </c>
      <c r="CR127" s="306">
        <v>0</v>
      </c>
      <c r="CS127" s="306">
        <v>0</v>
      </c>
      <c r="CT127" s="306">
        <v>1</v>
      </c>
      <c r="CU127" s="306">
        <v>0</v>
      </c>
      <c r="CV127" s="306">
        <v>0</v>
      </c>
      <c r="CW127" s="306">
        <v>0</v>
      </c>
      <c r="CX127" s="306">
        <v>0</v>
      </c>
      <c r="CY127" s="306">
        <v>60</v>
      </c>
      <c r="CZ127" s="306">
        <f t="shared" si="126"/>
        <v>56</v>
      </c>
      <c r="DA127" s="306">
        <v>4</v>
      </c>
      <c r="DB127" s="306">
        <v>33</v>
      </c>
      <c r="DC127" s="306">
        <v>25</v>
      </c>
      <c r="DD127" s="306">
        <v>35</v>
      </c>
      <c r="DE127" s="306">
        <v>25</v>
      </c>
      <c r="DF127" s="306">
        <v>25</v>
      </c>
      <c r="DG127" s="306">
        <v>35</v>
      </c>
      <c r="DH127" s="306">
        <v>25</v>
      </c>
      <c r="DI127" s="306">
        <v>0</v>
      </c>
      <c r="DJ127" s="306">
        <v>2</v>
      </c>
      <c r="DK127" s="306">
        <v>4</v>
      </c>
      <c r="DL127" s="306">
        <v>2</v>
      </c>
      <c r="DM127" s="306">
        <v>2</v>
      </c>
      <c r="DN127" s="306">
        <v>4</v>
      </c>
      <c r="DO127" s="306">
        <v>2</v>
      </c>
      <c r="DP127" s="306">
        <v>60</v>
      </c>
      <c r="DQ127" s="306">
        <v>60</v>
      </c>
      <c r="DR127" s="3"/>
      <c r="DS127" s="3"/>
      <c r="DT127" s="3"/>
      <c r="DU127" s="3"/>
      <c r="DV127" s="3"/>
    </row>
    <row r="128" spans="1:126" s="210" customFormat="1" x14ac:dyDescent="0.2">
      <c r="A128" s="12" t="s">
        <v>197</v>
      </c>
      <c r="B128" s="169">
        <v>122</v>
      </c>
      <c r="C128" s="12" t="s">
        <v>273</v>
      </c>
      <c r="D128" s="200">
        <v>1973</v>
      </c>
      <c r="E128" s="11"/>
      <c r="F128" s="169" t="s">
        <v>20</v>
      </c>
      <c r="G128" s="35">
        <v>1</v>
      </c>
      <c r="H128" s="201">
        <v>5</v>
      </c>
      <c r="I128" s="201" t="s">
        <v>22</v>
      </c>
      <c r="J128" s="115">
        <v>9145</v>
      </c>
      <c r="K128" s="115">
        <v>653</v>
      </c>
      <c r="L128" s="157">
        <v>785</v>
      </c>
      <c r="M128" s="115"/>
      <c r="N128" s="115">
        <v>60</v>
      </c>
      <c r="O128" s="115">
        <v>115</v>
      </c>
      <c r="P128" s="115">
        <v>60</v>
      </c>
      <c r="Q128" s="115">
        <v>101</v>
      </c>
      <c r="R128" s="228">
        <f>2579.78-2</f>
        <v>2577.7800000000002</v>
      </c>
      <c r="S128" s="230">
        <v>1766.7</v>
      </c>
      <c r="T128" s="115">
        <f t="shared" si="98"/>
        <v>54</v>
      </c>
      <c r="U128" s="203">
        <f t="shared" si="99"/>
        <v>2386.7600000000002</v>
      </c>
      <c r="V128" s="180">
        <f t="shared" si="100"/>
        <v>1648.27</v>
      </c>
      <c r="W128" s="115">
        <v>6</v>
      </c>
      <c r="X128" s="207">
        <v>191.02</v>
      </c>
      <c r="Y128" s="207">
        <v>118.43</v>
      </c>
      <c r="Z128" s="204"/>
      <c r="AA128" s="207"/>
      <c r="AB128" s="207"/>
      <c r="AC128" s="207">
        <f t="shared" si="101"/>
        <v>0</v>
      </c>
      <c r="AD128" s="248">
        <f t="shared" si="102"/>
        <v>0</v>
      </c>
      <c r="AE128" s="275"/>
      <c r="AF128" s="248"/>
      <c r="AG128" s="207"/>
      <c r="AH128" s="207"/>
      <c r="AI128" s="207">
        <f t="shared" si="103"/>
        <v>2577.7800000000002</v>
      </c>
      <c r="AJ128" s="170"/>
      <c r="AK128" s="170"/>
      <c r="AL128" s="170">
        <v>3</v>
      </c>
      <c r="AM128" s="170"/>
      <c r="AN128" s="170"/>
      <c r="AO128" s="170">
        <v>1</v>
      </c>
      <c r="AP128" s="170">
        <v>1565</v>
      </c>
      <c r="AQ128" s="170"/>
      <c r="AR128" s="170">
        <v>1552</v>
      </c>
      <c r="AS128" s="170">
        <v>171</v>
      </c>
      <c r="AT128" s="170">
        <v>54</v>
      </c>
      <c r="AU128" s="170">
        <f t="shared" si="120"/>
        <v>2655</v>
      </c>
      <c r="AV128" s="170"/>
      <c r="AW128" s="170">
        <v>2655</v>
      </c>
      <c r="AX128" s="170">
        <v>1452</v>
      </c>
      <c r="AY128" s="170">
        <v>100</v>
      </c>
      <c r="AZ128" s="170">
        <v>653</v>
      </c>
      <c r="BA128" s="170">
        <v>653</v>
      </c>
      <c r="BB128" s="170">
        <v>12</v>
      </c>
      <c r="BC128" s="170">
        <v>6</v>
      </c>
      <c r="BD128" s="170">
        <v>175</v>
      </c>
      <c r="BE128" s="170">
        <v>60</v>
      </c>
      <c r="BF128" s="170"/>
      <c r="BG128" s="170">
        <v>300</v>
      </c>
      <c r="BH128" s="170">
        <v>60</v>
      </c>
      <c r="BI128" s="170"/>
      <c r="BJ128" s="115" t="str">
        <f t="shared" si="104"/>
        <v>0</v>
      </c>
      <c r="BK128" s="115" t="str">
        <f t="shared" si="105"/>
        <v>0</v>
      </c>
      <c r="BL128" s="115" t="str">
        <f t="shared" si="106"/>
        <v>0</v>
      </c>
      <c r="BM128" s="115">
        <f t="shared" si="107"/>
        <v>1</v>
      </c>
      <c r="BN128" s="115">
        <f t="shared" si="108"/>
        <v>2577.7800000000002</v>
      </c>
      <c r="BO128" s="115">
        <f t="shared" si="109"/>
        <v>1766.7</v>
      </c>
      <c r="BP128" s="115" t="str">
        <f t="shared" si="110"/>
        <v>0</v>
      </c>
      <c r="BQ128" s="115" t="str">
        <f t="shared" si="111"/>
        <v>0</v>
      </c>
      <c r="BR128" s="115" t="str">
        <f t="shared" si="112"/>
        <v>0</v>
      </c>
      <c r="BS128" s="115"/>
      <c r="BT128" s="115">
        <v>2</v>
      </c>
      <c r="BU128" s="115">
        <f t="shared" si="128"/>
        <v>653</v>
      </c>
      <c r="BV128" s="115">
        <v>2013</v>
      </c>
      <c r="BW128" s="115"/>
      <c r="BX128" s="115"/>
      <c r="BY128" s="253">
        <v>860.90000000000009</v>
      </c>
      <c r="BZ128" s="253">
        <v>207.7</v>
      </c>
      <c r="CA128" s="205">
        <v>1815</v>
      </c>
      <c r="CB128" s="282">
        <f t="shared" si="113"/>
        <v>1162</v>
      </c>
      <c r="CC128" s="209" t="str">
        <f t="shared" si="121"/>
        <v>0</v>
      </c>
      <c r="CD128" s="235">
        <f t="shared" si="122"/>
        <v>0</v>
      </c>
      <c r="CE128" s="209">
        <f t="shared" si="127"/>
        <v>1</v>
      </c>
      <c r="CF128" s="235">
        <f t="shared" si="123"/>
        <v>2655</v>
      </c>
      <c r="CG128" s="235">
        <f t="shared" si="124"/>
        <v>1</v>
      </c>
      <c r="CH128" s="235">
        <f t="shared" si="125"/>
        <v>2655</v>
      </c>
      <c r="CI128" s="156">
        <v>54</v>
      </c>
      <c r="CJ128" s="284" t="str">
        <f t="shared" si="114"/>
        <v>0</v>
      </c>
      <c r="CK128" s="284" t="str">
        <f t="shared" si="115"/>
        <v>0</v>
      </c>
      <c r="CL128" s="243">
        <f t="shared" si="116"/>
        <v>7.4102522325411782</v>
      </c>
      <c r="CM128" s="216" t="str">
        <f t="shared" si="117"/>
        <v>0</v>
      </c>
      <c r="CN128" s="216" t="str">
        <f t="shared" si="118"/>
        <v>0</v>
      </c>
      <c r="CO128" s="243">
        <f t="shared" si="119"/>
        <v>7.4102522325411782</v>
      </c>
      <c r="CP128" s="306">
        <v>1</v>
      </c>
      <c r="CQ128" s="306">
        <v>0</v>
      </c>
      <c r="CR128" s="306">
        <v>0</v>
      </c>
      <c r="CS128" s="306">
        <v>0</v>
      </c>
      <c r="CT128" s="306">
        <v>1</v>
      </c>
      <c r="CU128" s="306">
        <v>0</v>
      </c>
      <c r="CV128" s="306">
        <v>0</v>
      </c>
      <c r="CW128" s="306">
        <v>0</v>
      </c>
      <c r="CX128" s="306">
        <v>0</v>
      </c>
      <c r="CY128" s="306">
        <v>60</v>
      </c>
      <c r="CZ128" s="306">
        <f t="shared" si="126"/>
        <v>56</v>
      </c>
      <c r="DA128" s="306">
        <v>4</v>
      </c>
      <c r="DB128" s="306">
        <v>33</v>
      </c>
      <c r="DC128" s="306">
        <v>28</v>
      </c>
      <c r="DD128" s="306">
        <v>32</v>
      </c>
      <c r="DE128" s="306">
        <v>28</v>
      </c>
      <c r="DF128" s="306">
        <v>28</v>
      </c>
      <c r="DG128" s="306">
        <v>32</v>
      </c>
      <c r="DH128" s="306">
        <v>28</v>
      </c>
      <c r="DI128" s="306">
        <v>1</v>
      </c>
      <c r="DJ128" s="306">
        <v>0</v>
      </c>
      <c r="DK128" s="306">
        <v>11</v>
      </c>
      <c r="DL128" s="306">
        <v>0</v>
      </c>
      <c r="DM128" s="306">
        <v>0</v>
      </c>
      <c r="DN128" s="306">
        <v>11</v>
      </c>
      <c r="DO128" s="306">
        <v>0</v>
      </c>
      <c r="DP128" s="306">
        <v>60</v>
      </c>
      <c r="DQ128" s="306">
        <v>60</v>
      </c>
      <c r="DR128" s="3"/>
      <c r="DS128" s="3"/>
      <c r="DT128" s="3"/>
      <c r="DU128" s="3"/>
      <c r="DV128" s="3"/>
    </row>
    <row r="129" spans="1:126" x14ac:dyDescent="0.2">
      <c r="A129" s="12" t="s">
        <v>197</v>
      </c>
      <c r="B129" s="169">
        <v>123</v>
      </c>
      <c r="C129" s="12" t="s">
        <v>274</v>
      </c>
      <c r="D129" s="200">
        <v>1979</v>
      </c>
      <c r="E129" s="11"/>
      <c r="F129" s="169" t="s">
        <v>21</v>
      </c>
      <c r="G129" s="35">
        <v>1</v>
      </c>
      <c r="H129" s="201">
        <v>9</v>
      </c>
      <c r="I129" s="201" t="s">
        <v>19</v>
      </c>
      <c r="J129" s="115">
        <v>29561</v>
      </c>
      <c r="K129" s="115">
        <v>1587</v>
      </c>
      <c r="L129" s="157">
        <v>1206</v>
      </c>
      <c r="M129" s="115"/>
      <c r="N129" s="115">
        <v>96</v>
      </c>
      <c r="O129" s="115">
        <v>208</v>
      </c>
      <c r="P129" s="115">
        <v>96</v>
      </c>
      <c r="Q129" s="115">
        <v>160</v>
      </c>
      <c r="R129" s="228">
        <f>4913.29-0.03+0.03+0.03</f>
        <v>4913.32</v>
      </c>
      <c r="S129" s="230">
        <v>2820.62</v>
      </c>
      <c r="T129" s="115">
        <f t="shared" si="98"/>
        <v>89</v>
      </c>
      <c r="U129" s="203">
        <f t="shared" si="99"/>
        <v>4575.74</v>
      </c>
      <c r="V129" s="180">
        <f t="shared" si="100"/>
        <v>2611.3199999999997</v>
      </c>
      <c r="W129" s="115">
        <v>7</v>
      </c>
      <c r="X129" s="207">
        <v>337.58</v>
      </c>
      <c r="Y129" s="207">
        <v>209.3</v>
      </c>
      <c r="Z129" s="204"/>
      <c r="AA129" s="207"/>
      <c r="AB129" s="207"/>
      <c r="AC129" s="207">
        <f t="shared" si="101"/>
        <v>924.2</v>
      </c>
      <c r="AD129" s="248">
        <f t="shared" si="102"/>
        <v>0</v>
      </c>
      <c r="AE129" s="275"/>
      <c r="AF129" s="248"/>
      <c r="AG129" s="207">
        <f>922.2+2</f>
        <v>924.2</v>
      </c>
      <c r="AH129" s="207"/>
      <c r="AI129" s="207">
        <f t="shared" si="103"/>
        <v>5837.5199999999995</v>
      </c>
      <c r="AJ129" s="170"/>
      <c r="AK129" s="170">
        <v>3</v>
      </c>
      <c r="AL129" s="170">
        <v>3</v>
      </c>
      <c r="AM129" s="170">
        <v>3</v>
      </c>
      <c r="AN129" s="170"/>
      <c r="AO129" s="170">
        <v>3</v>
      </c>
      <c r="AP129" s="170">
        <v>4384</v>
      </c>
      <c r="AQ129" s="170"/>
      <c r="AR129" s="170">
        <v>1029</v>
      </c>
      <c r="AS129" s="170">
        <v>90</v>
      </c>
      <c r="AT129" s="170">
        <v>105</v>
      </c>
      <c r="AU129" s="170">
        <f t="shared" si="120"/>
        <v>7574</v>
      </c>
      <c r="AV129" s="170"/>
      <c r="AW129" s="170">
        <v>7574</v>
      </c>
      <c r="AX129" s="170"/>
      <c r="AY129" s="170">
        <v>326</v>
      </c>
      <c r="AZ129" s="170">
        <v>1006</v>
      </c>
      <c r="BA129" s="170">
        <v>840</v>
      </c>
      <c r="BB129" s="170"/>
      <c r="BC129" s="170">
        <v>9</v>
      </c>
      <c r="BD129" s="170">
        <v>391</v>
      </c>
      <c r="BE129" s="170">
        <v>96</v>
      </c>
      <c r="BF129" s="170"/>
      <c r="BG129" s="170">
        <v>17100</v>
      </c>
      <c r="BH129" s="170">
        <v>4905</v>
      </c>
      <c r="BI129" s="170">
        <v>135</v>
      </c>
      <c r="BJ129" s="115">
        <f t="shared" si="104"/>
        <v>1</v>
      </c>
      <c r="BK129" s="115">
        <f t="shared" si="105"/>
        <v>4913.32</v>
      </c>
      <c r="BL129" s="115">
        <f t="shared" si="106"/>
        <v>2820.62</v>
      </c>
      <c r="BM129" s="115" t="str">
        <f t="shared" si="107"/>
        <v>0</v>
      </c>
      <c r="BN129" s="115" t="str">
        <f t="shared" si="108"/>
        <v>0</v>
      </c>
      <c r="BO129" s="115" t="str">
        <f t="shared" si="109"/>
        <v>0</v>
      </c>
      <c r="BP129" s="115" t="str">
        <f t="shared" si="110"/>
        <v>0</v>
      </c>
      <c r="BQ129" s="115" t="str">
        <f t="shared" si="111"/>
        <v>0</v>
      </c>
      <c r="BR129" s="115" t="str">
        <f t="shared" si="112"/>
        <v>0</v>
      </c>
      <c r="BS129" s="115"/>
      <c r="BT129" s="115">
        <v>3</v>
      </c>
      <c r="BU129" s="115">
        <f t="shared" si="128"/>
        <v>840</v>
      </c>
      <c r="BV129" s="115">
        <v>4403</v>
      </c>
      <c r="BW129" s="115"/>
      <c r="BX129" s="115">
        <f>AP129</f>
        <v>4384</v>
      </c>
      <c r="BY129" s="253">
        <v>2127.34</v>
      </c>
      <c r="BZ129" s="253">
        <v>1036.43</v>
      </c>
      <c r="CA129" s="205">
        <v>3361</v>
      </c>
      <c r="CB129" s="282">
        <f t="shared" si="113"/>
        <v>1774</v>
      </c>
      <c r="CC129" s="209" t="str">
        <f t="shared" si="121"/>
        <v>0</v>
      </c>
      <c r="CD129" s="235">
        <f t="shared" si="122"/>
        <v>0</v>
      </c>
      <c r="CE129" s="209">
        <f t="shared" si="127"/>
        <v>1</v>
      </c>
      <c r="CF129" s="235">
        <f t="shared" si="123"/>
        <v>7574</v>
      </c>
      <c r="CG129" s="235">
        <f t="shared" si="124"/>
        <v>1</v>
      </c>
      <c r="CH129" s="235">
        <f t="shared" si="125"/>
        <v>7574</v>
      </c>
      <c r="CI129" s="156">
        <v>67</v>
      </c>
      <c r="CJ129" s="284" t="str">
        <f t="shared" si="114"/>
        <v>0</v>
      </c>
      <c r="CK129" s="284" t="str">
        <f t="shared" si="115"/>
        <v>0</v>
      </c>
      <c r="CL129" s="243">
        <f t="shared" si="116"/>
        <v>6.8707106396489541</v>
      </c>
      <c r="CM129" s="216" t="str">
        <f t="shared" si="117"/>
        <v>0</v>
      </c>
      <c r="CN129" s="216" t="str">
        <f t="shared" si="118"/>
        <v>0</v>
      </c>
      <c r="CO129" s="243">
        <f t="shared" si="119"/>
        <v>5.7829352190656307</v>
      </c>
      <c r="CP129" s="306">
        <v>1</v>
      </c>
      <c r="CQ129" s="306">
        <v>0</v>
      </c>
      <c r="CR129" s="306">
        <v>0</v>
      </c>
      <c r="CS129" s="306">
        <v>0</v>
      </c>
      <c r="CT129" s="306">
        <v>2</v>
      </c>
      <c r="CU129" s="306">
        <v>0</v>
      </c>
      <c r="CV129" s="306">
        <v>0</v>
      </c>
      <c r="CW129" s="306">
        <v>0</v>
      </c>
      <c r="CX129" s="306">
        <v>0</v>
      </c>
      <c r="CY129" s="306">
        <v>96</v>
      </c>
      <c r="CZ129" s="306">
        <f t="shared" si="126"/>
        <v>85</v>
      </c>
      <c r="DA129" s="306">
        <v>11</v>
      </c>
      <c r="DB129" s="306">
        <v>58</v>
      </c>
      <c r="DC129" s="306">
        <v>48</v>
      </c>
      <c r="DD129" s="306">
        <v>68</v>
      </c>
      <c r="DE129" s="306">
        <v>76</v>
      </c>
      <c r="DF129" s="306">
        <v>48</v>
      </c>
      <c r="DG129" s="306">
        <v>68</v>
      </c>
      <c r="DH129" s="306">
        <v>76</v>
      </c>
      <c r="DI129" s="306">
        <v>6</v>
      </c>
      <c r="DJ129" s="306">
        <v>5</v>
      </c>
      <c r="DK129" s="306">
        <v>5</v>
      </c>
      <c r="DL129" s="306">
        <v>9</v>
      </c>
      <c r="DM129" s="306">
        <v>5</v>
      </c>
      <c r="DN129" s="306">
        <v>5</v>
      </c>
      <c r="DO129" s="306">
        <v>9</v>
      </c>
      <c r="DP129" s="306">
        <v>96</v>
      </c>
      <c r="DQ129" s="306">
        <v>96</v>
      </c>
    </row>
    <row r="130" spans="1:126" x14ac:dyDescent="0.2">
      <c r="A130" s="198" t="s">
        <v>203</v>
      </c>
      <c r="B130" s="169">
        <v>124</v>
      </c>
      <c r="C130" s="12" t="s">
        <v>275</v>
      </c>
      <c r="D130" s="200">
        <v>1977</v>
      </c>
      <c r="E130" s="11"/>
      <c r="F130" s="169" t="s">
        <v>21</v>
      </c>
      <c r="G130" s="35">
        <v>1</v>
      </c>
      <c r="H130" s="201">
        <v>9</v>
      </c>
      <c r="I130" s="201" t="s">
        <v>19</v>
      </c>
      <c r="J130" s="115">
        <v>27830</v>
      </c>
      <c r="K130" s="115">
        <v>1122</v>
      </c>
      <c r="L130" s="157">
        <v>1200</v>
      </c>
      <c r="M130" s="115"/>
      <c r="N130" s="115">
        <v>96</v>
      </c>
      <c r="O130" s="115">
        <v>208</v>
      </c>
      <c r="P130" s="115">
        <v>96</v>
      </c>
      <c r="Q130" s="115">
        <v>184</v>
      </c>
      <c r="R130" s="228">
        <f>4953.78-0.02</f>
        <v>4953.7599999999993</v>
      </c>
      <c r="S130" s="230">
        <v>2810.09</v>
      </c>
      <c r="T130" s="115">
        <f t="shared" si="98"/>
        <v>89</v>
      </c>
      <c r="U130" s="203">
        <f t="shared" si="99"/>
        <v>4733.2699999999995</v>
      </c>
      <c r="V130" s="180">
        <f t="shared" si="100"/>
        <v>2673.3900000000003</v>
      </c>
      <c r="W130" s="115">
        <v>7</v>
      </c>
      <c r="X130" s="207">
        <v>220.49</v>
      </c>
      <c r="Y130" s="207">
        <v>136.69999999999999</v>
      </c>
      <c r="Z130" s="204"/>
      <c r="AA130" s="207"/>
      <c r="AB130" s="207"/>
      <c r="AC130" s="207">
        <f t="shared" si="101"/>
        <v>543</v>
      </c>
      <c r="AD130" s="248">
        <f t="shared" si="102"/>
        <v>0</v>
      </c>
      <c r="AE130" s="275"/>
      <c r="AF130" s="248"/>
      <c r="AG130" s="207">
        <v>543</v>
      </c>
      <c r="AH130" s="207"/>
      <c r="AI130" s="207">
        <f t="shared" si="103"/>
        <v>5496.7599999999993</v>
      </c>
      <c r="AJ130" s="170"/>
      <c r="AK130" s="170">
        <v>3</v>
      </c>
      <c r="AL130" s="170">
        <v>3</v>
      </c>
      <c r="AM130" s="170">
        <v>3</v>
      </c>
      <c r="AN130" s="170"/>
      <c r="AO130" s="170">
        <v>1</v>
      </c>
      <c r="AP130" s="170">
        <v>4384</v>
      </c>
      <c r="AQ130" s="170"/>
      <c r="AR130" s="170">
        <v>754</v>
      </c>
      <c r="AS130" s="170">
        <v>165</v>
      </c>
      <c r="AT130" s="170">
        <v>105</v>
      </c>
      <c r="AU130" s="170">
        <f t="shared" si="120"/>
        <v>7574</v>
      </c>
      <c r="AV130" s="170"/>
      <c r="AW130" s="170">
        <v>7574</v>
      </c>
      <c r="AX130" s="170"/>
      <c r="AY130" s="170">
        <v>229</v>
      </c>
      <c r="AZ130" s="170">
        <v>1016</v>
      </c>
      <c r="BA130" s="170">
        <v>736</v>
      </c>
      <c r="BB130" s="170"/>
      <c r="BC130" s="170">
        <v>9</v>
      </c>
      <c r="BD130" s="170">
        <v>310</v>
      </c>
      <c r="BE130" s="170">
        <v>96</v>
      </c>
      <c r="BF130" s="170"/>
      <c r="BG130" s="170">
        <v>17100</v>
      </c>
      <c r="BH130" s="170">
        <v>4905</v>
      </c>
      <c r="BI130" s="170">
        <v>135</v>
      </c>
      <c r="BJ130" s="115">
        <f t="shared" si="104"/>
        <v>1</v>
      </c>
      <c r="BK130" s="115">
        <f t="shared" si="105"/>
        <v>4953.7599999999993</v>
      </c>
      <c r="BL130" s="115">
        <f t="shared" si="106"/>
        <v>2810.09</v>
      </c>
      <c r="BM130" s="115" t="str">
        <f t="shared" si="107"/>
        <v>0</v>
      </c>
      <c r="BN130" s="115" t="str">
        <f t="shared" si="108"/>
        <v>0</v>
      </c>
      <c r="BO130" s="115" t="str">
        <f t="shared" si="109"/>
        <v>0</v>
      </c>
      <c r="BP130" s="115" t="str">
        <f t="shared" si="110"/>
        <v>0</v>
      </c>
      <c r="BQ130" s="115" t="str">
        <f t="shared" si="111"/>
        <v>0</v>
      </c>
      <c r="BR130" s="115" t="str">
        <f t="shared" si="112"/>
        <v>0</v>
      </c>
      <c r="BS130" s="115"/>
      <c r="BT130" s="115">
        <v>2</v>
      </c>
      <c r="BU130" s="115">
        <f t="shared" si="128"/>
        <v>736</v>
      </c>
      <c r="BV130" s="115">
        <v>4403</v>
      </c>
      <c r="BW130" s="115"/>
      <c r="BX130" s="115">
        <f>AP130</f>
        <v>4384</v>
      </c>
      <c r="BY130" s="253">
        <v>1834.04</v>
      </c>
      <c r="BZ130" s="253">
        <v>1052.58</v>
      </c>
      <c r="CA130" s="205">
        <v>2205</v>
      </c>
      <c r="CB130" s="282">
        <f t="shared" si="113"/>
        <v>1083</v>
      </c>
      <c r="CC130" s="209" t="str">
        <f t="shared" si="121"/>
        <v>0</v>
      </c>
      <c r="CD130" s="235">
        <f t="shared" si="122"/>
        <v>0</v>
      </c>
      <c r="CE130" s="209">
        <f t="shared" si="127"/>
        <v>1</v>
      </c>
      <c r="CF130" s="235">
        <f t="shared" si="123"/>
        <v>7574</v>
      </c>
      <c r="CG130" s="235">
        <f t="shared" si="124"/>
        <v>1</v>
      </c>
      <c r="CH130" s="235">
        <f t="shared" si="125"/>
        <v>7574</v>
      </c>
      <c r="CI130" s="156">
        <v>68</v>
      </c>
      <c r="CJ130" s="284" t="str">
        <f t="shared" si="114"/>
        <v>0</v>
      </c>
      <c r="CK130" s="284" t="str">
        <f t="shared" si="115"/>
        <v>0</v>
      </c>
      <c r="CL130" s="243">
        <f t="shared" si="116"/>
        <v>4.450962501211202</v>
      </c>
      <c r="CM130" s="216" t="str">
        <f t="shared" si="117"/>
        <v>0</v>
      </c>
      <c r="CN130" s="216" t="str">
        <f t="shared" si="118"/>
        <v>0</v>
      </c>
      <c r="CO130" s="243">
        <f t="shared" si="119"/>
        <v>4.011272094834049</v>
      </c>
      <c r="CP130" s="306">
        <v>1</v>
      </c>
      <c r="CQ130" s="306">
        <v>0</v>
      </c>
      <c r="CR130" s="306">
        <v>0</v>
      </c>
      <c r="CS130" s="306">
        <v>0</v>
      </c>
      <c r="CT130" s="306">
        <v>2</v>
      </c>
      <c r="CU130" s="306">
        <v>0</v>
      </c>
      <c r="CV130" s="306">
        <v>0</v>
      </c>
      <c r="CW130" s="306">
        <v>0</v>
      </c>
      <c r="CX130" s="306">
        <v>0</v>
      </c>
      <c r="CY130" s="306">
        <v>96</v>
      </c>
      <c r="CZ130" s="306">
        <f t="shared" si="126"/>
        <v>92</v>
      </c>
      <c r="DA130" s="306">
        <v>4</v>
      </c>
      <c r="DB130" s="306">
        <v>65</v>
      </c>
      <c r="DC130" s="306">
        <v>50</v>
      </c>
      <c r="DD130" s="306">
        <v>68</v>
      </c>
      <c r="DE130" s="306">
        <v>76</v>
      </c>
      <c r="DF130" s="306">
        <v>50</v>
      </c>
      <c r="DG130" s="306">
        <v>68</v>
      </c>
      <c r="DH130" s="306">
        <v>76</v>
      </c>
      <c r="DI130" s="306">
        <v>2</v>
      </c>
      <c r="DJ130" s="306">
        <v>1</v>
      </c>
      <c r="DK130" s="306">
        <v>8</v>
      </c>
      <c r="DL130" s="306">
        <v>1</v>
      </c>
      <c r="DM130" s="306">
        <v>1</v>
      </c>
      <c r="DN130" s="306">
        <v>8</v>
      </c>
      <c r="DO130" s="306">
        <v>1</v>
      </c>
      <c r="DP130" s="306">
        <v>96</v>
      </c>
      <c r="DQ130" s="306">
        <v>96</v>
      </c>
    </row>
    <row r="131" spans="1:126" x14ac:dyDescent="0.2">
      <c r="A131" s="198" t="s">
        <v>203</v>
      </c>
      <c r="B131" s="169">
        <v>125</v>
      </c>
      <c r="C131" s="12" t="s">
        <v>276</v>
      </c>
      <c r="D131" s="200">
        <v>1977</v>
      </c>
      <c r="E131" s="11"/>
      <c r="F131" s="169">
        <v>84</v>
      </c>
      <c r="G131" s="35">
        <v>1</v>
      </c>
      <c r="H131" s="201">
        <v>9</v>
      </c>
      <c r="I131" s="201" t="s">
        <v>22</v>
      </c>
      <c r="J131" s="115">
        <v>14349</v>
      </c>
      <c r="K131" s="115">
        <v>620</v>
      </c>
      <c r="L131" s="157">
        <v>0</v>
      </c>
      <c r="M131" s="115">
        <v>628</v>
      </c>
      <c r="N131" s="115">
        <v>72</v>
      </c>
      <c r="O131" s="115">
        <v>142</v>
      </c>
      <c r="P131" s="115">
        <v>72</v>
      </c>
      <c r="Q131" s="115">
        <v>151</v>
      </c>
      <c r="R131" s="228">
        <v>3586.28</v>
      </c>
      <c r="S131" s="230">
        <v>2117.6999999999998</v>
      </c>
      <c r="T131" s="115">
        <f t="shared" si="98"/>
        <v>66</v>
      </c>
      <c r="U131" s="203">
        <f t="shared" si="99"/>
        <v>3288.38</v>
      </c>
      <c r="V131" s="180">
        <f t="shared" si="100"/>
        <v>1932.9999999999998</v>
      </c>
      <c r="W131" s="115">
        <v>6</v>
      </c>
      <c r="X131" s="207">
        <v>297.89999999999998</v>
      </c>
      <c r="Y131" s="207">
        <v>184.7</v>
      </c>
      <c r="Z131" s="204"/>
      <c r="AA131" s="207"/>
      <c r="AB131" s="207"/>
      <c r="AC131" s="207">
        <f t="shared" si="101"/>
        <v>0</v>
      </c>
      <c r="AD131" s="248">
        <f t="shared" si="102"/>
        <v>0</v>
      </c>
      <c r="AE131" s="275"/>
      <c r="AF131" s="248"/>
      <c r="AG131" s="207"/>
      <c r="AH131" s="207"/>
      <c r="AI131" s="207">
        <f t="shared" si="103"/>
        <v>3586.28</v>
      </c>
      <c r="AJ131" s="170"/>
      <c r="AK131" s="170">
        <v>2</v>
      </c>
      <c r="AL131" s="170">
        <v>2</v>
      </c>
      <c r="AM131" s="170">
        <v>2</v>
      </c>
      <c r="AN131" s="170"/>
      <c r="AO131" s="170">
        <v>2</v>
      </c>
      <c r="AP131" s="170">
        <v>3009</v>
      </c>
      <c r="AQ131" s="170"/>
      <c r="AR131" s="170">
        <v>754</v>
      </c>
      <c r="AS131" s="170">
        <v>196</v>
      </c>
      <c r="AT131" s="170">
        <v>40</v>
      </c>
      <c r="AU131" s="170">
        <f t="shared" si="120"/>
        <v>6837</v>
      </c>
      <c r="AV131" s="170">
        <v>6837</v>
      </c>
      <c r="AW131" s="170"/>
      <c r="AX131" s="170">
        <v>1742</v>
      </c>
      <c r="AY131" s="170">
        <v>144</v>
      </c>
      <c r="AZ131" s="170">
        <v>563</v>
      </c>
      <c r="BA131" s="170">
        <v>563</v>
      </c>
      <c r="BB131" s="170">
        <v>32</v>
      </c>
      <c r="BC131" s="170">
        <v>6</v>
      </c>
      <c r="BD131" s="170">
        <v>250</v>
      </c>
      <c r="BE131" s="170">
        <v>72</v>
      </c>
      <c r="BF131" s="170"/>
      <c r="BG131" s="170">
        <v>10710</v>
      </c>
      <c r="BH131" s="170">
        <v>3270</v>
      </c>
      <c r="BI131" s="170">
        <v>90</v>
      </c>
      <c r="BJ131" s="115" t="str">
        <f t="shared" si="104"/>
        <v>0</v>
      </c>
      <c r="BK131" s="115" t="str">
        <f t="shared" si="105"/>
        <v>0</v>
      </c>
      <c r="BL131" s="115" t="str">
        <f t="shared" si="106"/>
        <v>0</v>
      </c>
      <c r="BM131" s="115">
        <f t="shared" si="107"/>
        <v>1</v>
      </c>
      <c r="BN131" s="115">
        <f t="shared" si="108"/>
        <v>3586.28</v>
      </c>
      <c r="BO131" s="115">
        <f t="shared" si="109"/>
        <v>2117.6999999999998</v>
      </c>
      <c r="BP131" s="115" t="str">
        <f t="shared" si="110"/>
        <v>0</v>
      </c>
      <c r="BQ131" s="115" t="str">
        <f t="shared" si="111"/>
        <v>0</v>
      </c>
      <c r="BR131" s="115" t="str">
        <f t="shared" si="112"/>
        <v>0</v>
      </c>
      <c r="BS131" s="115"/>
      <c r="BT131" s="115">
        <v>1</v>
      </c>
      <c r="BU131" s="115">
        <f t="shared" si="128"/>
        <v>563</v>
      </c>
      <c r="BV131" s="115">
        <v>2672</v>
      </c>
      <c r="BW131" s="115"/>
      <c r="BX131" s="115"/>
      <c r="BY131" s="253">
        <v>1186.69</v>
      </c>
      <c r="BZ131" s="253">
        <v>570.4</v>
      </c>
      <c r="CA131" s="205">
        <v>2451</v>
      </c>
      <c r="CB131" s="282">
        <f t="shared" si="113"/>
        <v>1831</v>
      </c>
      <c r="CC131" s="209">
        <f t="shared" si="121"/>
        <v>1</v>
      </c>
      <c r="CD131" s="235">
        <f t="shared" si="122"/>
        <v>6837</v>
      </c>
      <c r="CE131" s="209" t="str">
        <f t="shared" si="127"/>
        <v>0</v>
      </c>
      <c r="CF131" s="235">
        <f t="shared" si="123"/>
        <v>0</v>
      </c>
      <c r="CG131" s="235">
        <f t="shared" si="124"/>
        <v>1</v>
      </c>
      <c r="CH131" s="235">
        <f t="shared" si="125"/>
        <v>6837</v>
      </c>
      <c r="CI131" s="156">
        <v>52</v>
      </c>
      <c r="CJ131" s="284" t="str">
        <f t="shared" si="114"/>
        <v>0</v>
      </c>
      <c r="CK131" s="284" t="str">
        <f t="shared" si="115"/>
        <v>0</v>
      </c>
      <c r="CL131" s="243">
        <f t="shared" si="116"/>
        <v>8.3066575950567163</v>
      </c>
      <c r="CM131" s="216" t="str">
        <f t="shared" si="117"/>
        <v>0</v>
      </c>
      <c r="CN131" s="216" t="str">
        <f t="shared" si="118"/>
        <v>0</v>
      </c>
      <c r="CO131" s="243">
        <f t="shared" si="119"/>
        <v>8.3066575950567163</v>
      </c>
      <c r="CP131" s="306">
        <v>1</v>
      </c>
      <c r="CQ131" s="306">
        <v>0</v>
      </c>
      <c r="CR131" s="306">
        <v>0</v>
      </c>
      <c r="CS131" s="306">
        <v>0</v>
      </c>
      <c r="CT131" s="306">
        <v>2</v>
      </c>
      <c r="CU131" s="306">
        <v>0</v>
      </c>
      <c r="CV131" s="306">
        <v>0</v>
      </c>
      <c r="CW131" s="306">
        <v>0</v>
      </c>
      <c r="CX131" s="306">
        <v>0</v>
      </c>
      <c r="CY131" s="306">
        <v>72</v>
      </c>
      <c r="CZ131" s="306">
        <f t="shared" si="126"/>
        <v>70</v>
      </c>
      <c r="DA131" s="306">
        <v>2</v>
      </c>
      <c r="DB131" s="306">
        <v>53</v>
      </c>
      <c r="DC131" s="306">
        <v>41</v>
      </c>
      <c r="DD131" s="306">
        <v>40</v>
      </c>
      <c r="DE131" s="306">
        <v>49</v>
      </c>
      <c r="DF131" s="306">
        <v>41</v>
      </c>
      <c r="DG131" s="306">
        <v>40</v>
      </c>
      <c r="DH131" s="306">
        <v>49</v>
      </c>
      <c r="DI131" s="306">
        <v>0</v>
      </c>
      <c r="DJ131" s="306">
        <v>0</v>
      </c>
      <c r="DK131" s="306">
        <v>3</v>
      </c>
      <c r="DL131" s="306">
        <v>0</v>
      </c>
      <c r="DM131" s="306">
        <v>0</v>
      </c>
      <c r="DN131" s="306">
        <v>3</v>
      </c>
      <c r="DO131" s="306">
        <v>0</v>
      </c>
      <c r="DP131" s="306">
        <v>72</v>
      </c>
      <c r="DQ131" s="306">
        <v>72</v>
      </c>
    </row>
    <row r="132" spans="1:126" x14ac:dyDescent="0.2">
      <c r="A132" s="12" t="s">
        <v>197</v>
      </c>
      <c r="B132" s="169">
        <v>126</v>
      </c>
      <c r="C132" s="12" t="s">
        <v>277</v>
      </c>
      <c r="D132" s="200">
        <v>1987</v>
      </c>
      <c r="E132" s="11"/>
      <c r="F132" s="206" t="s">
        <v>24</v>
      </c>
      <c r="G132" s="35">
        <v>1</v>
      </c>
      <c r="H132" s="201">
        <v>9</v>
      </c>
      <c r="I132" s="201" t="s">
        <v>22</v>
      </c>
      <c r="J132" s="115">
        <v>10079</v>
      </c>
      <c r="K132" s="115">
        <v>403</v>
      </c>
      <c r="L132" s="157"/>
      <c r="M132" s="115">
        <v>373</v>
      </c>
      <c r="N132" s="115">
        <v>33</v>
      </c>
      <c r="O132" s="115">
        <v>101</v>
      </c>
      <c r="P132" s="115">
        <v>33</v>
      </c>
      <c r="Q132" s="115">
        <v>86</v>
      </c>
      <c r="R132" s="228">
        <v>2216.9</v>
      </c>
      <c r="S132" s="230">
        <v>1415.2</v>
      </c>
      <c r="T132" s="115">
        <f t="shared" si="98"/>
        <v>32</v>
      </c>
      <c r="U132" s="203">
        <f t="shared" si="99"/>
        <v>2117.4</v>
      </c>
      <c r="V132" s="180">
        <f t="shared" si="100"/>
        <v>1345.5</v>
      </c>
      <c r="W132" s="115">
        <v>1</v>
      </c>
      <c r="X132" s="207">
        <v>99.5</v>
      </c>
      <c r="Y132" s="207">
        <v>69.7</v>
      </c>
      <c r="Z132" s="204"/>
      <c r="AA132" s="207"/>
      <c r="AB132" s="207"/>
      <c r="AC132" s="207">
        <f t="shared" si="101"/>
        <v>119.6</v>
      </c>
      <c r="AD132" s="248">
        <f t="shared" si="102"/>
        <v>119.6</v>
      </c>
      <c r="AE132" s="275"/>
      <c r="AF132" s="248">
        <v>119.6</v>
      </c>
      <c r="AG132" s="207"/>
      <c r="AH132" s="207"/>
      <c r="AI132" s="207">
        <f t="shared" si="103"/>
        <v>2336.5</v>
      </c>
      <c r="AJ132" s="170"/>
      <c r="AK132" s="170">
        <v>1</v>
      </c>
      <c r="AL132" s="170">
        <v>1</v>
      </c>
      <c r="AM132" s="170">
        <v>1</v>
      </c>
      <c r="AN132" s="170"/>
      <c r="AO132" s="170">
        <v>1</v>
      </c>
      <c r="AP132" s="170">
        <v>1980</v>
      </c>
      <c r="AQ132" s="170"/>
      <c r="AR132" s="170">
        <v>754</v>
      </c>
      <c r="AS132" s="170">
        <v>86</v>
      </c>
      <c r="AT132" s="170">
        <v>30</v>
      </c>
      <c r="AU132" s="170">
        <f t="shared" si="120"/>
        <v>4593</v>
      </c>
      <c r="AV132" s="170">
        <v>4593</v>
      </c>
      <c r="AW132" s="170"/>
      <c r="AX132" s="170">
        <v>871</v>
      </c>
      <c r="AY132" s="170">
        <v>90</v>
      </c>
      <c r="AZ132" s="170">
        <v>373</v>
      </c>
      <c r="BA132" s="170">
        <v>373</v>
      </c>
      <c r="BB132" s="170">
        <v>16</v>
      </c>
      <c r="BC132" s="170">
        <v>3</v>
      </c>
      <c r="BD132" s="170">
        <v>162</v>
      </c>
      <c r="BE132" s="170">
        <v>33</v>
      </c>
      <c r="BF132" s="170"/>
      <c r="BG132" s="170">
        <v>3800</v>
      </c>
      <c r="BH132" s="170">
        <v>1635</v>
      </c>
      <c r="BI132" s="170">
        <v>45</v>
      </c>
      <c r="BJ132" s="115" t="str">
        <f t="shared" si="104"/>
        <v>0</v>
      </c>
      <c r="BK132" s="115" t="str">
        <f t="shared" si="105"/>
        <v>0</v>
      </c>
      <c r="BL132" s="115" t="str">
        <f t="shared" si="106"/>
        <v>0</v>
      </c>
      <c r="BM132" s="115">
        <f t="shared" si="107"/>
        <v>1</v>
      </c>
      <c r="BN132" s="115">
        <f t="shared" si="108"/>
        <v>2216.9</v>
      </c>
      <c r="BO132" s="115">
        <f t="shared" si="109"/>
        <v>1415.2</v>
      </c>
      <c r="BP132" s="115" t="str">
        <f t="shared" si="110"/>
        <v>0</v>
      </c>
      <c r="BQ132" s="115" t="str">
        <f t="shared" si="111"/>
        <v>0</v>
      </c>
      <c r="BR132" s="115" t="str">
        <f t="shared" si="112"/>
        <v>0</v>
      </c>
      <c r="BS132" s="115"/>
      <c r="BT132" s="115">
        <v>1</v>
      </c>
      <c r="BU132" s="115"/>
      <c r="BV132" s="115"/>
      <c r="BW132" s="115"/>
      <c r="BX132" s="115"/>
      <c r="BY132" s="253">
        <v>823.7</v>
      </c>
      <c r="BZ132" s="253">
        <v>386</v>
      </c>
      <c r="CA132" s="205">
        <v>1315</v>
      </c>
      <c r="CB132" s="282">
        <f t="shared" si="113"/>
        <v>912</v>
      </c>
      <c r="CC132" s="209">
        <f t="shared" si="121"/>
        <v>1</v>
      </c>
      <c r="CD132" s="235">
        <f t="shared" si="122"/>
        <v>4593</v>
      </c>
      <c r="CE132" s="209" t="str">
        <f t="shared" si="127"/>
        <v>0</v>
      </c>
      <c r="CF132" s="235">
        <f t="shared" si="123"/>
        <v>0</v>
      </c>
      <c r="CG132" s="235">
        <f t="shared" si="124"/>
        <v>1</v>
      </c>
      <c r="CH132" s="235">
        <f t="shared" si="125"/>
        <v>4593</v>
      </c>
      <c r="CI132" s="156">
        <v>55</v>
      </c>
      <c r="CJ132" s="284" t="str">
        <f t="shared" si="114"/>
        <v>0</v>
      </c>
      <c r="CK132" s="284" t="str">
        <f t="shared" si="115"/>
        <v>0</v>
      </c>
      <c r="CL132" s="243">
        <f t="shared" si="116"/>
        <v>4.4882493572105195</v>
      </c>
      <c r="CM132" s="216" t="str">
        <f t="shared" si="117"/>
        <v>0</v>
      </c>
      <c r="CN132" s="216" t="str">
        <f t="shared" si="118"/>
        <v>0</v>
      </c>
      <c r="CO132" s="243">
        <f t="shared" si="119"/>
        <v>9.3772736999786002</v>
      </c>
      <c r="CP132" s="306">
        <v>1</v>
      </c>
      <c r="CQ132" s="306">
        <v>0</v>
      </c>
      <c r="CR132" s="306">
        <v>0</v>
      </c>
      <c r="CS132" s="306">
        <v>0</v>
      </c>
      <c r="CT132" s="306">
        <v>2</v>
      </c>
      <c r="CU132" s="306">
        <v>0</v>
      </c>
      <c r="CV132" s="306">
        <v>0</v>
      </c>
      <c r="CW132" s="306">
        <v>0</v>
      </c>
      <c r="CX132" s="306">
        <v>0</v>
      </c>
      <c r="CY132" s="306">
        <v>33</v>
      </c>
      <c r="CZ132" s="306">
        <f t="shared" si="126"/>
        <v>33</v>
      </c>
      <c r="DA132" s="306">
        <v>0</v>
      </c>
      <c r="DB132" s="306">
        <v>20</v>
      </c>
      <c r="DC132" s="306">
        <v>20</v>
      </c>
      <c r="DD132" s="306">
        <v>22</v>
      </c>
      <c r="DE132" s="306">
        <v>20</v>
      </c>
      <c r="DF132" s="306">
        <v>20</v>
      </c>
      <c r="DG132" s="306">
        <v>22</v>
      </c>
      <c r="DH132" s="306">
        <v>20</v>
      </c>
      <c r="DI132" s="306">
        <v>0</v>
      </c>
      <c r="DJ132" s="306">
        <v>0</v>
      </c>
      <c r="DK132" s="306">
        <v>0</v>
      </c>
      <c r="DL132" s="306">
        <v>0</v>
      </c>
      <c r="DM132" s="306">
        <v>0</v>
      </c>
      <c r="DN132" s="306">
        <v>0</v>
      </c>
      <c r="DO132" s="306">
        <v>0</v>
      </c>
      <c r="DP132" s="306">
        <v>33</v>
      </c>
      <c r="DQ132" s="306">
        <v>33</v>
      </c>
    </row>
    <row r="133" spans="1:126" x14ac:dyDescent="0.2">
      <c r="A133" s="27" t="s">
        <v>197</v>
      </c>
      <c r="B133" s="169">
        <v>127</v>
      </c>
      <c r="C133" s="12" t="s">
        <v>278</v>
      </c>
      <c r="D133" s="200">
        <v>1978</v>
      </c>
      <c r="E133" s="11"/>
      <c r="F133" s="169">
        <v>84</v>
      </c>
      <c r="G133" s="35">
        <v>1</v>
      </c>
      <c r="H133" s="201">
        <v>9</v>
      </c>
      <c r="I133" s="201" t="s">
        <v>22</v>
      </c>
      <c r="J133" s="115">
        <v>22343</v>
      </c>
      <c r="K133" s="115">
        <v>927</v>
      </c>
      <c r="L133" s="157"/>
      <c r="M133" s="115">
        <v>879</v>
      </c>
      <c r="N133" s="115">
        <v>108</v>
      </c>
      <c r="O133" s="115">
        <v>231</v>
      </c>
      <c r="P133" s="115">
        <v>108</v>
      </c>
      <c r="Q133" s="115">
        <v>213</v>
      </c>
      <c r="R133" s="228">
        <f>5591.28-0.02-0.04</f>
        <v>5591.2199999999993</v>
      </c>
      <c r="S133" s="230">
        <v>3336.85</v>
      </c>
      <c r="T133" s="115">
        <f t="shared" si="98"/>
        <v>100</v>
      </c>
      <c r="U133" s="203">
        <f t="shared" si="99"/>
        <v>5188.8999999999996</v>
      </c>
      <c r="V133" s="180">
        <f t="shared" si="100"/>
        <v>3087.39</v>
      </c>
      <c r="W133" s="115">
        <v>8</v>
      </c>
      <c r="X133" s="207">
        <v>402.32</v>
      </c>
      <c r="Y133" s="207">
        <v>249.46</v>
      </c>
      <c r="Z133" s="204"/>
      <c r="AA133" s="207"/>
      <c r="AB133" s="207"/>
      <c r="AC133" s="207">
        <f t="shared" si="101"/>
        <v>0</v>
      </c>
      <c r="AD133" s="248">
        <f t="shared" si="102"/>
        <v>0</v>
      </c>
      <c r="AE133" s="275"/>
      <c r="AF133" s="248"/>
      <c r="AG133" s="207"/>
      <c r="AH133" s="207"/>
      <c r="AI133" s="207">
        <f t="shared" si="103"/>
        <v>5591.2199999999993</v>
      </c>
      <c r="AJ133" s="170"/>
      <c r="AK133" s="170">
        <v>3</v>
      </c>
      <c r="AL133" s="170">
        <v>3</v>
      </c>
      <c r="AM133" s="170">
        <v>3</v>
      </c>
      <c r="AN133" s="170"/>
      <c r="AO133" s="170">
        <v>3</v>
      </c>
      <c r="AP133" s="170">
        <v>5100</v>
      </c>
      <c r="AQ133" s="170"/>
      <c r="AR133" s="170">
        <v>684</v>
      </c>
      <c r="AS133" s="170">
        <v>366</v>
      </c>
      <c r="AT133" s="170">
        <v>60</v>
      </c>
      <c r="AU133" s="170">
        <f t="shared" si="120"/>
        <v>9113</v>
      </c>
      <c r="AV133" s="170"/>
      <c r="AW133" s="170">
        <v>9113</v>
      </c>
      <c r="AX133" s="170">
        <v>2613</v>
      </c>
      <c r="AY133" s="170">
        <v>227</v>
      </c>
      <c r="AZ133" s="170">
        <v>876</v>
      </c>
      <c r="BA133" s="170">
        <v>746</v>
      </c>
      <c r="BB133" s="170">
        <v>48</v>
      </c>
      <c r="BC133" s="170">
        <v>9</v>
      </c>
      <c r="BD133" s="170">
        <v>267</v>
      </c>
      <c r="BE133" s="170">
        <v>108</v>
      </c>
      <c r="BF133" s="170"/>
      <c r="BG133" s="170">
        <v>10710</v>
      </c>
      <c r="BH133" s="170">
        <v>4905</v>
      </c>
      <c r="BI133" s="170">
        <v>135</v>
      </c>
      <c r="BJ133" s="115" t="str">
        <f t="shared" si="104"/>
        <v>0</v>
      </c>
      <c r="BK133" s="115" t="str">
        <f t="shared" si="105"/>
        <v>0</v>
      </c>
      <c r="BL133" s="115" t="str">
        <f t="shared" si="106"/>
        <v>0</v>
      </c>
      <c r="BM133" s="115">
        <f t="shared" si="107"/>
        <v>1</v>
      </c>
      <c r="BN133" s="115">
        <f t="shared" si="108"/>
        <v>5591.2199999999993</v>
      </c>
      <c r="BO133" s="115">
        <f t="shared" si="109"/>
        <v>3336.85</v>
      </c>
      <c r="BP133" s="115" t="str">
        <f t="shared" si="110"/>
        <v>0</v>
      </c>
      <c r="BQ133" s="115" t="str">
        <f t="shared" si="111"/>
        <v>0</v>
      </c>
      <c r="BR133" s="115" t="str">
        <f t="shared" si="112"/>
        <v>0</v>
      </c>
      <c r="BS133" s="115"/>
      <c r="BT133" s="115">
        <v>2</v>
      </c>
      <c r="BU133" s="115">
        <f t="shared" ref="BU133:BU139" si="129">BA133</f>
        <v>746</v>
      </c>
      <c r="BV133" s="115">
        <v>3740</v>
      </c>
      <c r="BW133" s="115"/>
      <c r="BX133" s="115"/>
      <c r="BY133" s="253">
        <v>1661.39</v>
      </c>
      <c r="BZ133" s="253">
        <v>695.83</v>
      </c>
      <c r="CA133" s="205">
        <v>3344</v>
      </c>
      <c r="CB133" s="282">
        <f t="shared" si="113"/>
        <v>2417</v>
      </c>
      <c r="CC133" s="209" t="str">
        <f t="shared" si="121"/>
        <v>0</v>
      </c>
      <c r="CD133" s="235">
        <f t="shared" si="122"/>
        <v>0</v>
      </c>
      <c r="CE133" s="209">
        <f t="shared" si="127"/>
        <v>1</v>
      </c>
      <c r="CF133" s="235">
        <f t="shared" si="123"/>
        <v>9113</v>
      </c>
      <c r="CG133" s="235">
        <f t="shared" si="124"/>
        <v>1</v>
      </c>
      <c r="CH133" s="235">
        <f t="shared" si="125"/>
        <v>9113</v>
      </c>
      <c r="CI133" s="156">
        <v>42</v>
      </c>
      <c r="CJ133" s="284" t="str">
        <f t="shared" si="114"/>
        <v>0</v>
      </c>
      <c r="CK133" s="284" t="str">
        <f t="shared" si="115"/>
        <v>0</v>
      </c>
      <c r="CL133" s="243">
        <f t="shared" si="116"/>
        <v>7.1955673359302628</v>
      </c>
      <c r="CM133" s="216" t="str">
        <f t="shared" si="117"/>
        <v>0</v>
      </c>
      <c r="CN133" s="216" t="str">
        <f t="shared" si="118"/>
        <v>0</v>
      </c>
      <c r="CO133" s="243">
        <f t="shared" si="119"/>
        <v>7.1955673359302628</v>
      </c>
      <c r="CP133" s="306">
        <v>1</v>
      </c>
      <c r="CQ133" s="306">
        <v>0</v>
      </c>
      <c r="CR133" s="306">
        <v>0</v>
      </c>
      <c r="CS133" s="306">
        <v>0</v>
      </c>
      <c r="CT133" s="306">
        <v>2</v>
      </c>
      <c r="CU133" s="306">
        <v>0</v>
      </c>
      <c r="CV133" s="306">
        <v>0</v>
      </c>
      <c r="CW133" s="306">
        <v>0</v>
      </c>
      <c r="CX133" s="306">
        <v>0</v>
      </c>
      <c r="CY133" s="306">
        <v>108</v>
      </c>
      <c r="CZ133" s="306">
        <f t="shared" si="126"/>
        <v>100</v>
      </c>
      <c r="DA133" s="306">
        <v>8</v>
      </c>
      <c r="DB133" s="306">
        <v>74</v>
      </c>
      <c r="DC133" s="306">
        <v>62</v>
      </c>
      <c r="DD133" s="306">
        <v>57</v>
      </c>
      <c r="DE133" s="306">
        <v>84</v>
      </c>
      <c r="DF133" s="306">
        <v>62</v>
      </c>
      <c r="DG133" s="306">
        <v>57</v>
      </c>
      <c r="DH133" s="306">
        <v>84</v>
      </c>
      <c r="DI133" s="306">
        <v>5</v>
      </c>
      <c r="DJ133" s="306">
        <v>2</v>
      </c>
      <c r="DK133" s="306">
        <v>9</v>
      </c>
      <c r="DL133" s="306">
        <v>2</v>
      </c>
      <c r="DM133" s="306">
        <v>2</v>
      </c>
      <c r="DN133" s="306">
        <v>9</v>
      </c>
      <c r="DO133" s="306">
        <v>2</v>
      </c>
      <c r="DP133" s="306">
        <v>108</v>
      </c>
      <c r="DQ133" s="306">
        <v>108</v>
      </c>
    </row>
    <row r="134" spans="1:126" x14ac:dyDescent="0.2">
      <c r="A134" s="27" t="s">
        <v>197</v>
      </c>
      <c r="B134" s="169">
        <v>128</v>
      </c>
      <c r="C134" s="12" t="s">
        <v>269</v>
      </c>
      <c r="D134" s="200">
        <v>1957</v>
      </c>
      <c r="E134" s="11"/>
      <c r="F134" s="169" t="s">
        <v>207</v>
      </c>
      <c r="G134" s="35">
        <v>1</v>
      </c>
      <c r="H134" s="201">
        <v>5</v>
      </c>
      <c r="I134" s="201" t="s">
        <v>19</v>
      </c>
      <c r="J134" s="115">
        <v>27827</v>
      </c>
      <c r="K134" s="115">
        <v>1690</v>
      </c>
      <c r="L134" s="157">
        <v>2041</v>
      </c>
      <c r="M134" s="115"/>
      <c r="N134" s="115">
        <v>72</v>
      </c>
      <c r="O134" s="115">
        <v>170</v>
      </c>
      <c r="P134" s="115">
        <v>72</v>
      </c>
      <c r="Q134" s="115">
        <v>153</v>
      </c>
      <c r="R134" s="228">
        <v>4827.8</v>
      </c>
      <c r="S134" s="230">
        <v>2751.8</v>
      </c>
      <c r="T134" s="115">
        <f t="shared" si="98"/>
        <v>69</v>
      </c>
      <c r="U134" s="203">
        <f t="shared" si="99"/>
        <v>4636.7</v>
      </c>
      <c r="V134" s="180">
        <f t="shared" si="100"/>
        <v>2633.32</v>
      </c>
      <c r="W134" s="115">
        <v>3</v>
      </c>
      <c r="X134" s="207">
        <v>191.1</v>
      </c>
      <c r="Y134" s="207">
        <v>118.48</v>
      </c>
      <c r="Z134" s="204"/>
      <c r="AA134" s="207"/>
      <c r="AB134" s="207"/>
      <c r="AC134" s="207">
        <f t="shared" si="101"/>
        <v>1205.3</v>
      </c>
      <c r="AD134" s="248">
        <f t="shared" si="102"/>
        <v>820.4</v>
      </c>
      <c r="AE134" s="275"/>
      <c r="AF134" s="275">
        <v>820.4</v>
      </c>
      <c r="AG134" s="207">
        <v>384.9</v>
      </c>
      <c r="AH134" s="207"/>
      <c r="AI134" s="207">
        <f t="shared" si="103"/>
        <v>6033.1</v>
      </c>
      <c r="AJ134" s="170"/>
      <c r="AK134" s="170"/>
      <c r="AL134" s="170">
        <v>4</v>
      </c>
      <c r="AM134" s="170"/>
      <c r="AN134" s="170"/>
      <c r="AO134" s="170">
        <v>1</v>
      </c>
      <c r="AP134" s="170">
        <v>4000</v>
      </c>
      <c r="AQ134" s="170"/>
      <c r="AR134" s="170">
        <v>502</v>
      </c>
      <c r="AS134" s="170">
        <v>114</v>
      </c>
      <c r="AT134" s="170">
        <v>120</v>
      </c>
      <c r="AU134" s="170">
        <f t="shared" si="120"/>
        <v>5279</v>
      </c>
      <c r="AV134" s="170"/>
      <c r="AW134" s="170">
        <v>5279</v>
      </c>
      <c r="AX134" s="170"/>
      <c r="AY134" s="170">
        <v>91</v>
      </c>
      <c r="AZ134" s="170">
        <v>1666</v>
      </c>
      <c r="BA134" s="170">
        <v>1666</v>
      </c>
      <c r="BB134" s="170">
        <v>16</v>
      </c>
      <c r="BC134" s="170">
        <v>8</v>
      </c>
      <c r="BD134" s="170">
        <v>364</v>
      </c>
      <c r="BE134" s="170">
        <v>72</v>
      </c>
      <c r="BF134" s="170"/>
      <c r="BG134" s="170">
        <v>6800</v>
      </c>
      <c r="BH134" s="170">
        <v>120</v>
      </c>
      <c r="BI134" s="170"/>
      <c r="BJ134" s="115">
        <f t="shared" si="104"/>
        <v>1</v>
      </c>
      <c r="BK134" s="115">
        <f t="shared" si="105"/>
        <v>4827.8</v>
      </c>
      <c r="BL134" s="115">
        <f t="shared" si="106"/>
        <v>2751.8</v>
      </c>
      <c r="BM134" s="115" t="str">
        <f t="shared" si="107"/>
        <v>0</v>
      </c>
      <c r="BN134" s="115" t="str">
        <f t="shared" si="108"/>
        <v>0</v>
      </c>
      <c r="BO134" s="115" t="str">
        <f t="shared" si="109"/>
        <v>0</v>
      </c>
      <c r="BP134" s="115" t="str">
        <f t="shared" si="110"/>
        <v>0</v>
      </c>
      <c r="BQ134" s="115" t="str">
        <f t="shared" si="111"/>
        <v>0</v>
      </c>
      <c r="BR134" s="115" t="str">
        <f t="shared" si="112"/>
        <v>0</v>
      </c>
      <c r="BS134" s="115"/>
      <c r="BT134" s="115">
        <v>2</v>
      </c>
      <c r="BU134" s="115">
        <f t="shared" si="129"/>
        <v>1666</v>
      </c>
      <c r="BV134" s="115">
        <v>5264</v>
      </c>
      <c r="BW134" s="115"/>
      <c r="BX134" s="115">
        <f>AP134</f>
        <v>4000</v>
      </c>
      <c r="BY134" s="253">
        <v>2231</v>
      </c>
      <c r="BZ134" s="253">
        <v>548.79999999999995</v>
      </c>
      <c r="CA134" s="205">
        <v>4311</v>
      </c>
      <c r="CB134" s="282">
        <f t="shared" si="113"/>
        <v>2621</v>
      </c>
      <c r="CC134" s="209" t="str">
        <f t="shared" si="121"/>
        <v>0</v>
      </c>
      <c r="CD134" s="235">
        <f t="shared" si="122"/>
        <v>0</v>
      </c>
      <c r="CE134" s="209">
        <f t="shared" si="127"/>
        <v>1</v>
      </c>
      <c r="CF134" s="235">
        <f t="shared" si="123"/>
        <v>5279</v>
      </c>
      <c r="CG134" s="235">
        <f t="shared" si="124"/>
        <v>1</v>
      </c>
      <c r="CH134" s="235">
        <f t="shared" si="125"/>
        <v>5279</v>
      </c>
      <c r="CI134" s="156">
        <v>34</v>
      </c>
      <c r="CJ134" s="284" t="str">
        <f t="shared" si="114"/>
        <v>0</v>
      </c>
      <c r="CK134" s="284" t="str">
        <f t="shared" si="115"/>
        <v>0</v>
      </c>
      <c r="CL134" s="243">
        <f t="shared" si="116"/>
        <v>3.9583247027631629</v>
      </c>
      <c r="CM134" s="216" t="str">
        <f t="shared" si="117"/>
        <v>0</v>
      </c>
      <c r="CN134" s="216" t="str">
        <f t="shared" si="118"/>
        <v>0</v>
      </c>
      <c r="CO134" s="243">
        <f t="shared" si="119"/>
        <v>16.76584177288624</v>
      </c>
      <c r="CP134" s="306">
        <v>1</v>
      </c>
      <c r="CQ134" s="306">
        <v>0</v>
      </c>
      <c r="CR134" s="306">
        <v>0</v>
      </c>
      <c r="CS134" s="306">
        <v>0</v>
      </c>
      <c r="CT134" s="306">
        <v>1</v>
      </c>
      <c r="CU134" s="306">
        <v>0</v>
      </c>
      <c r="CV134" s="306">
        <v>0</v>
      </c>
      <c r="CW134" s="306">
        <v>0</v>
      </c>
      <c r="CX134" s="306">
        <v>0</v>
      </c>
      <c r="CY134" s="306">
        <v>72</v>
      </c>
      <c r="CZ134" s="306">
        <f t="shared" si="126"/>
        <v>70</v>
      </c>
      <c r="DA134" s="306">
        <v>2</v>
      </c>
      <c r="DB134" s="306">
        <v>52</v>
      </c>
      <c r="DC134" s="306">
        <v>22</v>
      </c>
      <c r="DD134" s="306">
        <v>50</v>
      </c>
      <c r="DE134" s="306">
        <v>22</v>
      </c>
      <c r="DF134" s="306">
        <v>22</v>
      </c>
      <c r="DG134" s="306">
        <v>50</v>
      </c>
      <c r="DH134" s="306">
        <v>22</v>
      </c>
      <c r="DI134" s="306">
        <v>2</v>
      </c>
      <c r="DJ134" s="306">
        <v>2</v>
      </c>
      <c r="DK134" s="306">
        <v>1</v>
      </c>
      <c r="DL134" s="306">
        <v>2</v>
      </c>
      <c r="DM134" s="306">
        <v>2</v>
      </c>
      <c r="DN134" s="306">
        <v>1</v>
      </c>
      <c r="DO134" s="306">
        <v>2</v>
      </c>
      <c r="DP134" s="306">
        <v>72</v>
      </c>
      <c r="DQ134" s="306">
        <v>72</v>
      </c>
    </row>
    <row r="135" spans="1:126" x14ac:dyDescent="0.2">
      <c r="A135" s="27" t="s">
        <v>197</v>
      </c>
      <c r="B135" s="169">
        <v>129</v>
      </c>
      <c r="C135" s="12" t="s">
        <v>270</v>
      </c>
      <c r="D135" s="200">
        <v>1965</v>
      </c>
      <c r="E135" s="11"/>
      <c r="F135" s="169" t="s">
        <v>20</v>
      </c>
      <c r="G135" s="35">
        <v>1</v>
      </c>
      <c r="H135" s="201">
        <v>5</v>
      </c>
      <c r="I135" s="201" t="s">
        <v>22</v>
      </c>
      <c r="J135" s="115">
        <v>9051</v>
      </c>
      <c r="K135" s="115">
        <v>671</v>
      </c>
      <c r="L135" s="157">
        <v>785</v>
      </c>
      <c r="M135" s="115"/>
      <c r="N135" s="115">
        <v>60</v>
      </c>
      <c r="O135" s="115">
        <v>115</v>
      </c>
      <c r="P135" s="115">
        <v>60</v>
      </c>
      <c r="Q135" s="115">
        <v>85</v>
      </c>
      <c r="R135" s="228">
        <v>2582.09</v>
      </c>
      <c r="S135" s="230">
        <v>1777.1</v>
      </c>
      <c r="T135" s="115">
        <f t="shared" ref="T135:T166" si="130">N135-W135-Z135</f>
        <v>54</v>
      </c>
      <c r="U135" s="203">
        <f t="shared" ref="U135:U166" si="131">R135-X135-AA135</f>
        <v>2335.1600000000003</v>
      </c>
      <c r="V135" s="180">
        <f t="shared" ref="V135:V166" si="132">S135-Y135-AB135</f>
        <v>1624</v>
      </c>
      <c r="W135" s="115">
        <v>6</v>
      </c>
      <c r="X135" s="207">
        <v>246.93</v>
      </c>
      <c r="Y135" s="207">
        <v>153.1</v>
      </c>
      <c r="Z135" s="204"/>
      <c r="AA135" s="207"/>
      <c r="AB135" s="207"/>
      <c r="AC135" s="207">
        <f t="shared" ref="AC135:AC166" si="133">AD135+AG135+AH135</f>
        <v>0</v>
      </c>
      <c r="AD135" s="248">
        <f t="shared" ref="AD135:AD166" si="134">AE135+AF135</f>
        <v>0</v>
      </c>
      <c r="AE135" s="275"/>
      <c r="AF135" s="275"/>
      <c r="AG135" s="207"/>
      <c r="AH135" s="207"/>
      <c r="AI135" s="207">
        <f t="shared" ref="AI135:AI166" si="135">R135+AC135</f>
        <v>2582.09</v>
      </c>
      <c r="AJ135" s="170"/>
      <c r="AK135" s="170"/>
      <c r="AL135" s="170">
        <v>3</v>
      </c>
      <c r="AM135" s="170"/>
      <c r="AN135" s="170">
        <v>1</v>
      </c>
      <c r="AO135" s="170">
        <v>1</v>
      </c>
      <c r="AP135" s="170">
        <v>1824</v>
      </c>
      <c r="AQ135" s="170"/>
      <c r="AR135" s="170">
        <v>488</v>
      </c>
      <c r="AS135" s="170">
        <v>230</v>
      </c>
      <c r="AT135" s="170">
        <v>54</v>
      </c>
      <c r="AU135" s="170">
        <f t="shared" si="120"/>
        <v>2655</v>
      </c>
      <c r="AV135" s="170"/>
      <c r="AW135" s="170">
        <v>2655</v>
      </c>
      <c r="AX135" s="170">
        <v>1452</v>
      </c>
      <c r="AY135" s="170">
        <v>101</v>
      </c>
      <c r="AZ135" s="170">
        <v>653</v>
      </c>
      <c r="BA135" s="170">
        <v>653</v>
      </c>
      <c r="BB135" s="170">
        <v>12</v>
      </c>
      <c r="BC135" s="170">
        <v>6</v>
      </c>
      <c r="BD135" s="170">
        <v>175</v>
      </c>
      <c r="BE135" s="170">
        <v>60</v>
      </c>
      <c r="BF135" s="170">
        <v>1</v>
      </c>
      <c r="BG135" s="170">
        <v>300</v>
      </c>
      <c r="BH135" s="170">
        <v>60</v>
      </c>
      <c r="BI135" s="170"/>
      <c r="BJ135" s="115" t="str">
        <f t="shared" ref="BJ135:BJ166" si="136">IF((I135="кир"),G135,"0")</f>
        <v>0</v>
      </c>
      <c r="BK135" s="115" t="str">
        <f t="shared" ref="BK135:BK166" si="137">IF((I135="кир"),R135,"0")</f>
        <v>0</v>
      </c>
      <c r="BL135" s="115" t="str">
        <f t="shared" ref="BL135:BL166" si="138">IF((I135="кир"),S135,"0")</f>
        <v>0</v>
      </c>
      <c r="BM135" s="115">
        <f t="shared" ref="BM135:BM166" si="139">IF((I135="пан"),G135,"0")</f>
        <v>1</v>
      </c>
      <c r="BN135" s="115">
        <f t="shared" ref="BN135:BN166" si="140">IF((I135="пан"),R135,"0")</f>
        <v>2582.09</v>
      </c>
      <c r="BO135" s="115">
        <f t="shared" ref="BO135:BO166" si="141">IF((I135="пан"),S135,"0")</f>
        <v>1777.1</v>
      </c>
      <c r="BP135" s="115" t="str">
        <f t="shared" ref="BP135:BP166" si="142">IF((I135="смеш"),G135,"0")</f>
        <v>0</v>
      </c>
      <c r="BQ135" s="115" t="str">
        <f t="shared" ref="BQ135:BQ166" si="143">IF((I135="смеш"),R135,"0")</f>
        <v>0</v>
      </c>
      <c r="BR135" s="115" t="str">
        <f t="shared" ref="BR135:BR166" si="144">IF((I135="смеш"),S135,"0")</f>
        <v>0</v>
      </c>
      <c r="BS135" s="115"/>
      <c r="BT135" s="115">
        <v>2</v>
      </c>
      <c r="BU135" s="115">
        <f t="shared" si="129"/>
        <v>653</v>
      </c>
      <c r="BV135" s="115">
        <v>2295</v>
      </c>
      <c r="BW135" s="115"/>
      <c r="BX135" s="115"/>
      <c r="BY135" s="253">
        <v>857.05</v>
      </c>
      <c r="BZ135" s="253">
        <v>204.05</v>
      </c>
      <c r="CA135" s="205">
        <v>1813</v>
      </c>
      <c r="CB135" s="282">
        <f t="shared" ref="CB135:CB166" si="145">CA135-K135</f>
        <v>1142</v>
      </c>
      <c r="CC135" s="209" t="str">
        <f t="shared" si="121"/>
        <v>0</v>
      </c>
      <c r="CD135" s="235">
        <f t="shared" si="122"/>
        <v>0</v>
      </c>
      <c r="CE135" s="209">
        <f t="shared" si="127"/>
        <v>1</v>
      </c>
      <c r="CF135" s="235">
        <f t="shared" si="123"/>
        <v>2655</v>
      </c>
      <c r="CG135" s="235">
        <f t="shared" si="124"/>
        <v>1</v>
      </c>
      <c r="CH135" s="235">
        <f t="shared" si="125"/>
        <v>2655</v>
      </c>
      <c r="CI135" s="156">
        <v>52</v>
      </c>
      <c r="CJ135" s="284" t="str">
        <f t="shared" ref="CJ135:CJ167" si="146">IF((X135/R135*100&gt;=50), G135, "0")</f>
        <v>0</v>
      </c>
      <c r="CK135" s="284" t="str">
        <f t="shared" ref="CK135:CK167" si="147">IF((X135/R135*100&gt;=50), R135, "0")</f>
        <v>0</v>
      </c>
      <c r="CL135" s="243">
        <f t="shared" ref="CL135:CL167" si="148">X135/R135*100</f>
        <v>9.5631833127427779</v>
      </c>
      <c r="CM135" s="216" t="str">
        <f t="shared" ref="CM135:CM167" si="149">IF(((X135+AD135)/AI135*100&gt;=50), G135, "0")</f>
        <v>0</v>
      </c>
      <c r="CN135" s="216" t="str">
        <f t="shared" ref="CN135:CN167" si="150">IF(((X135+AD135)/AI135*100&gt;=50), AI135, "0")</f>
        <v>0</v>
      </c>
      <c r="CO135" s="243">
        <f t="shared" ref="CO135:CO166" si="151">(X135+AD135)/AI135*100</f>
        <v>9.5631833127427779</v>
      </c>
      <c r="CP135" s="306">
        <v>1</v>
      </c>
      <c r="CQ135" s="306">
        <v>0</v>
      </c>
      <c r="CR135" s="306">
        <v>0</v>
      </c>
      <c r="CS135" s="306">
        <v>0</v>
      </c>
      <c r="CT135" s="306">
        <v>1</v>
      </c>
      <c r="CU135" s="306">
        <v>0</v>
      </c>
      <c r="CV135" s="306">
        <v>0</v>
      </c>
      <c r="CW135" s="306">
        <v>0</v>
      </c>
      <c r="CX135" s="306">
        <v>0</v>
      </c>
      <c r="CY135" s="306">
        <v>60</v>
      </c>
      <c r="CZ135" s="306">
        <f t="shared" si="126"/>
        <v>53</v>
      </c>
      <c r="DA135" s="306">
        <v>7</v>
      </c>
      <c r="DB135" s="306">
        <v>39</v>
      </c>
      <c r="DC135" s="306">
        <v>24</v>
      </c>
      <c r="DD135" s="306">
        <v>36</v>
      </c>
      <c r="DE135" s="306">
        <v>24</v>
      </c>
      <c r="DF135" s="306">
        <v>24</v>
      </c>
      <c r="DG135" s="306">
        <v>36</v>
      </c>
      <c r="DH135" s="306">
        <v>24</v>
      </c>
      <c r="DI135" s="306">
        <v>4</v>
      </c>
      <c r="DJ135" s="306">
        <v>2</v>
      </c>
      <c r="DK135" s="306">
        <v>5</v>
      </c>
      <c r="DL135" s="306">
        <v>2</v>
      </c>
      <c r="DM135" s="306">
        <v>2</v>
      </c>
      <c r="DN135" s="306">
        <v>5</v>
      </c>
      <c r="DO135" s="306">
        <v>2</v>
      </c>
      <c r="DP135" s="306">
        <v>60</v>
      </c>
      <c r="DQ135" s="306">
        <v>60</v>
      </c>
    </row>
    <row r="136" spans="1:126" x14ac:dyDescent="0.2">
      <c r="A136" s="198" t="s">
        <v>203</v>
      </c>
      <c r="B136" s="169">
        <v>130</v>
      </c>
      <c r="C136" s="12" t="s">
        <v>279</v>
      </c>
      <c r="D136" s="200">
        <v>1988</v>
      </c>
      <c r="E136" s="11"/>
      <c r="F136" s="169" t="s">
        <v>21</v>
      </c>
      <c r="G136" s="35">
        <v>1</v>
      </c>
      <c r="H136" s="201">
        <v>9</v>
      </c>
      <c r="I136" s="201" t="s">
        <v>19</v>
      </c>
      <c r="J136" s="115">
        <v>44946</v>
      </c>
      <c r="K136" s="115">
        <v>2961</v>
      </c>
      <c r="L136" s="115"/>
      <c r="M136" s="115">
        <v>1325</v>
      </c>
      <c r="N136" s="115">
        <v>120</v>
      </c>
      <c r="O136" s="115">
        <v>265</v>
      </c>
      <c r="P136" s="115">
        <v>120</v>
      </c>
      <c r="Q136" s="115">
        <v>216</v>
      </c>
      <c r="R136" s="228">
        <f>6489.3+2-1</f>
        <v>6490.3</v>
      </c>
      <c r="S136" s="230">
        <v>3710</v>
      </c>
      <c r="T136" s="115">
        <f t="shared" si="130"/>
        <v>116</v>
      </c>
      <c r="U136" s="203">
        <f t="shared" si="131"/>
        <v>6288.5</v>
      </c>
      <c r="V136" s="180">
        <f t="shared" si="132"/>
        <v>3584.88</v>
      </c>
      <c r="W136" s="115">
        <v>4</v>
      </c>
      <c r="X136" s="207">
        <v>201.8</v>
      </c>
      <c r="Y136" s="207">
        <v>125.12</v>
      </c>
      <c r="Z136" s="204"/>
      <c r="AA136" s="207"/>
      <c r="AB136" s="207"/>
      <c r="AC136" s="207">
        <f t="shared" si="133"/>
        <v>2028.35</v>
      </c>
      <c r="AD136" s="248">
        <f t="shared" si="134"/>
        <v>2028.35</v>
      </c>
      <c r="AE136" s="248"/>
      <c r="AF136" s="248">
        <f>2020.05+8.3</f>
        <v>2028.35</v>
      </c>
      <c r="AG136" s="207"/>
      <c r="AH136" s="207"/>
      <c r="AI136" s="207">
        <f t="shared" si="135"/>
        <v>8518.65</v>
      </c>
      <c r="AJ136" s="170"/>
      <c r="AK136" s="170">
        <v>4</v>
      </c>
      <c r="AL136" s="170">
        <v>4</v>
      </c>
      <c r="AM136" s="170">
        <v>4</v>
      </c>
      <c r="AN136" s="170"/>
      <c r="AO136" s="170">
        <v>5</v>
      </c>
      <c r="AP136" s="170">
        <v>7548</v>
      </c>
      <c r="AQ136" s="170"/>
      <c r="AR136" s="170">
        <v>530</v>
      </c>
      <c r="AS136" s="170">
        <v>884</v>
      </c>
      <c r="AT136" s="170">
        <v>160</v>
      </c>
      <c r="AU136" s="170">
        <f t="shared" si="120"/>
        <v>16800</v>
      </c>
      <c r="AV136" s="170"/>
      <c r="AW136" s="170">
        <v>16800</v>
      </c>
      <c r="AX136" s="170"/>
      <c r="AY136" s="170">
        <v>495</v>
      </c>
      <c r="AZ136" s="170">
        <v>2840</v>
      </c>
      <c r="BA136" s="170">
        <v>1007</v>
      </c>
      <c r="BB136" s="170">
        <v>16</v>
      </c>
      <c r="BC136" s="170">
        <v>12</v>
      </c>
      <c r="BD136" s="170">
        <v>392</v>
      </c>
      <c r="BE136" s="170">
        <v>744</v>
      </c>
      <c r="BF136" s="170">
        <v>1</v>
      </c>
      <c r="BG136" s="170">
        <v>22800</v>
      </c>
      <c r="BH136" s="170">
        <v>6540</v>
      </c>
      <c r="BI136" s="170">
        <v>180</v>
      </c>
      <c r="BJ136" s="115">
        <f t="shared" si="136"/>
        <v>1</v>
      </c>
      <c r="BK136" s="115">
        <f t="shared" si="137"/>
        <v>6490.3</v>
      </c>
      <c r="BL136" s="115">
        <f t="shared" si="138"/>
        <v>3710</v>
      </c>
      <c r="BM136" s="115" t="str">
        <f t="shared" si="139"/>
        <v>0</v>
      </c>
      <c r="BN136" s="115" t="str">
        <f t="shared" si="140"/>
        <v>0</v>
      </c>
      <c r="BO136" s="115" t="str">
        <f t="shared" si="141"/>
        <v>0</v>
      </c>
      <c r="BP136" s="115" t="str">
        <f t="shared" si="142"/>
        <v>0</v>
      </c>
      <c r="BQ136" s="115" t="str">
        <f t="shared" si="143"/>
        <v>0</v>
      </c>
      <c r="BR136" s="115" t="str">
        <f t="shared" si="144"/>
        <v>0</v>
      </c>
      <c r="BS136" s="115"/>
      <c r="BT136" s="115">
        <v>2</v>
      </c>
      <c r="BU136" s="115">
        <f t="shared" si="129"/>
        <v>1007</v>
      </c>
      <c r="BV136" s="115">
        <v>6610</v>
      </c>
      <c r="BW136" s="115"/>
      <c r="BX136" s="115">
        <f>AP136</f>
        <v>7548</v>
      </c>
      <c r="BY136" s="253">
        <v>2636.6</v>
      </c>
      <c r="BZ136" s="253">
        <v>1457</v>
      </c>
      <c r="CA136" s="205">
        <v>3845</v>
      </c>
      <c r="CB136" s="282">
        <f t="shared" si="145"/>
        <v>884</v>
      </c>
      <c r="CC136" s="209" t="str">
        <f t="shared" si="121"/>
        <v>0</v>
      </c>
      <c r="CD136" s="235">
        <f t="shared" si="122"/>
        <v>0</v>
      </c>
      <c r="CE136" s="209">
        <f t="shared" si="127"/>
        <v>1</v>
      </c>
      <c r="CF136" s="235">
        <f t="shared" si="123"/>
        <v>16800</v>
      </c>
      <c r="CG136" s="235">
        <f t="shared" si="124"/>
        <v>1</v>
      </c>
      <c r="CH136" s="235">
        <f t="shared" si="125"/>
        <v>16800</v>
      </c>
      <c r="CI136" s="156">
        <v>71</v>
      </c>
      <c r="CJ136" s="284" t="str">
        <f t="shared" si="146"/>
        <v>0</v>
      </c>
      <c r="CK136" s="284" t="str">
        <f t="shared" si="147"/>
        <v>0</v>
      </c>
      <c r="CL136" s="243">
        <f t="shared" si="148"/>
        <v>3.1092553502919742</v>
      </c>
      <c r="CM136" s="216" t="str">
        <f t="shared" si="149"/>
        <v>0</v>
      </c>
      <c r="CN136" s="216" t="str">
        <f t="shared" si="150"/>
        <v>0</v>
      </c>
      <c r="CO136" s="243">
        <f t="shared" si="151"/>
        <v>26.179617662423038</v>
      </c>
      <c r="CP136" s="306">
        <v>1</v>
      </c>
      <c r="CQ136" s="306">
        <v>0</v>
      </c>
      <c r="CR136" s="306">
        <v>0</v>
      </c>
      <c r="CS136" s="306">
        <v>0</v>
      </c>
      <c r="CT136" s="306">
        <v>2</v>
      </c>
      <c r="CU136" s="306">
        <v>0</v>
      </c>
      <c r="CV136" s="306">
        <v>0</v>
      </c>
      <c r="CW136" s="306">
        <v>0</v>
      </c>
      <c r="CX136" s="306">
        <v>0</v>
      </c>
      <c r="CY136" s="306">
        <v>120</v>
      </c>
      <c r="CZ136" s="306">
        <f t="shared" si="126"/>
        <v>116</v>
      </c>
      <c r="DA136" s="306">
        <v>4</v>
      </c>
      <c r="DB136" s="306">
        <v>116</v>
      </c>
      <c r="DC136" s="306">
        <v>73</v>
      </c>
      <c r="DD136" s="306">
        <v>69</v>
      </c>
      <c r="DE136" s="306">
        <v>114</v>
      </c>
      <c r="DF136" s="306">
        <v>73</v>
      </c>
      <c r="DG136" s="306">
        <v>68</v>
      </c>
      <c r="DH136" s="306">
        <v>115</v>
      </c>
      <c r="DI136" s="306">
        <v>4</v>
      </c>
      <c r="DJ136" s="306">
        <v>0</v>
      </c>
      <c r="DK136" s="306">
        <v>11</v>
      </c>
      <c r="DL136" s="306">
        <v>0</v>
      </c>
      <c r="DM136" s="306">
        <v>0</v>
      </c>
      <c r="DN136" s="306">
        <v>11</v>
      </c>
      <c r="DO136" s="306">
        <v>0</v>
      </c>
      <c r="DP136" s="306">
        <v>120</v>
      </c>
      <c r="DQ136" s="306">
        <v>120</v>
      </c>
    </row>
    <row r="137" spans="1:126" s="211" customFormat="1" x14ac:dyDescent="0.2">
      <c r="A137" s="198" t="s">
        <v>203</v>
      </c>
      <c r="B137" s="169">
        <v>131</v>
      </c>
      <c r="C137" s="12" t="s">
        <v>280</v>
      </c>
      <c r="D137" s="200">
        <v>1948</v>
      </c>
      <c r="E137" s="11"/>
      <c r="F137" s="169" t="s">
        <v>207</v>
      </c>
      <c r="G137" s="35">
        <v>1</v>
      </c>
      <c r="H137" s="201">
        <v>5</v>
      </c>
      <c r="I137" s="201" t="s">
        <v>19</v>
      </c>
      <c r="J137" s="115">
        <v>19225</v>
      </c>
      <c r="K137" s="115">
        <v>0</v>
      </c>
      <c r="L137" s="157">
        <v>1584</v>
      </c>
      <c r="M137" s="115"/>
      <c r="N137" s="115">
        <v>37</v>
      </c>
      <c r="O137" s="115">
        <v>102</v>
      </c>
      <c r="P137" s="115">
        <v>40</v>
      </c>
      <c r="Q137" s="115">
        <v>81</v>
      </c>
      <c r="R137" s="228">
        <f>3117.33+1.4</f>
        <v>3118.73</v>
      </c>
      <c r="S137" s="230">
        <v>1982.6</v>
      </c>
      <c r="T137" s="115">
        <f t="shared" si="130"/>
        <v>32</v>
      </c>
      <c r="U137" s="203">
        <f t="shared" si="131"/>
        <v>2799.66</v>
      </c>
      <c r="V137" s="180">
        <f t="shared" si="132"/>
        <v>1784.78</v>
      </c>
      <c r="W137" s="115">
        <v>5</v>
      </c>
      <c r="X137" s="207">
        <v>319.07</v>
      </c>
      <c r="Y137" s="207">
        <v>197.82</v>
      </c>
      <c r="Z137" s="204"/>
      <c r="AA137" s="207"/>
      <c r="AB137" s="207"/>
      <c r="AC137" s="207">
        <f t="shared" si="133"/>
        <v>895.1</v>
      </c>
      <c r="AD137" s="248">
        <f t="shared" si="134"/>
        <v>171.6</v>
      </c>
      <c r="AE137" s="275"/>
      <c r="AF137" s="248">
        <f>171.6</f>
        <v>171.6</v>
      </c>
      <c r="AG137" s="207">
        <f>725.6-171.6+72.1</f>
        <v>626.1</v>
      </c>
      <c r="AH137" s="207">
        <f>79.3+18.1</f>
        <v>97.4</v>
      </c>
      <c r="AI137" s="207">
        <f t="shared" si="135"/>
        <v>4013.83</v>
      </c>
      <c r="AJ137" s="170"/>
      <c r="AK137" s="170"/>
      <c r="AL137" s="170">
        <v>3</v>
      </c>
      <c r="AM137" s="170"/>
      <c r="AN137" s="170"/>
      <c r="AO137" s="170">
        <v>1</v>
      </c>
      <c r="AP137" s="170">
        <v>2522</v>
      </c>
      <c r="AQ137" s="170"/>
      <c r="AR137" s="170">
        <v>220</v>
      </c>
      <c r="AS137" s="170">
        <v>402</v>
      </c>
      <c r="AT137" s="170">
        <v>45</v>
      </c>
      <c r="AU137" s="170">
        <f t="shared" si="120"/>
        <v>2520</v>
      </c>
      <c r="AV137" s="170"/>
      <c r="AW137" s="170">
        <v>2520</v>
      </c>
      <c r="AX137" s="170"/>
      <c r="AY137" s="170">
        <v>109</v>
      </c>
      <c r="AZ137" s="170">
        <v>1342</v>
      </c>
      <c r="BA137" s="170">
        <v>1342</v>
      </c>
      <c r="BB137" s="170">
        <v>12</v>
      </c>
      <c r="BC137" s="170">
        <v>6</v>
      </c>
      <c r="BD137" s="170">
        <v>139</v>
      </c>
      <c r="BE137" s="170">
        <v>250</v>
      </c>
      <c r="BF137" s="170"/>
      <c r="BG137" s="170">
        <v>2562</v>
      </c>
      <c r="BH137" s="170">
        <v>76</v>
      </c>
      <c r="BI137" s="170">
        <v>0</v>
      </c>
      <c r="BJ137" s="115">
        <f t="shared" si="136"/>
        <v>1</v>
      </c>
      <c r="BK137" s="115">
        <f t="shared" si="137"/>
        <v>3118.73</v>
      </c>
      <c r="BL137" s="115">
        <f t="shared" si="138"/>
        <v>1982.6</v>
      </c>
      <c r="BM137" s="115" t="str">
        <f t="shared" si="139"/>
        <v>0</v>
      </c>
      <c r="BN137" s="115" t="str">
        <f t="shared" si="140"/>
        <v>0</v>
      </c>
      <c r="BO137" s="115" t="str">
        <f t="shared" si="141"/>
        <v>0</v>
      </c>
      <c r="BP137" s="115" t="str">
        <f t="shared" si="142"/>
        <v>0</v>
      </c>
      <c r="BQ137" s="115" t="str">
        <f t="shared" si="143"/>
        <v>0</v>
      </c>
      <c r="BR137" s="115" t="str">
        <f t="shared" si="144"/>
        <v>0</v>
      </c>
      <c r="BS137" s="115"/>
      <c r="BT137" s="115">
        <v>2</v>
      </c>
      <c r="BU137" s="115">
        <f t="shared" si="129"/>
        <v>1342</v>
      </c>
      <c r="BV137" s="115">
        <v>2287</v>
      </c>
      <c r="BW137" s="115"/>
      <c r="BX137" s="115">
        <f>AP137</f>
        <v>2522</v>
      </c>
      <c r="BY137" s="253">
        <v>1641.9</v>
      </c>
      <c r="BZ137" s="253">
        <v>356.6</v>
      </c>
      <c r="CA137" s="205">
        <v>3168</v>
      </c>
      <c r="CB137" s="282">
        <f t="shared" si="145"/>
        <v>3168</v>
      </c>
      <c r="CC137" s="209" t="str">
        <f t="shared" si="121"/>
        <v>0</v>
      </c>
      <c r="CD137" s="235">
        <f t="shared" si="122"/>
        <v>0</v>
      </c>
      <c r="CE137" s="209">
        <f t="shared" si="127"/>
        <v>1</v>
      </c>
      <c r="CF137" s="235">
        <f t="shared" si="123"/>
        <v>2520</v>
      </c>
      <c r="CG137" s="235">
        <f t="shared" si="124"/>
        <v>1</v>
      </c>
      <c r="CH137" s="235">
        <f t="shared" si="125"/>
        <v>2520</v>
      </c>
      <c r="CI137" s="156">
        <v>48</v>
      </c>
      <c r="CJ137" s="284" t="str">
        <f t="shared" si="146"/>
        <v>0</v>
      </c>
      <c r="CK137" s="284" t="str">
        <f t="shared" si="147"/>
        <v>0</v>
      </c>
      <c r="CL137" s="243">
        <f t="shared" si="148"/>
        <v>10.230767010930732</v>
      </c>
      <c r="CM137" s="216" t="str">
        <f t="shared" si="149"/>
        <v>0</v>
      </c>
      <c r="CN137" s="216" t="str">
        <f t="shared" si="150"/>
        <v>0</v>
      </c>
      <c r="CO137" s="243">
        <f t="shared" si="151"/>
        <v>12.224483847098655</v>
      </c>
      <c r="CP137" s="306">
        <v>1</v>
      </c>
      <c r="CQ137" s="306">
        <v>0</v>
      </c>
      <c r="CR137" s="306">
        <v>0</v>
      </c>
      <c r="CS137" s="306">
        <v>0</v>
      </c>
      <c r="CT137" s="306">
        <v>1</v>
      </c>
      <c r="CU137" s="306">
        <v>0</v>
      </c>
      <c r="CV137" s="306">
        <v>0</v>
      </c>
      <c r="CW137" s="306">
        <v>0</v>
      </c>
      <c r="CX137" s="306">
        <v>0</v>
      </c>
      <c r="CY137" s="306">
        <v>37</v>
      </c>
      <c r="CZ137" s="306">
        <f t="shared" si="126"/>
        <v>32</v>
      </c>
      <c r="DA137" s="306">
        <v>5</v>
      </c>
      <c r="DB137" s="306">
        <v>25</v>
      </c>
      <c r="DC137" s="306">
        <v>12</v>
      </c>
      <c r="DD137" s="306">
        <v>25</v>
      </c>
      <c r="DE137" s="306">
        <v>15</v>
      </c>
      <c r="DF137" s="306">
        <v>12</v>
      </c>
      <c r="DG137" s="306">
        <v>24</v>
      </c>
      <c r="DH137" s="306">
        <v>22</v>
      </c>
      <c r="DI137" s="306">
        <v>0</v>
      </c>
      <c r="DJ137" s="306">
        <v>0</v>
      </c>
      <c r="DK137" s="306">
        <v>4</v>
      </c>
      <c r="DL137" s="306">
        <v>0</v>
      </c>
      <c r="DM137" s="306">
        <v>0</v>
      </c>
      <c r="DN137" s="306">
        <v>4</v>
      </c>
      <c r="DO137" s="306">
        <v>0</v>
      </c>
      <c r="DP137" s="306">
        <v>37</v>
      </c>
      <c r="DQ137" s="306">
        <f>37-2</f>
        <v>35</v>
      </c>
      <c r="DR137" s="3"/>
      <c r="DS137" s="3"/>
      <c r="DT137" s="3"/>
      <c r="DU137" s="3"/>
      <c r="DV137" s="3"/>
    </row>
    <row r="138" spans="1:126" x14ac:dyDescent="0.2">
      <c r="A138" s="198" t="s">
        <v>203</v>
      </c>
      <c r="B138" s="169">
        <v>132</v>
      </c>
      <c r="C138" s="12" t="s">
        <v>289</v>
      </c>
      <c r="D138" s="200">
        <v>1971</v>
      </c>
      <c r="E138" s="11"/>
      <c r="F138" s="169" t="s">
        <v>20</v>
      </c>
      <c r="G138" s="35">
        <v>1</v>
      </c>
      <c r="H138" s="201">
        <v>5</v>
      </c>
      <c r="I138" s="201" t="s">
        <v>22</v>
      </c>
      <c r="J138" s="115">
        <v>8980</v>
      </c>
      <c r="K138" s="115">
        <v>665</v>
      </c>
      <c r="L138" s="157">
        <v>782</v>
      </c>
      <c r="M138" s="115"/>
      <c r="N138" s="115">
        <v>59</v>
      </c>
      <c r="O138" s="115">
        <v>112</v>
      </c>
      <c r="P138" s="115">
        <v>59</v>
      </c>
      <c r="Q138" s="115">
        <v>100</v>
      </c>
      <c r="R138" s="228">
        <f>2524.68+0.04</f>
        <v>2524.7199999999998</v>
      </c>
      <c r="S138" s="230">
        <v>1718.12</v>
      </c>
      <c r="T138" s="115">
        <f t="shared" si="130"/>
        <v>45</v>
      </c>
      <c r="U138" s="203">
        <f t="shared" si="131"/>
        <v>1973.7099999999998</v>
      </c>
      <c r="V138" s="180">
        <f t="shared" si="132"/>
        <v>1372.4499999999998</v>
      </c>
      <c r="W138" s="115">
        <v>14</v>
      </c>
      <c r="X138" s="207">
        <v>551.01</v>
      </c>
      <c r="Y138" s="207">
        <v>345.67</v>
      </c>
      <c r="Z138" s="204"/>
      <c r="AA138" s="207"/>
      <c r="AB138" s="207"/>
      <c r="AC138" s="207">
        <f t="shared" si="133"/>
        <v>58</v>
      </c>
      <c r="AD138" s="248">
        <f t="shared" si="134"/>
        <v>58</v>
      </c>
      <c r="AE138" s="275"/>
      <c r="AF138" s="248">
        <v>58</v>
      </c>
      <c r="AG138" s="207"/>
      <c r="AH138" s="207"/>
      <c r="AI138" s="207">
        <f t="shared" si="135"/>
        <v>2582.7199999999998</v>
      </c>
      <c r="AJ138" s="170"/>
      <c r="AK138" s="170"/>
      <c r="AL138" s="170">
        <v>3</v>
      </c>
      <c r="AM138" s="170"/>
      <c r="AN138" s="170"/>
      <c r="AO138" s="170">
        <v>1</v>
      </c>
      <c r="AP138" s="170">
        <v>2400</v>
      </c>
      <c r="AQ138" s="170"/>
      <c r="AR138" s="170">
        <v>350</v>
      </c>
      <c r="AS138" s="170">
        <v>264</v>
      </c>
      <c r="AT138" s="170">
        <v>45</v>
      </c>
      <c r="AU138" s="170">
        <f t="shared" si="120"/>
        <v>2550</v>
      </c>
      <c r="AV138" s="170"/>
      <c r="AW138" s="170">
        <v>2550</v>
      </c>
      <c r="AX138" s="170">
        <v>1050</v>
      </c>
      <c r="AY138" s="170">
        <v>128</v>
      </c>
      <c r="AZ138" s="170">
        <v>651</v>
      </c>
      <c r="BA138" s="170">
        <v>651</v>
      </c>
      <c r="BB138" s="170">
        <v>16</v>
      </c>
      <c r="BC138" s="170">
        <v>8</v>
      </c>
      <c r="BD138" s="170">
        <v>175</v>
      </c>
      <c r="BE138" s="170">
        <v>295</v>
      </c>
      <c r="BF138" s="170"/>
      <c r="BG138" s="170">
        <v>3000</v>
      </c>
      <c r="BH138" s="170">
        <v>60</v>
      </c>
      <c r="BI138" s="170"/>
      <c r="BJ138" s="115" t="str">
        <f t="shared" si="136"/>
        <v>0</v>
      </c>
      <c r="BK138" s="115" t="str">
        <f t="shared" si="137"/>
        <v>0</v>
      </c>
      <c r="BL138" s="115" t="str">
        <f t="shared" si="138"/>
        <v>0</v>
      </c>
      <c r="BM138" s="115">
        <f t="shared" si="139"/>
        <v>1</v>
      </c>
      <c r="BN138" s="115">
        <f t="shared" si="140"/>
        <v>2524.7199999999998</v>
      </c>
      <c r="BO138" s="115">
        <f t="shared" si="141"/>
        <v>1718.12</v>
      </c>
      <c r="BP138" s="115" t="str">
        <f t="shared" si="142"/>
        <v>0</v>
      </c>
      <c r="BQ138" s="115" t="str">
        <f t="shared" si="143"/>
        <v>0</v>
      </c>
      <c r="BR138" s="115" t="str">
        <f t="shared" si="144"/>
        <v>0</v>
      </c>
      <c r="BS138" s="115"/>
      <c r="BT138" s="115"/>
      <c r="BU138" s="115">
        <f t="shared" si="129"/>
        <v>651</v>
      </c>
      <c r="BV138" s="115">
        <v>1882</v>
      </c>
      <c r="BW138" s="115"/>
      <c r="BX138" s="115"/>
      <c r="BY138" s="253">
        <v>855.81</v>
      </c>
      <c r="BZ138" s="253">
        <v>205.11</v>
      </c>
      <c r="CA138" s="205">
        <v>2362</v>
      </c>
      <c r="CB138" s="282">
        <f t="shared" si="145"/>
        <v>1697</v>
      </c>
      <c r="CC138" s="209" t="str">
        <f t="shared" si="121"/>
        <v>0</v>
      </c>
      <c r="CD138" s="235">
        <f t="shared" si="122"/>
        <v>0</v>
      </c>
      <c r="CE138" s="209">
        <f t="shared" si="127"/>
        <v>1</v>
      </c>
      <c r="CF138" s="235">
        <f t="shared" si="123"/>
        <v>2550</v>
      </c>
      <c r="CG138" s="235">
        <f t="shared" si="124"/>
        <v>1</v>
      </c>
      <c r="CH138" s="235">
        <f t="shared" si="125"/>
        <v>2550</v>
      </c>
      <c r="CI138" s="156">
        <v>50</v>
      </c>
      <c r="CJ138" s="284" t="str">
        <f t="shared" si="146"/>
        <v>0</v>
      </c>
      <c r="CK138" s="284" t="str">
        <f t="shared" si="147"/>
        <v>0</v>
      </c>
      <c r="CL138" s="243">
        <f t="shared" si="148"/>
        <v>21.824598371304543</v>
      </c>
      <c r="CM138" s="216" t="str">
        <f t="shared" si="149"/>
        <v>0</v>
      </c>
      <c r="CN138" s="216" t="str">
        <f t="shared" si="150"/>
        <v>0</v>
      </c>
      <c r="CO138" s="243">
        <f t="shared" si="151"/>
        <v>23.580179036055014</v>
      </c>
      <c r="CP138" s="306">
        <v>1</v>
      </c>
      <c r="CQ138" s="306">
        <v>0</v>
      </c>
      <c r="CR138" s="306">
        <v>0</v>
      </c>
      <c r="CS138" s="306">
        <v>0</v>
      </c>
      <c r="CT138" s="306">
        <v>1</v>
      </c>
      <c r="CU138" s="306">
        <v>0</v>
      </c>
      <c r="CV138" s="306">
        <v>0</v>
      </c>
      <c r="CW138" s="306">
        <v>0</v>
      </c>
      <c r="CX138" s="306">
        <v>0</v>
      </c>
      <c r="CY138" s="306">
        <v>60</v>
      </c>
      <c r="CZ138" s="306">
        <f t="shared" si="126"/>
        <v>47</v>
      </c>
      <c r="DA138" s="306">
        <v>13</v>
      </c>
      <c r="DB138" s="306">
        <v>46</v>
      </c>
      <c r="DC138" s="306">
        <v>23</v>
      </c>
      <c r="DD138" s="306">
        <v>37</v>
      </c>
      <c r="DE138" s="306">
        <v>23</v>
      </c>
      <c r="DF138" s="306">
        <v>23</v>
      </c>
      <c r="DG138" s="306">
        <v>37</v>
      </c>
      <c r="DH138" s="306">
        <v>23</v>
      </c>
      <c r="DI138" s="306">
        <v>13</v>
      </c>
      <c r="DJ138" s="306">
        <v>5</v>
      </c>
      <c r="DK138" s="306">
        <v>10</v>
      </c>
      <c r="DL138" s="306">
        <v>5</v>
      </c>
      <c r="DM138" s="306">
        <v>5</v>
      </c>
      <c r="DN138" s="306">
        <v>10</v>
      </c>
      <c r="DO138" s="306">
        <v>5</v>
      </c>
      <c r="DP138" s="306">
        <v>60</v>
      </c>
      <c r="DQ138" s="306">
        <v>60</v>
      </c>
    </row>
    <row r="139" spans="1:126" x14ac:dyDescent="0.2">
      <c r="A139" s="12" t="s">
        <v>197</v>
      </c>
      <c r="B139" s="169">
        <v>133</v>
      </c>
      <c r="C139" s="12" t="s">
        <v>281</v>
      </c>
      <c r="D139" s="200">
        <v>1948</v>
      </c>
      <c r="E139" s="11"/>
      <c r="F139" s="169" t="s">
        <v>207</v>
      </c>
      <c r="G139" s="35">
        <v>1</v>
      </c>
      <c r="H139" s="201">
        <v>5</v>
      </c>
      <c r="I139" s="201" t="s">
        <v>19</v>
      </c>
      <c r="J139" s="115">
        <v>19183</v>
      </c>
      <c r="K139" s="115">
        <v>1311</v>
      </c>
      <c r="L139" s="157">
        <v>1599</v>
      </c>
      <c r="M139" s="115"/>
      <c r="N139" s="115">
        <v>30</v>
      </c>
      <c r="O139" s="115">
        <v>87</v>
      </c>
      <c r="P139" s="115">
        <v>31</v>
      </c>
      <c r="Q139" s="115">
        <v>57</v>
      </c>
      <c r="R139" s="228">
        <v>2546.9</v>
      </c>
      <c r="S139" s="230">
        <v>1688.8999999999999</v>
      </c>
      <c r="T139" s="115">
        <f t="shared" si="130"/>
        <v>24</v>
      </c>
      <c r="U139" s="203">
        <f t="shared" si="131"/>
        <v>2031.9</v>
      </c>
      <c r="V139" s="180">
        <f t="shared" si="132"/>
        <v>1369.6</v>
      </c>
      <c r="W139" s="115">
        <v>6</v>
      </c>
      <c r="X139" s="207">
        <v>515</v>
      </c>
      <c r="Y139" s="207">
        <v>319.3</v>
      </c>
      <c r="Z139" s="204"/>
      <c r="AA139" s="207"/>
      <c r="AB139" s="207"/>
      <c r="AC139" s="207">
        <f t="shared" si="133"/>
        <v>1396.4</v>
      </c>
      <c r="AD139" s="248">
        <f t="shared" si="134"/>
        <v>10.4</v>
      </c>
      <c r="AE139" s="275"/>
      <c r="AF139" s="248">
        <v>10.4</v>
      </c>
      <c r="AG139" s="207">
        <f>1384.9+1.1</f>
        <v>1386</v>
      </c>
      <c r="AH139" s="207"/>
      <c r="AI139" s="207">
        <f t="shared" si="135"/>
        <v>3943.3</v>
      </c>
      <c r="AJ139" s="170"/>
      <c r="AK139" s="170"/>
      <c r="AL139" s="170">
        <v>3</v>
      </c>
      <c r="AM139" s="170"/>
      <c r="AN139" s="170"/>
      <c r="AO139" s="170">
        <v>2</v>
      </c>
      <c r="AP139" s="170">
        <v>2716</v>
      </c>
      <c r="AQ139" s="170"/>
      <c r="AR139" s="170">
        <v>220</v>
      </c>
      <c r="AS139" s="170">
        <v>402</v>
      </c>
      <c r="AT139" s="170">
        <v>45</v>
      </c>
      <c r="AU139" s="170">
        <f t="shared" si="120"/>
        <v>2520</v>
      </c>
      <c r="AV139" s="170"/>
      <c r="AW139" s="170">
        <v>2520</v>
      </c>
      <c r="AX139" s="170"/>
      <c r="AY139" s="170">
        <v>106</v>
      </c>
      <c r="AZ139" s="170">
        <v>1380</v>
      </c>
      <c r="BA139" s="170">
        <v>1380</v>
      </c>
      <c r="BB139" s="170">
        <v>12</v>
      </c>
      <c r="BC139" s="170">
        <v>6</v>
      </c>
      <c r="BD139" s="170">
        <v>139</v>
      </c>
      <c r="BE139" s="170">
        <v>250</v>
      </c>
      <c r="BF139" s="170">
        <v>1</v>
      </c>
      <c r="BG139" s="170">
        <v>2562</v>
      </c>
      <c r="BH139" s="170">
        <v>76</v>
      </c>
      <c r="BI139" s="170">
        <v>0</v>
      </c>
      <c r="BJ139" s="115">
        <f t="shared" si="136"/>
        <v>1</v>
      </c>
      <c r="BK139" s="115">
        <f t="shared" si="137"/>
        <v>2546.9</v>
      </c>
      <c r="BL139" s="115">
        <f t="shared" si="138"/>
        <v>1688.8999999999999</v>
      </c>
      <c r="BM139" s="115" t="str">
        <f t="shared" si="139"/>
        <v>0</v>
      </c>
      <c r="BN139" s="115" t="str">
        <f t="shared" si="140"/>
        <v>0</v>
      </c>
      <c r="BO139" s="115" t="str">
        <f t="shared" si="141"/>
        <v>0</v>
      </c>
      <c r="BP139" s="115" t="str">
        <f t="shared" si="142"/>
        <v>0</v>
      </c>
      <c r="BQ139" s="115" t="str">
        <f t="shared" si="143"/>
        <v>0</v>
      </c>
      <c r="BR139" s="115" t="str">
        <f t="shared" si="144"/>
        <v>0</v>
      </c>
      <c r="BS139" s="115"/>
      <c r="BT139" s="115">
        <v>2</v>
      </c>
      <c r="BU139" s="115">
        <f t="shared" si="129"/>
        <v>1380</v>
      </c>
      <c r="BV139" s="115">
        <v>2287</v>
      </c>
      <c r="BW139" s="115"/>
      <c r="BX139" s="115">
        <f>AP139</f>
        <v>2716</v>
      </c>
      <c r="BY139" s="253">
        <v>1654.5</v>
      </c>
      <c r="BZ139" s="253">
        <v>355.3</v>
      </c>
      <c r="CA139" s="205">
        <v>2279</v>
      </c>
      <c r="CB139" s="282">
        <f t="shared" si="145"/>
        <v>968</v>
      </c>
      <c r="CC139" s="209" t="str">
        <f t="shared" si="121"/>
        <v>0</v>
      </c>
      <c r="CD139" s="235">
        <f t="shared" si="122"/>
        <v>0</v>
      </c>
      <c r="CE139" s="209">
        <f t="shared" si="127"/>
        <v>1</v>
      </c>
      <c r="CF139" s="235">
        <f t="shared" si="123"/>
        <v>2520</v>
      </c>
      <c r="CG139" s="235">
        <f t="shared" si="124"/>
        <v>1</v>
      </c>
      <c r="CH139" s="235">
        <f t="shared" si="125"/>
        <v>2520</v>
      </c>
      <c r="CI139" s="156">
        <v>46</v>
      </c>
      <c r="CJ139" s="284" t="str">
        <f t="shared" si="146"/>
        <v>0</v>
      </c>
      <c r="CK139" s="284" t="str">
        <f t="shared" si="147"/>
        <v>0</v>
      </c>
      <c r="CL139" s="243">
        <f t="shared" si="148"/>
        <v>20.220660410695356</v>
      </c>
      <c r="CM139" s="216" t="str">
        <f t="shared" si="149"/>
        <v>0</v>
      </c>
      <c r="CN139" s="216" t="str">
        <f t="shared" si="150"/>
        <v>0</v>
      </c>
      <c r="CO139" s="243">
        <f t="shared" si="151"/>
        <v>13.323865797682144</v>
      </c>
      <c r="CP139" s="306">
        <v>1</v>
      </c>
      <c r="CQ139" s="306">
        <v>0</v>
      </c>
      <c r="CR139" s="306">
        <v>0</v>
      </c>
      <c r="CS139" s="306">
        <v>0</v>
      </c>
      <c r="CT139" s="306">
        <v>1</v>
      </c>
      <c r="CU139" s="306">
        <v>0</v>
      </c>
      <c r="CV139" s="306">
        <v>0</v>
      </c>
      <c r="CW139" s="306">
        <v>0</v>
      </c>
      <c r="CX139" s="306">
        <v>0</v>
      </c>
      <c r="CY139" s="306">
        <v>30</v>
      </c>
      <c r="CZ139" s="306">
        <f t="shared" si="126"/>
        <v>28</v>
      </c>
      <c r="DA139" s="306">
        <v>2</v>
      </c>
      <c r="DB139" s="306">
        <v>19</v>
      </c>
      <c r="DC139" s="306">
        <v>11</v>
      </c>
      <c r="DD139" s="306">
        <v>18</v>
      </c>
      <c r="DE139" s="306">
        <v>16</v>
      </c>
      <c r="DF139" s="306">
        <v>11</v>
      </c>
      <c r="DG139" s="306">
        <v>18</v>
      </c>
      <c r="DH139" s="306">
        <v>16</v>
      </c>
      <c r="DI139" s="306">
        <v>0</v>
      </c>
      <c r="DJ139" s="306">
        <v>0</v>
      </c>
      <c r="DK139" s="306">
        <v>2</v>
      </c>
      <c r="DL139" s="306">
        <v>0</v>
      </c>
      <c r="DM139" s="306">
        <v>0</v>
      </c>
      <c r="DN139" s="306">
        <v>2</v>
      </c>
      <c r="DO139" s="306">
        <v>0</v>
      </c>
      <c r="DP139" s="306">
        <v>30</v>
      </c>
      <c r="DQ139" s="306">
        <f>30-2</f>
        <v>28</v>
      </c>
    </row>
    <row r="140" spans="1:126" x14ac:dyDescent="0.2">
      <c r="A140" s="12" t="s">
        <v>197</v>
      </c>
      <c r="B140" s="169">
        <v>134</v>
      </c>
      <c r="C140" s="12" t="s">
        <v>282</v>
      </c>
      <c r="D140" s="200">
        <v>1986</v>
      </c>
      <c r="E140" s="11"/>
      <c r="F140" s="206" t="s">
        <v>24</v>
      </c>
      <c r="G140" s="35">
        <v>1</v>
      </c>
      <c r="H140" s="201">
        <v>9</v>
      </c>
      <c r="I140" s="201" t="s">
        <v>22</v>
      </c>
      <c r="J140" s="115">
        <v>10218</v>
      </c>
      <c r="K140" s="115">
        <v>399</v>
      </c>
      <c r="L140" s="157"/>
      <c r="M140" s="115">
        <v>378</v>
      </c>
      <c r="N140" s="115">
        <v>33</v>
      </c>
      <c r="O140" s="115">
        <v>101</v>
      </c>
      <c r="P140" s="115">
        <v>33</v>
      </c>
      <c r="Q140" s="115">
        <v>64</v>
      </c>
      <c r="R140" s="228">
        <f>2236.6-0.9</f>
        <v>2235.6999999999998</v>
      </c>
      <c r="S140" s="230">
        <v>1423.8</v>
      </c>
      <c r="T140" s="115">
        <f t="shared" si="130"/>
        <v>30</v>
      </c>
      <c r="U140" s="203">
        <f t="shared" si="131"/>
        <v>2071.1</v>
      </c>
      <c r="V140" s="180">
        <f t="shared" si="132"/>
        <v>1321.75</v>
      </c>
      <c r="W140" s="115">
        <v>3</v>
      </c>
      <c r="X140" s="207">
        <v>164.6</v>
      </c>
      <c r="Y140" s="207">
        <v>102.05</v>
      </c>
      <c r="Z140" s="204"/>
      <c r="AA140" s="207"/>
      <c r="AB140" s="207"/>
      <c r="AC140" s="207">
        <f t="shared" si="133"/>
        <v>124</v>
      </c>
      <c r="AD140" s="248">
        <f t="shared" si="134"/>
        <v>124</v>
      </c>
      <c r="AE140" s="275"/>
      <c r="AF140" s="248">
        <v>124</v>
      </c>
      <c r="AG140" s="207"/>
      <c r="AH140" s="207"/>
      <c r="AI140" s="207">
        <f t="shared" si="135"/>
        <v>2359.6999999999998</v>
      </c>
      <c r="AJ140" s="170"/>
      <c r="AK140" s="170">
        <v>1</v>
      </c>
      <c r="AL140" s="170">
        <v>1</v>
      </c>
      <c r="AM140" s="170">
        <v>1</v>
      </c>
      <c r="AN140" s="170"/>
      <c r="AO140" s="170">
        <v>1</v>
      </c>
      <c r="AP140" s="170">
        <v>1860</v>
      </c>
      <c r="AQ140" s="170"/>
      <c r="AR140" s="170">
        <v>280</v>
      </c>
      <c r="AS140" s="170">
        <v>168</v>
      </c>
      <c r="AT140" s="170">
        <v>75</v>
      </c>
      <c r="AU140" s="170">
        <f t="shared" si="120"/>
        <v>3590</v>
      </c>
      <c r="AV140" s="170"/>
      <c r="AW140" s="170">
        <v>3590</v>
      </c>
      <c r="AX140" s="170">
        <v>840</v>
      </c>
      <c r="AY140" s="170">
        <v>114</v>
      </c>
      <c r="AZ140" s="170">
        <v>448</v>
      </c>
      <c r="BA140" s="170">
        <v>448</v>
      </c>
      <c r="BB140" s="170">
        <v>18</v>
      </c>
      <c r="BC140" s="170">
        <v>21</v>
      </c>
      <c r="BD140" s="170">
        <v>116</v>
      </c>
      <c r="BE140" s="170">
        <v>212</v>
      </c>
      <c r="BF140" s="170">
        <v>1</v>
      </c>
      <c r="BG140" s="170">
        <v>3800</v>
      </c>
      <c r="BH140" s="170">
        <v>1635</v>
      </c>
      <c r="BI140" s="170">
        <v>45</v>
      </c>
      <c r="BJ140" s="115" t="str">
        <f t="shared" si="136"/>
        <v>0</v>
      </c>
      <c r="BK140" s="115" t="str">
        <f t="shared" si="137"/>
        <v>0</v>
      </c>
      <c r="BL140" s="115" t="str">
        <f t="shared" si="138"/>
        <v>0</v>
      </c>
      <c r="BM140" s="115">
        <f t="shared" si="139"/>
        <v>1</v>
      </c>
      <c r="BN140" s="115">
        <f t="shared" si="140"/>
        <v>2235.6999999999998</v>
      </c>
      <c r="BO140" s="115">
        <f t="shared" si="141"/>
        <v>1423.8</v>
      </c>
      <c r="BP140" s="115" t="str">
        <f t="shared" si="142"/>
        <v>0</v>
      </c>
      <c r="BQ140" s="115" t="str">
        <f t="shared" si="143"/>
        <v>0</v>
      </c>
      <c r="BR140" s="115" t="str">
        <f t="shared" si="144"/>
        <v>0</v>
      </c>
      <c r="BS140" s="115"/>
      <c r="BT140" s="115"/>
      <c r="BU140" s="115"/>
      <c r="BV140" s="115"/>
      <c r="BW140" s="115"/>
      <c r="BX140" s="115"/>
      <c r="BY140" s="253">
        <v>810.39999999999986</v>
      </c>
      <c r="BZ140" s="253">
        <v>374.4</v>
      </c>
      <c r="CA140" s="205">
        <v>1808</v>
      </c>
      <c r="CB140" s="282">
        <f t="shared" si="145"/>
        <v>1409</v>
      </c>
      <c r="CC140" s="209" t="str">
        <f t="shared" si="121"/>
        <v>0</v>
      </c>
      <c r="CD140" s="235">
        <f t="shared" si="122"/>
        <v>0</v>
      </c>
      <c r="CE140" s="209">
        <f t="shared" si="127"/>
        <v>1</v>
      </c>
      <c r="CF140" s="235">
        <f t="shared" si="123"/>
        <v>3590</v>
      </c>
      <c r="CG140" s="235">
        <f t="shared" si="124"/>
        <v>1</v>
      </c>
      <c r="CH140" s="235">
        <f t="shared" si="125"/>
        <v>3590</v>
      </c>
      <c r="CI140" s="156">
        <v>54</v>
      </c>
      <c r="CJ140" s="284" t="str">
        <f t="shared" si="146"/>
        <v>0</v>
      </c>
      <c r="CK140" s="284" t="str">
        <f t="shared" si="147"/>
        <v>0</v>
      </c>
      <c r="CL140" s="243">
        <f t="shared" si="148"/>
        <v>7.3623473632419376</v>
      </c>
      <c r="CM140" s="216" t="str">
        <f t="shared" si="149"/>
        <v>0</v>
      </c>
      <c r="CN140" s="216" t="str">
        <f t="shared" si="150"/>
        <v>0</v>
      </c>
      <c r="CO140" s="243">
        <f t="shared" si="151"/>
        <v>12.230368267152606</v>
      </c>
      <c r="CP140" s="306">
        <v>1</v>
      </c>
      <c r="CQ140" s="306">
        <v>0</v>
      </c>
      <c r="CR140" s="306">
        <v>0</v>
      </c>
      <c r="CS140" s="306">
        <v>0</v>
      </c>
      <c r="CT140" s="306">
        <v>2</v>
      </c>
      <c r="CU140" s="306">
        <v>0</v>
      </c>
      <c r="CV140" s="306">
        <v>0</v>
      </c>
      <c r="CW140" s="306">
        <v>0</v>
      </c>
      <c r="CX140" s="306">
        <v>0</v>
      </c>
      <c r="CY140" s="306">
        <v>32</v>
      </c>
      <c r="CZ140" s="306">
        <f t="shared" si="126"/>
        <v>29</v>
      </c>
      <c r="DA140" s="306">
        <v>3</v>
      </c>
      <c r="DB140" s="306">
        <v>30</v>
      </c>
      <c r="DC140" s="306">
        <v>19</v>
      </c>
      <c r="DD140" s="306">
        <v>13</v>
      </c>
      <c r="DE140" s="306">
        <v>19</v>
      </c>
      <c r="DF140" s="306">
        <v>19</v>
      </c>
      <c r="DG140" s="306">
        <v>13</v>
      </c>
      <c r="DH140" s="306">
        <v>19</v>
      </c>
      <c r="DI140" s="306">
        <v>2</v>
      </c>
      <c r="DJ140" s="306">
        <v>1</v>
      </c>
      <c r="DK140" s="306">
        <v>1</v>
      </c>
      <c r="DL140" s="306">
        <v>1</v>
      </c>
      <c r="DM140" s="306">
        <v>1</v>
      </c>
      <c r="DN140" s="306">
        <v>1</v>
      </c>
      <c r="DO140" s="306">
        <v>1</v>
      </c>
      <c r="DP140" s="306">
        <v>32</v>
      </c>
      <c r="DQ140" s="306">
        <v>32</v>
      </c>
    </row>
    <row r="141" spans="1:126" x14ac:dyDescent="0.2">
      <c r="A141" s="12" t="s">
        <v>197</v>
      </c>
      <c r="B141" s="169">
        <v>135</v>
      </c>
      <c r="C141" s="12" t="s">
        <v>283</v>
      </c>
      <c r="D141" s="200">
        <v>1992</v>
      </c>
      <c r="E141" s="11"/>
      <c r="F141" s="206" t="s">
        <v>24</v>
      </c>
      <c r="G141" s="35">
        <v>1</v>
      </c>
      <c r="H141" s="201">
        <v>9</v>
      </c>
      <c r="I141" s="201" t="s">
        <v>22</v>
      </c>
      <c r="J141" s="115">
        <v>11404</v>
      </c>
      <c r="K141" s="115">
        <v>725</v>
      </c>
      <c r="L141" s="157"/>
      <c r="M141" s="115">
        <v>384</v>
      </c>
      <c r="N141" s="115">
        <v>32</v>
      </c>
      <c r="O141" s="115">
        <v>96</v>
      </c>
      <c r="P141" s="115">
        <v>32</v>
      </c>
      <c r="Q141" s="115">
        <v>88</v>
      </c>
      <c r="R141" s="228">
        <v>2145.6999999999998</v>
      </c>
      <c r="S141" s="230">
        <v>1386.7</v>
      </c>
      <c r="T141" s="115">
        <f t="shared" si="130"/>
        <v>30</v>
      </c>
      <c r="U141" s="203">
        <f t="shared" si="131"/>
        <v>2011.6999999999998</v>
      </c>
      <c r="V141" s="180">
        <f t="shared" si="132"/>
        <v>1300</v>
      </c>
      <c r="W141" s="115">
        <v>2</v>
      </c>
      <c r="X141" s="207">
        <v>134</v>
      </c>
      <c r="Y141" s="207">
        <v>86.7</v>
      </c>
      <c r="Z141" s="204"/>
      <c r="AA141" s="207"/>
      <c r="AB141" s="207"/>
      <c r="AC141" s="207">
        <f t="shared" si="133"/>
        <v>468.4</v>
      </c>
      <c r="AD141" s="248">
        <f t="shared" si="134"/>
        <v>0</v>
      </c>
      <c r="AE141" s="275"/>
      <c r="AF141" s="248"/>
      <c r="AG141" s="207">
        <f>476.5-8.1</f>
        <v>468.4</v>
      </c>
      <c r="AH141" s="207"/>
      <c r="AI141" s="207">
        <f t="shared" si="135"/>
        <v>2614.1</v>
      </c>
      <c r="AJ141" s="170"/>
      <c r="AK141" s="170">
        <v>1</v>
      </c>
      <c r="AL141" s="170">
        <v>1</v>
      </c>
      <c r="AM141" s="170">
        <v>1</v>
      </c>
      <c r="AN141" s="170"/>
      <c r="AO141" s="170">
        <v>1</v>
      </c>
      <c r="AP141" s="170">
        <v>1860</v>
      </c>
      <c r="AQ141" s="170"/>
      <c r="AR141" s="170">
        <v>195</v>
      </c>
      <c r="AS141" s="170">
        <v>308</v>
      </c>
      <c r="AT141" s="170">
        <v>75</v>
      </c>
      <c r="AU141" s="170">
        <f t="shared" si="120"/>
        <v>4090</v>
      </c>
      <c r="AV141" s="170"/>
      <c r="AW141" s="170">
        <v>4090</v>
      </c>
      <c r="AX141" s="170">
        <v>840</v>
      </c>
      <c r="AY141" s="170">
        <v>112</v>
      </c>
      <c r="AZ141" s="170">
        <v>411</v>
      </c>
      <c r="BA141" s="170">
        <v>411</v>
      </c>
      <c r="BB141" s="170">
        <v>36</v>
      </c>
      <c r="BC141" s="170">
        <v>42</v>
      </c>
      <c r="BD141" s="170">
        <v>116</v>
      </c>
      <c r="BE141" s="170">
        <v>212</v>
      </c>
      <c r="BF141" s="170">
        <v>1</v>
      </c>
      <c r="BG141" s="170">
        <v>3800</v>
      </c>
      <c r="BH141" s="170">
        <v>1635</v>
      </c>
      <c r="BI141" s="170">
        <v>45</v>
      </c>
      <c r="BJ141" s="115" t="str">
        <f t="shared" si="136"/>
        <v>0</v>
      </c>
      <c r="BK141" s="115" t="str">
        <f t="shared" si="137"/>
        <v>0</v>
      </c>
      <c r="BL141" s="115" t="str">
        <f t="shared" si="138"/>
        <v>0</v>
      </c>
      <c r="BM141" s="115">
        <f t="shared" si="139"/>
        <v>1</v>
      </c>
      <c r="BN141" s="115">
        <f t="shared" si="140"/>
        <v>2145.6999999999998</v>
      </c>
      <c r="BO141" s="115">
        <f t="shared" si="141"/>
        <v>1386.7</v>
      </c>
      <c r="BP141" s="115" t="str">
        <f t="shared" si="142"/>
        <v>0</v>
      </c>
      <c r="BQ141" s="115" t="str">
        <f t="shared" si="143"/>
        <v>0</v>
      </c>
      <c r="BR141" s="115" t="str">
        <f t="shared" si="144"/>
        <v>0</v>
      </c>
      <c r="BS141" s="115"/>
      <c r="BT141" s="115">
        <v>1</v>
      </c>
      <c r="BU141" s="115"/>
      <c r="BV141" s="115"/>
      <c r="BW141" s="115"/>
      <c r="BX141" s="115"/>
      <c r="BY141" s="253">
        <v>753.3</v>
      </c>
      <c r="BZ141" s="253">
        <v>392.3</v>
      </c>
      <c r="CA141" s="205">
        <v>1272</v>
      </c>
      <c r="CB141" s="282">
        <f t="shared" si="145"/>
        <v>547</v>
      </c>
      <c r="CC141" s="209" t="str">
        <f t="shared" si="121"/>
        <v>0</v>
      </c>
      <c r="CD141" s="235">
        <f t="shared" si="122"/>
        <v>0</v>
      </c>
      <c r="CE141" s="209">
        <f t="shared" si="127"/>
        <v>1</v>
      </c>
      <c r="CF141" s="235">
        <f t="shared" si="123"/>
        <v>4090</v>
      </c>
      <c r="CG141" s="235">
        <f t="shared" si="124"/>
        <v>1</v>
      </c>
      <c r="CH141" s="235">
        <f t="shared" si="125"/>
        <v>4090</v>
      </c>
      <c r="CI141" s="156">
        <v>55</v>
      </c>
      <c r="CJ141" s="284" t="str">
        <f t="shared" si="146"/>
        <v>0</v>
      </c>
      <c r="CK141" s="284" t="str">
        <f t="shared" si="147"/>
        <v>0</v>
      </c>
      <c r="CL141" s="243">
        <f t="shared" si="148"/>
        <v>6.2450482360068982</v>
      </c>
      <c r="CM141" s="216" t="str">
        <f t="shared" si="149"/>
        <v>0</v>
      </c>
      <c r="CN141" s="216" t="str">
        <f t="shared" si="150"/>
        <v>0</v>
      </c>
      <c r="CO141" s="243">
        <f t="shared" si="151"/>
        <v>5.1260472055391917</v>
      </c>
      <c r="CP141" s="306">
        <v>1</v>
      </c>
      <c r="CQ141" s="306">
        <v>0</v>
      </c>
      <c r="CR141" s="306">
        <v>0</v>
      </c>
      <c r="CS141" s="306">
        <v>0</v>
      </c>
      <c r="CT141" s="306">
        <v>2</v>
      </c>
      <c r="CU141" s="306">
        <v>0</v>
      </c>
      <c r="CV141" s="306">
        <v>0</v>
      </c>
      <c r="CW141" s="306">
        <v>0</v>
      </c>
      <c r="CX141" s="306">
        <v>0</v>
      </c>
      <c r="CY141" s="306">
        <v>32</v>
      </c>
      <c r="CZ141" s="306">
        <f t="shared" si="126"/>
        <v>30</v>
      </c>
      <c r="DA141" s="306">
        <v>2</v>
      </c>
      <c r="DB141" s="306">
        <v>29</v>
      </c>
      <c r="DC141" s="306">
        <v>19</v>
      </c>
      <c r="DD141" s="306">
        <v>12</v>
      </c>
      <c r="DE141" s="306">
        <v>20</v>
      </c>
      <c r="DF141" s="306">
        <v>19</v>
      </c>
      <c r="DG141" s="306">
        <v>12</v>
      </c>
      <c r="DH141" s="306">
        <v>20</v>
      </c>
      <c r="DI141" s="306">
        <v>2</v>
      </c>
      <c r="DJ141" s="306">
        <v>1</v>
      </c>
      <c r="DK141" s="306">
        <v>0</v>
      </c>
      <c r="DL141" s="306">
        <v>1</v>
      </c>
      <c r="DM141" s="306">
        <v>1</v>
      </c>
      <c r="DN141" s="306">
        <v>0</v>
      </c>
      <c r="DO141" s="306">
        <v>1</v>
      </c>
      <c r="DP141" s="306">
        <v>32</v>
      </c>
      <c r="DQ141" s="306">
        <v>32</v>
      </c>
    </row>
    <row r="142" spans="1:126" x14ac:dyDescent="0.2">
      <c r="A142" s="12" t="s">
        <v>197</v>
      </c>
      <c r="B142" s="169">
        <v>136</v>
      </c>
      <c r="C142" s="12" t="s">
        <v>284</v>
      </c>
      <c r="D142" s="200">
        <v>1996</v>
      </c>
      <c r="E142" s="11"/>
      <c r="F142" s="169" t="s">
        <v>24</v>
      </c>
      <c r="G142" s="35">
        <v>1</v>
      </c>
      <c r="H142" s="201">
        <v>9</v>
      </c>
      <c r="I142" s="201" t="s">
        <v>22</v>
      </c>
      <c r="J142" s="115">
        <v>25496</v>
      </c>
      <c r="K142" s="115">
        <v>1050</v>
      </c>
      <c r="L142" s="157"/>
      <c r="M142" s="115">
        <v>1050</v>
      </c>
      <c r="N142" s="115">
        <f>71-1+1+1</f>
        <v>72</v>
      </c>
      <c r="O142" s="115">
        <f>136-4+2+2</f>
        <v>136</v>
      </c>
      <c r="P142" s="115">
        <v>72</v>
      </c>
      <c r="Q142" s="115">
        <v>96</v>
      </c>
      <c r="R142" s="228">
        <f>5355.7-169.9+87.7+75.1+6.2+2.1+2.1+2.5</f>
        <v>5361.5000000000009</v>
      </c>
      <c r="S142" s="230">
        <v>2765.6</v>
      </c>
      <c r="T142" s="115">
        <f t="shared" si="130"/>
        <v>70</v>
      </c>
      <c r="U142" s="203">
        <f t="shared" si="131"/>
        <v>5214.6000000000013</v>
      </c>
      <c r="V142" s="180">
        <f t="shared" si="132"/>
        <v>2674.52</v>
      </c>
      <c r="W142" s="115">
        <v>2</v>
      </c>
      <c r="X142" s="207">
        <v>146.9</v>
      </c>
      <c r="Y142" s="207">
        <v>91.08</v>
      </c>
      <c r="Z142" s="204"/>
      <c r="AA142" s="207"/>
      <c r="AB142" s="207"/>
      <c r="AC142" s="207">
        <f t="shared" si="133"/>
        <v>658.4</v>
      </c>
      <c r="AD142" s="248">
        <f t="shared" si="134"/>
        <v>0</v>
      </c>
      <c r="AE142" s="275"/>
      <c r="AF142" s="248"/>
      <c r="AG142" s="207">
        <v>658.4</v>
      </c>
      <c r="AH142" s="207"/>
      <c r="AI142" s="207">
        <f t="shared" si="135"/>
        <v>6019.9000000000005</v>
      </c>
      <c r="AJ142" s="170"/>
      <c r="AK142" s="170">
        <v>2</v>
      </c>
      <c r="AL142" s="170">
        <v>2</v>
      </c>
      <c r="AM142" s="170">
        <v>2</v>
      </c>
      <c r="AN142" s="170"/>
      <c r="AO142" s="170">
        <v>2</v>
      </c>
      <c r="AP142" s="170">
        <v>5014</v>
      </c>
      <c r="AQ142" s="170"/>
      <c r="AR142" s="170">
        <v>360</v>
      </c>
      <c r="AS142" s="170">
        <v>318</v>
      </c>
      <c r="AT142" s="170">
        <v>150</v>
      </c>
      <c r="AU142" s="170">
        <f t="shared" si="120"/>
        <v>11100</v>
      </c>
      <c r="AV142" s="170">
        <v>11100</v>
      </c>
      <c r="AW142" s="170"/>
      <c r="AX142" s="170"/>
      <c r="AY142" s="170">
        <v>260</v>
      </c>
      <c r="AZ142" s="170">
        <v>1050</v>
      </c>
      <c r="BA142" s="170">
        <v>826</v>
      </c>
      <c r="BB142" s="170">
        <v>32</v>
      </c>
      <c r="BC142" s="170">
        <v>8</v>
      </c>
      <c r="BD142" s="170">
        <v>195</v>
      </c>
      <c r="BE142" s="170">
        <v>408</v>
      </c>
      <c r="BF142" s="170">
        <v>1</v>
      </c>
      <c r="BG142" s="170">
        <v>11400</v>
      </c>
      <c r="BH142" s="170">
        <v>3270</v>
      </c>
      <c r="BI142" s="170">
        <v>90</v>
      </c>
      <c r="BJ142" s="115" t="str">
        <f t="shared" si="136"/>
        <v>0</v>
      </c>
      <c r="BK142" s="115" t="str">
        <f t="shared" si="137"/>
        <v>0</v>
      </c>
      <c r="BL142" s="115" t="str">
        <f t="shared" si="138"/>
        <v>0</v>
      </c>
      <c r="BM142" s="115">
        <f t="shared" si="139"/>
        <v>1</v>
      </c>
      <c r="BN142" s="115">
        <f t="shared" si="140"/>
        <v>5361.5000000000009</v>
      </c>
      <c r="BO142" s="115">
        <f t="shared" si="141"/>
        <v>2765.6</v>
      </c>
      <c r="BP142" s="115" t="str">
        <f t="shared" si="142"/>
        <v>0</v>
      </c>
      <c r="BQ142" s="115" t="str">
        <f t="shared" si="143"/>
        <v>0</v>
      </c>
      <c r="BR142" s="115" t="str">
        <f t="shared" si="144"/>
        <v>0</v>
      </c>
      <c r="BS142" s="115"/>
      <c r="BT142" s="115">
        <v>2</v>
      </c>
      <c r="BU142" s="115"/>
      <c r="BV142" s="115"/>
      <c r="BW142" s="115"/>
      <c r="BX142" s="115"/>
      <c r="BY142" s="253">
        <v>1697.5</v>
      </c>
      <c r="BZ142" s="253">
        <v>805.5</v>
      </c>
      <c r="CA142" s="205">
        <v>3161</v>
      </c>
      <c r="CB142" s="282">
        <f t="shared" si="145"/>
        <v>2111</v>
      </c>
      <c r="CC142" s="209">
        <f t="shared" si="121"/>
        <v>1</v>
      </c>
      <c r="CD142" s="235">
        <f t="shared" si="122"/>
        <v>11100</v>
      </c>
      <c r="CE142" s="209" t="str">
        <f t="shared" si="127"/>
        <v>0</v>
      </c>
      <c r="CF142" s="235">
        <f t="shared" si="123"/>
        <v>0</v>
      </c>
      <c r="CG142" s="235">
        <f t="shared" si="124"/>
        <v>1</v>
      </c>
      <c r="CH142" s="235">
        <f t="shared" si="125"/>
        <v>11100</v>
      </c>
      <c r="CI142" s="156">
        <v>51</v>
      </c>
      <c r="CJ142" s="284" t="str">
        <f t="shared" si="146"/>
        <v>0</v>
      </c>
      <c r="CK142" s="284" t="str">
        <f t="shared" si="147"/>
        <v>0</v>
      </c>
      <c r="CL142" s="243">
        <f t="shared" si="148"/>
        <v>2.7399048773664081</v>
      </c>
      <c r="CM142" s="216" t="str">
        <f t="shared" si="149"/>
        <v>0</v>
      </c>
      <c r="CN142" s="216" t="str">
        <f t="shared" si="150"/>
        <v>0</v>
      </c>
      <c r="CO142" s="243">
        <f t="shared" si="151"/>
        <v>2.4402398710942039</v>
      </c>
      <c r="CP142" s="306">
        <v>1</v>
      </c>
      <c r="CQ142" s="306">
        <v>0</v>
      </c>
      <c r="CR142" s="306">
        <v>0</v>
      </c>
      <c r="CS142" s="306">
        <v>0</v>
      </c>
      <c r="CT142" s="306">
        <v>2</v>
      </c>
      <c r="CU142" s="306">
        <v>0</v>
      </c>
      <c r="CV142" s="306">
        <v>0</v>
      </c>
      <c r="CW142" s="306">
        <v>0</v>
      </c>
      <c r="CX142" s="306">
        <v>0</v>
      </c>
      <c r="CY142" s="306">
        <v>71</v>
      </c>
      <c r="CZ142" s="306">
        <f t="shared" si="126"/>
        <v>68</v>
      </c>
      <c r="DA142" s="306">
        <v>3</v>
      </c>
      <c r="DB142" s="306">
        <v>45</v>
      </c>
      <c r="DC142" s="306">
        <v>14</v>
      </c>
      <c r="DD142" s="306">
        <v>98</v>
      </c>
      <c r="DE142" s="306">
        <v>28</v>
      </c>
      <c r="DF142" s="306">
        <v>14</v>
      </c>
      <c r="DG142" s="306">
        <v>98</v>
      </c>
      <c r="DH142" s="306">
        <v>31</v>
      </c>
      <c r="DI142" s="306">
        <v>1</v>
      </c>
      <c r="DJ142" s="306">
        <v>0</v>
      </c>
      <c r="DK142" s="306">
        <v>3</v>
      </c>
      <c r="DL142" s="306">
        <v>0</v>
      </c>
      <c r="DM142" s="306">
        <v>0</v>
      </c>
      <c r="DN142" s="306">
        <v>3</v>
      </c>
      <c r="DO142" s="306">
        <v>0</v>
      </c>
      <c r="DP142" s="306">
        <v>71</v>
      </c>
      <c r="DQ142" s="306">
        <f>71-7</f>
        <v>64</v>
      </c>
    </row>
    <row r="143" spans="1:126" x14ac:dyDescent="0.2">
      <c r="A143" s="12" t="s">
        <v>197</v>
      </c>
      <c r="B143" s="169">
        <v>137</v>
      </c>
      <c r="C143" s="12" t="s">
        <v>285</v>
      </c>
      <c r="D143" s="200">
        <v>1982</v>
      </c>
      <c r="E143" s="11"/>
      <c r="F143" s="169" t="s">
        <v>21</v>
      </c>
      <c r="G143" s="35">
        <v>1</v>
      </c>
      <c r="H143" s="201">
        <v>9</v>
      </c>
      <c r="I143" s="201" t="s">
        <v>19</v>
      </c>
      <c r="J143" s="115">
        <f>17996+17757</f>
        <v>35753</v>
      </c>
      <c r="K143" s="115">
        <f>769+689</f>
        <v>1458</v>
      </c>
      <c r="L143" s="157"/>
      <c r="M143" s="115">
        <v>1402</v>
      </c>
      <c r="N143" s="115">
        <v>134</v>
      </c>
      <c r="O143" s="115">
        <v>287</v>
      </c>
      <c r="P143" s="115">
        <v>134</v>
      </c>
      <c r="Q143" s="115">
        <v>215</v>
      </c>
      <c r="R143" s="228">
        <v>7087</v>
      </c>
      <c r="S143" s="230">
        <v>4028.6</v>
      </c>
      <c r="T143" s="115">
        <f t="shared" si="130"/>
        <v>132</v>
      </c>
      <c r="U143" s="203">
        <f t="shared" si="131"/>
        <v>6978</v>
      </c>
      <c r="V143" s="180">
        <f t="shared" si="132"/>
        <v>3961.02</v>
      </c>
      <c r="W143" s="115">
        <v>2</v>
      </c>
      <c r="X143" s="207">
        <v>109</v>
      </c>
      <c r="Y143" s="207">
        <v>67.58</v>
      </c>
      <c r="Z143" s="204"/>
      <c r="AA143" s="207"/>
      <c r="AB143" s="207"/>
      <c r="AC143" s="207">
        <f t="shared" si="133"/>
        <v>356.79999999999995</v>
      </c>
      <c r="AD143" s="248">
        <f t="shared" si="134"/>
        <v>356.79999999999995</v>
      </c>
      <c r="AE143" s="275"/>
      <c r="AF143" s="248">
        <f>189+60.2+16.5+33.2+57.9</f>
        <v>356.79999999999995</v>
      </c>
      <c r="AG143" s="207"/>
      <c r="AH143" s="207"/>
      <c r="AI143" s="207">
        <f t="shared" si="135"/>
        <v>7443.8</v>
      </c>
      <c r="AJ143" s="170"/>
      <c r="AK143" s="170">
        <f>2+2</f>
        <v>4</v>
      </c>
      <c r="AL143" s="170">
        <f>2+2</f>
        <v>4</v>
      </c>
      <c r="AM143" s="170">
        <f>2+2</f>
        <v>4</v>
      </c>
      <c r="AN143" s="170"/>
      <c r="AO143" s="170">
        <f>1+1</f>
        <v>2</v>
      </c>
      <c r="AP143" s="170">
        <v>7378</v>
      </c>
      <c r="AQ143" s="170"/>
      <c r="AR143" s="170">
        <f>650+350</f>
        <v>1000</v>
      </c>
      <c r="AS143" s="170">
        <f>296+0</f>
        <v>296</v>
      </c>
      <c r="AT143" s="170">
        <f>80+80</f>
        <v>160</v>
      </c>
      <c r="AU143" s="170">
        <f t="shared" si="120"/>
        <v>18840</v>
      </c>
      <c r="AV143" s="170">
        <f>9420+9420</f>
        <v>18840</v>
      </c>
      <c r="AW143" s="170"/>
      <c r="AX143" s="170"/>
      <c r="AY143" s="170">
        <f>264+0</f>
        <v>264</v>
      </c>
      <c r="AZ143" s="170">
        <f>660+651</f>
        <v>1311</v>
      </c>
      <c r="BA143" s="170">
        <f>450+440</f>
        <v>890</v>
      </c>
      <c r="BB143" s="170"/>
      <c r="BC143" s="170">
        <v>12</v>
      </c>
      <c r="BD143" s="170">
        <v>553</v>
      </c>
      <c r="BE143" s="170">
        <v>773</v>
      </c>
      <c r="BF143" s="170">
        <f>1+1</f>
        <v>2</v>
      </c>
      <c r="BG143" s="170">
        <v>22800</v>
      </c>
      <c r="BH143" s="170">
        <v>6540</v>
      </c>
      <c r="BI143" s="170">
        <v>180</v>
      </c>
      <c r="BJ143" s="115">
        <f t="shared" si="136"/>
        <v>1</v>
      </c>
      <c r="BK143" s="115">
        <f t="shared" si="137"/>
        <v>7087</v>
      </c>
      <c r="BL143" s="115">
        <f t="shared" si="138"/>
        <v>4028.6</v>
      </c>
      <c r="BM143" s="115" t="str">
        <f t="shared" si="139"/>
        <v>0</v>
      </c>
      <c r="BN143" s="115" t="str">
        <f t="shared" si="140"/>
        <v>0</v>
      </c>
      <c r="BO143" s="115" t="str">
        <f t="shared" si="141"/>
        <v>0</v>
      </c>
      <c r="BP143" s="115" t="str">
        <f t="shared" si="142"/>
        <v>0</v>
      </c>
      <c r="BQ143" s="115" t="str">
        <f t="shared" si="143"/>
        <v>0</v>
      </c>
      <c r="BR143" s="115" t="str">
        <f t="shared" si="144"/>
        <v>0</v>
      </c>
      <c r="BS143" s="115"/>
      <c r="BT143" s="115">
        <f>1+1</f>
        <v>2</v>
      </c>
      <c r="BU143" s="115">
        <f>BA143</f>
        <v>890</v>
      </c>
      <c r="BV143" s="115">
        <v>5704</v>
      </c>
      <c r="BW143" s="115"/>
      <c r="BX143" s="115">
        <f>AP143</f>
        <v>7378</v>
      </c>
      <c r="BY143" s="253">
        <v>2559.5</v>
      </c>
      <c r="BZ143" s="253">
        <v>1394.3</v>
      </c>
      <c r="CA143" s="205">
        <v>4830</v>
      </c>
      <c r="CB143" s="282">
        <f t="shared" si="145"/>
        <v>3372</v>
      </c>
      <c r="CC143" s="209">
        <f t="shared" si="121"/>
        <v>1</v>
      </c>
      <c r="CD143" s="235">
        <f t="shared" si="122"/>
        <v>18840</v>
      </c>
      <c r="CE143" s="209" t="str">
        <f t="shared" si="127"/>
        <v>0</v>
      </c>
      <c r="CF143" s="235">
        <f t="shared" si="123"/>
        <v>0</v>
      </c>
      <c r="CG143" s="235">
        <f t="shared" si="124"/>
        <v>1</v>
      </c>
      <c r="CH143" s="235">
        <f t="shared" si="125"/>
        <v>18840</v>
      </c>
      <c r="CI143" s="156">
        <v>61</v>
      </c>
      <c r="CJ143" s="284" t="str">
        <f t="shared" si="146"/>
        <v>0</v>
      </c>
      <c r="CK143" s="284" t="str">
        <f t="shared" si="147"/>
        <v>0</v>
      </c>
      <c r="CL143" s="243">
        <f t="shared" si="148"/>
        <v>1.5380273740651897</v>
      </c>
      <c r="CM143" s="216" t="str">
        <f t="shared" si="149"/>
        <v>0</v>
      </c>
      <c r="CN143" s="216" t="str">
        <f t="shared" si="150"/>
        <v>0</v>
      </c>
      <c r="CO143" s="243">
        <f t="shared" si="151"/>
        <v>6.2575566243047902</v>
      </c>
      <c r="CP143" s="306">
        <v>1</v>
      </c>
      <c r="CQ143" s="306">
        <v>0</v>
      </c>
      <c r="CR143" s="306">
        <v>0</v>
      </c>
      <c r="CS143" s="306">
        <v>0</v>
      </c>
      <c r="CT143" s="306">
        <v>4</v>
      </c>
      <c r="CU143" s="306">
        <v>0</v>
      </c>
      <c r="CV143" s="306">
        <v>0</v>
      </c>
      <c r="CW143" s="306">
        <v>0</v>
      </c>
      <c r="CX143" s="306">
        <v>0</v>
      </c>
      <c r="CY143" s="306">
        <v>132</v>
      </c>
      <c r="CZ143" s="306">
        <f t="shared" si="126"/>
        <v>129</v>
      </c>
      <c r="DA143" s="306">
        <v>3</v>
      </c>
      <c r="DB143" s="306">
        <v>126</v>
      </c>
      <c r="DC143" s="306">
        <v>54</v>
      </c>
      <c r="DD143" s="306">
        <v>113</v>
      </c>
      <c r="DE143" s="306">
        <v>87</v>
      </c>
      <c r="DF143" s="306">
        <v>54</v>
      </c>
      <c r="DG143" s="306">
        <v>113</v>
      </c>
      <c r="DH143" s="306">
        <v>87</v>
      </c>
      <c r="DI143" s="306">
        <v>3</v>
      </c>
      <c r="DJ143" s="306">
        <v>1</v>
      </c>
      <c r="DK143" s="306">
        <v>2</v>
      </c>
      <c r="DL143" s="306">
        <v>2</v>
      </c>
      <c r="DM143" s="306">
        <v>1</v>
      </c>
      <c r="DN143" s="306">
        <v>2</v>
      </c>
      <c r="DO143" s="306">
        <v>2</v>
      </c>
      <c r="DP143" s="306">
        <v>132</v>
      </c>
      <c r="DQ143" s="306">
        <v>132</v>
      </c>
    </row>
    <row r="144" spans="1:126" x14ac:dyDescent="0.2">
      <c r="A144" s="12" t="s">
        <v>197</v>
      </c>
      <c r="B144" s="169">
        <v>138</v>
      </c>
      <c r="C144" s="12" t="s">
        <v>286</v>
      </c>
      <c r="D144" s="200">
        <v>1982</v>
      </c>
      <c r="E144" s="11"/>
      <c r="F144" s="169" t="s">
        <v>21</v>
      </c>
      <c r="G144" s="35">
        <v>1</v>
      </c>
      <c r="H144" s="201">
        <v>9</v>
      </c>
      <c r="I144" s="201" t="s">
        <v>19</v>
      </c>
      <c r="J144" s="115">
        <v>20107</v>
      </c>
      <c r="K144" s="115">
        <v>1022</v>
      </c>
      <c r="L144" s="157"/>
      <c r="M144" s="115">
        <v>733</v>
      </c>
      <c r="N144" s="115">
        <v>63</v>
      </c>
      <c r="O144" s="115">
        <v>143</v>
      </c>
      <c r="P144" s="115">
        <v>63</v>
      </c>
      <c r="Q144" s="115">
        <v>111</v>
      </c>
      <c r="R144" s="228">
        <v>3379.5</v>
      </c>
      <c r="S144" s="230">
        <v>1979.6</v>
      </c>
      <c r="T144" s="115">
        <f t="shared" si="130"/>
        <v>60</v>
      </c>
      <c r="U144" s="203">
        <f t="shared" si="131"/>
        <v>3208.6</v>
      </c>
      <c r="V144" s="180">
        <f t="shared" si="132"/>
        <v>1873.6399999999999</v>
      </c>
      <c r="W144" s="115">
        <v>3</v>
      </c>
      <c r="X144" s="207">
        <v>170.9</v>
      </c>
      <c r="Y144" s="207">
        <v>105.96</v>
      </c>
      <c r="Z144" s="204"/>
      <c r="AA144" s="207"/>
      <c r="AB144" s="207"/>
      <c r="AC144" s="207">
        <f t="shared" si="133"/>
        <v>589.9</v>
      </c>
      <c r="AD144" s="248">
        <f t="shared" si="134"/>
        <v>0</v>
      </c>
      <c r="AE144" s="275"/>
      <c r="AF144" s="248"/>
      <c r="AG144" s="207">
        <v>589.9</v>
      </c>
      <c r="AH144" s="207"/>
      <c r="AI144" s="207">
        <f t="shared" si="135"/>
        <v>3969.4</v>
      </c>
      <c r="AJ144" s="170"/>
      <c r="AK144" s="170">
        <v>2</v>
      </c>
      <c r="AL144" s="170">
        <v>2</v>
      </c>
      <c r="AM144" s="170">
        <v>2</v>
      </c>
      <c r="AN144" s="170"/>
      <c r="AO144" s="170">
        <v>2</v>
      </c>
      <c r="AP144" s="170">
        <v>4574</v>
      </c>
      <c r="AQ144" s="170"/>
      <c r="AR144" s="170">
        <v>420</v>
      </c>
      <c r="AS144" s="170">
        <v>246</v>
      </c>
      <c r="AT144" s="170">
        <v>80</v>
      </c>
      <c r="AU144" s="170">
        <f t="shared" si="120"/>
        <v>9420</v>
      </c>
      <c r="AV144" s="170"/>
      <c r="AW144" s="170">
        <v>9420</v>
      </c>
      <c r="AX144" s="170"/>
      <c r="AY144" s="170">
        <v>216</v>
      </c>
      <c r="AZ144" s="170">
        <v>889</v>
      </c>
      <c r="BA144" s="170">
        <v>492</v>
      </c>
      <c r="BB144" s="170"/>
      <c r="BC144" s="170">
        <v>6</v>
      </c>
      <c r="BD144" s="170">
        <v>192</v>
      </c>
      <c r="BE144" s="170">
        <v>372</v>
      </c>
      <c r="BF144" s="170">
        <v>1</v>
      </c>
      <c r="BG144" s="170">
        <v>11400</v>
      </c>
      <c r="BH144" s="170">
        <v>3270</v>
      </c>
      <c r="BI144" s="170">
        <v>90</v>
      </c>
      <c r="BJ144" s="115">
        <f t="shared" si="136"/>
        <v>1</v>
      </c>
      <c r="BK144" s="115">
        <f t="shared" si="137"/>
        <v>3379.5</v>
      </c>
      <c r="BL144" s="115">
        <f t="shared" si="138"/>
        <v>1979.6</v>
      </c>
      <c r="BM144" s="115" t="str">
        <f t="shared" si="139"/>
        <v>0</v>
      </c>
      <c r="BN144" s="115" t="str">
        <f t="shared" si="140"/>
        <v>0</v>
      </c>
      <c r="BO144" s="115" t="str">
        <f t="shared" si="141"/>
        <v>0</v>
      </c>
      <c r="BP144" s="115" t="str">
        <f t="shared" si="142"/>
        <v>0</v>
      </c>
      <c r="BQ144" s="115" t="str">
        <f t="shared" si="143"/>
        <v>0</v>
      </c>
      <c r="BR144" s="115" t="str">
        <f t="shared" si="144"/>
        <v>0</v>
      </c>
      <c r="BS144" s="115"/>
      <c r="BT144" s="115">
        <v>1</v>
      </c>
      <c r="BU144" s="115">
        <f>BA144</f>
        <v>492</v>
      </c>
      <c r="BV144" s="115">
        <v>2965</v>
      </c>
      <c r="BW144" s="115"/>
      <c r="BX144" s="115">
        <f>AP144</f>
        <v>4574</v>
      </c>
      <c r="BY144" s="253">
        <v>1207.4000000000001</v>
      </c>
      <c r="BZ144" s="253">
        <v>666.5</v>
      </c>
      <c r="CA144" s="205">
        <v>2317</v>
      </c>
      <c r="CB144" s="282">
        <f t="shared" si="145"/>
        <v>1295</v>
      </c>
      <c r="CC144" s="209" t="str">
        <f t="shared" si="121"/>
        <v>0</v>
      </c>
      <c r="CD144" s="235">
        <f t="shared" si="122"/>
        <v>0</v>
      </c>
      <c r="CE144" s="209">
        <f t="shared" si="127"/>
        <v>1</v>
      </c>
      <c r="CF144" s="235">
        <f t="shared" si="123"/>
        <v>9420</v>
      </c>
      <c r="CG144" s="235">
        <f t="shared" si="124"/>
        <v>1</v>
      </c>
      <c r="CH144" s="235">
        <f t="shared" si="125"/>
        <v>9420</v>
      </c>
      <c r="CI144" s="156">
        <v>58</v>
      </c>
      <c r="CJ144" s="284" t="str">
        <f t="shared" si="146"/>
        <v>0</v>
      </c>
      <c r="CK144" s="284" t="str">
        <f t="shared" si="147"/>
        <v>0</v>
      </c>
      <c r="CL144" s="243">
        <f t="shared" si="148"/>
        <v>5.0569610889184791</v>
      </c>
      <c r="CM144" s="216" t="str">
        <f t="shared" si="149"/>
        <v>0</v>
      </c>
      <c r="CN144" s="216" t="str">
        <f t="shared" si="150"/>
        <v>0</v>
      </c>
      <c r="CO144" s="243">
        <f t="shared" si="151"/>
        <v>4.3054365899128335</v>
      </c>
      <c r="CP144" s="306">
        <v>1</v>
      </c>
      <c r="CQ144" s="306">
        <v>0</v>
      </c>
      <c r="CR144" s="306">
        <v>0</v>
      </c>
      <c r="CS144" s="306">
        <v>0</v>
      </c>
      <c r="CT144" s="306">
        <v>2</v>
      </c>
      <c r="CU144" s="306">
        <v>0</v>
      </c>
      <c r="CV144" s="306">
        <v>0</v>
      </c>
      <c r="CW144" s="306">
        <v>0</v>
      </c>
      <c r="CX144" s="306">
        <v>0</v>
      </c>
      <c r="CY144" s="306">
        <v>64</v>
      </c>
      <c r="CZ144" s="306">
        <f t="shared" si="126"/>
        <v>61</v>
      </c>
      <c r="DA144" s="306">
        <v>3</v>
      </c>
      <c r="DB144" s="306">
        <v>59</v>
      </c>
      <c r="DC144" s="306">
        <v>28</v>
      </c>
      <c r="DD144" s="306">
        <v>50</v>
      </c>
      <c r="DE144" s="306">
        <v>45</v>
      </c>
      <c r="DF144" s="306">
        <v>28</v>
      </c>
      <c r="DG144" s="306">
        <v>50</v>
      </c>
      <c r="DH144" s="306">
        <v>45</v>
      </c>
      <c r="DI144" s="306">
        <v>3</v>
      </c>
      <c r="DJ144" s="306">
        <v>1</v>
      </c>
      <c r="DK144" s="306">
        <v>0</v>
      </c>
      <c r="DL144" s="306">
        <v>2</v>
      </c>
      <c r="DM144" s="306">
        <v>1</v>
      </c>
      <c r="DN144" s="306">
        <v>0</v>
      </c>
      <c r="DO144" s="306">
        <v>2</v>
      </c>
      <c r="DP144" s="306">
        <v>64</v>
      </c>
      <c r="DQ144" s="306">
        <v>64</v>
      </c>
    </row>
    <row r="145" spans="1:121" x14ac:dyDescent="0.2">
      <c r="A145" s="12" t="s">
        <v>197</v>
      </c>
      <c r="B145" s="169">
        <v>139</v>
      </c>
      <c r="C145" s="12" t="s">
        <v>287</v>
      </c>
      <c r="D145" s="212">
        <v>1996</v>
      </c>
      <c r="E145" s="11"/>
      <c r="F145" s="169" t="s">
        <v>24</v>
      </c>
      <c r="G145" s="35">
        <v>1</v>
      </c>
      <c r="H145" s="201">
        <v>9</v>
      </c>
      <c r="I145" s="201" t="s">
        <v>22</v>
      </c>
      <c r="J145" s="115">
        <f>21845+11244+4469</f>
        <v>37558</v>
      </c>
      <c r="K145" s="115">
        <f>898+607+367</f>
        <v>1872</v>
      </c>
      <c r="L145" s="115"/>
      <c r="M145" s="115">
        <f>898+607+367</f>
        <v>1872</v>
      </c>
      <c r="N145" s="115">
        <v>95</v>
      </c>
      <c r="O145" s="115">
        <v>220</v>
      </c>
      <c r="P145" s="115">
        <v>95</v>
      </c>
      <c r="Q145" s="115">
        <v>132</v>
      </c>
      <c r="R145" s="228">
        <f>8477.92-1-7-5.8+4+2+1.8</f>
        <v>8471.92</v>
      </c>
      <c r="S145" s="230">
        <v>4584.5999999999995</v>
      </c>
      <c r="T145" s="115">
        <f t="shared" si="130"/>
        <v>89</v>
      </c>
      <c r="U145" s="203">
        <f t="shared" si="131"/>
        <v>7884.72</v>
      </c>
      <c r="V145" s="180">
        <f t="shared" si="132"/>
        <v>4220.5399999999991</v>
      </c>
      <c r="W145" s="115">
        <v>6</v>
      </c>
      <c r="X145" s="207">
        <v>587.20000000000005</v>
      </c>
      <c r="Y145" s="207">
        <v>364.06</v>
      </c>
      <c r="Z145" s="204"/>
      <c r="AA145" s="207"/>
      <c r="AB145" s="207"/>
      <c r="AC145" s="207">
        <f t="shared" si="133"/>
        <v>1319.6</v>
      </c>
      <c r="AD145" s="248">
        <f t="shared" si="134"/>
        <v>0</v>
      </c>
      <c r="AE145" s="275"/>
      <c r="AF145" s="275"/>
      <c r="AG145" s="207">
        <f>573.3+746.3</f>
        <v>1319.6</v>
      </c>
      <c r="AH145" s="207"/>
      <c r="AI145" s="207">
        <f t="shared" si="135"/>
        <v>9791.52</v>
      </c>
      <c r="AJ145" s="170"/>
      <c r="AK145" s="170">
        <f>2+2+1</f>
        <v>5</v>
      </c>
      <c r="AL145" s="170">
        <f>2+2+1</f>
        <v>5</v>
      </c>
      <c r="AM145" s="170">
        <f>2+2+1</f>
        <v>5</v>
      </c>
      <c r="AN145" s="170"/>
      <c r="AO145" s="170">
        <f>2+2+1</f>
        <v>5</v>
      </c>
      <c r="AP145" s="170">
        <f>5014+4326+887</f>
        <v>10227</v>
      </c>
      <c r="AQ145" s="170"/>
      <c r="AR145" s="170">
        <f>360+200+280</f>
        <v>840</v>
      </c>
      <c r="AS145" s="170">
        <f>318+257+194</f>
        <v>769</v>
      </c>
      <c r="AT145" s="170">
        <f>150+84+24</f>
        <v>258</v>
      </c>
      <c r="AU145" s="170">
        <f t="shared" si="120"/>
        <v>15847</v>
      </c>
      <c r="AV145" s="170">
        <f>11100+2511+2236</f>
        <v>15847</v>
      </c>
      <c r="AW145" s="170"/>
      <c r="AX145" s="170">
        <f>2464+649</f>
        <v>3113</v>
      </c>
      <c r="AY145" s="170">
        <f>260+188+144</f>
        <v>592</v>
      </c>
      <c r="AZ145" s="170">
        <f>898+607+367</f>
        <v>1872</v>
      </c>
      <c r="BA145" s="170">
        <f>701+422+269</f>
        <v>1392</v>
      </c>
      <c r="BB145" s="170">
        <f>18+24+10</f>
        <v>52</v>
      </c>
      <c r="BC145" s="170">
        <f>10+10</f>
        <v>20</v>
      </c>
      <c r="BD145" s="170">
        <f>288+60</f>
        <v>348</v>
      </c>
      <c r="BE145" s="170">
        <v>544</v>
      </c>
      <c r="BF145" s="170">
        <v>3</v>
      </c>
      <c r="BG145" s="170">
        <f>11400+10134+3167</f>
        <v>24701</v>
      </c>
      <c r="BH145" s="170">
        <f>3270+2906+908</f>
        <v>7084</v>
      </c>
      <c r="BI145" s="170">
        <f>90+80+55</f>
        <v>225</v>
      </c>
      <c r="BJ145" s="115" t="str">
        <f t="shared" si="136"/>
        <v>0</v>
      </c>
      <c r="BK145" s="115" t="str">
        <f t="shared" si="137"/>
        <v>0</v>
      </c>
      <c r="BL145" s="115" t="str">
        <f t="shared" si="138"/>
        <v>0</v>
      </c>
      <c r="BM145" s="115">
        <f t="shared" si="139"/>
        <v>1</v>
      </c>
      <c r="BN145" s="115">
        <f t="shared" si="140"/>
        <v>8471.92</v>
      </c>
      <c r="BO145" s="115">
        <f t="shared" si="141"/>
        <v>4584.5999999999995</v>
      </c>
      <c r="BP145" s="115" t="str">
        <f t="shared" si="142"/>
        <v>0</v>
      </c>
      <c r="BQ145" s="115" t="str">
        <f t="shared" si="143"/>
        <v>0</v>
      </c>
      <c r="BR145" s="115" t="str">
        <f t="shared" si="144"/>
        <v>0</v>
      </c>
      <c r="BS145" s="115"/>
      <c r="BT145" s="115">
        <v>5</v>
      </c>
      <c r="BU145" s="115"/>
      <c r="BV145" s="115"/>
      <c r="BW145" s="115"/>
      <c r="BX145" s="115"/>
      <c r="BY145" s="253">
        <v>2741.4</v>
      </c>
      <c r="BZ145" s="253">
        <v>1291.4000000000001</v>
      </c>
      <c r="CA145" s="205">
        <v>2571</v>
      </c>
      <c r="CB145" s="282">
        <f t="shared" si="145"/>
        <v>699</v>
      </c>
      <c r="CC145" s="209">
        <f t="shared" si="121"/>
        <v>1</v>
      </c>
      <c r="CD145" s="235">
        <f t="shared" si="122"/>
        <v>15847</v>
      </c>
      <c r="CE145" s="209" t="str">
        <f t="shared" si="127"/>
        <v>0</v>
      </c>
      <c r="CF145" s="235">
        <f t="shared" si="123"/>
        <v>0</v>
      </c>
      <c r="CG145" s="235">
        <f t="shared" si="124"/>
        <v>1</v>
      </c>
      <c r="CH145" s="235">
        <f t="shared" si="125"/>
        <v>15847</v>
      </c>
      <c r="CI145" s="156">
        <v>49</v>
      </c>
      <c r="CJ145" s="284" t="str">
        <f t="shared" si="146"/>
        <v>0</v>
      </c>
      <c r="CK145" s="284" t="str">
        <f t="shared" si="147"/>
        <v>0</v>
      </c>
      <c r="CL145" s="243">
        <f t="shared" si="148"/>
        <v>6.9311324941689731</v>
      </c>
      <c r="CM145" s="216" t="str">
        <f t="shared" si="149"/>
        <v>0</v>
      </c>
      <c r="CN145" s="216" t="str">
        <f t="shared" si="150"/>
        <v>0</v>
      </c>
      <c r="CO145" s="243">
        <f t="shared" si="151"/>
        <v>5.9970259980064382</v>
      </c>
      <c r="CP145" s="306">
        <v>1</v>
      </c>
      <c r="CQ145" s="306">
        <v>0</v>
      </c>
      <c r="CR145" s="306">
        <v>0</v>
      </c>
      <c r="CS145" s="306">
        <v>0</v>
      </c>
      <c r="CT145" s="306">
        <v>6</v>
      </c>
      <c r="CU145" s="306">
        <v>0</v>
      </c>
      <c r="CV145" s="306">
        <v>0</v>
      </c>
      <c r="CW145" s="306">
        <v>0</v>
      </c>
      <c r="CX145" s="306">
        <v>0</v>
      </c>
      <c r="CY145" s="306">
        <v>96</v>
      </c>
      <c r="CZ145" s="306">
        <f t="shared" si="126"/>
        <v>89</v>
      </c>
      <c r="DA145" s="306">
        <v>7</v>
      </c>
      <c r="DB145" s="306">
        <v>57</v>
      </c>
      <c r="DC145" s="306">
        <v>23</v>
      </c>
      <c r="DD145" s="306">
        <v>116</v>
      </c>
      <c r="DE145" s="306">
        <v>51</v>
      </c>
      <c r="DF145" s="306">
        <v>23</v>
      </c>
      <c r="DG145" s="306">
        <v>117</v>
      </c>
      <c r="DH145" s="306">
        <v>62</v>
      </c>
      <c r="DI145" s="306">
        <v>4</v>
      </c>
      <c r="DJ145" s="306">
        <v>2</v>
      </c>
      <c r="DK145" s="306">
        <v>2</v>
      </c>
      <c r="DL145" s="306">
        <v>4</v>
      </c>
      <c r="DM145" s="306">
        <v>2</v>
      </c>
      <c r="DN145" s="306">
        <v>1</v>
      </c>
      <c r="DO145" s="306">
        <v>5</v>
      </c>
      <c r="DP145" s="306">
        <v>96</v>
      </c>
      <c r="DQ145" s="306">
        <v>96</v>
      </c>
    </row>
    <row r="146" spans="1:121" x14ac:dyDescent="0.2">
      <c r="A146" s="198" t="s">
        <v>203</v>
      </c>
      <c r="B146" s="169">
        <v>140</v>
      </c>
      <c r="C146" s="12" t="s">
        <v>288</v>
      </c>
      <c r="D146" s="200">
        <v>1986</v>
      </c>
      <c r="E146" s="11"/>
      <c r="F146" s="206" t="s">
        <v>24</v>
      </c>
      <c r="G146" s="35">
        <v>1</v>
      </c>
      <c r="H146" s="201">
        <v>9</v>
      </c>
      <c r="I146" s="201" t="s">
        <v>22</v>
      </c>
      <c r="J146" s="115">
        <v>10400</v>
      </c>
      <c r="K146" s="115">
        <v>396</v>
      </c>
      <c r="L146" s="157"/>
      <c r="M146" s="115">
        <v>405</v>
      </c>
      <c r="N146" s="115">
        <v>35</v>
      </c>
      <c r="O146" s="115">
        <v>106</v>
      </c>
      <c r="P146" s="115">
        <v>35</v>
      </c>
      <c r="Q146" s="115">
        <v>71</v>
      </c>
      <c r="R146" s="228">
        <f>2385.6+2.4</f>
        <v>2388</v>
      </c>
      <c r="S146" s="230">
        <v>1509.6</v>
      </c>
      <c r="T146" s="115">
        <f t="shared" si="130"/>
        <v>31</v>
      </c>
      <c r="U146" s="203">
        <f t="shared" si="131"/>
        <v>2139.6</v>
      </c>
      <c r="V146" s="180">
        <f t="shared" si="132"/>
        <v>1355.59</v>
      </c>
      <c r="W146" s="115">
        <v>4</v>
      </c>
      <c r="X146" s="207">
        <v>248.4</v>
      </c>
      <c r="Y146" s="207">
        <v>154.01</v>
      </c>
      <c r="Z146" s="204"/>
      <c r="AA146" s="207"/>
      <c r="AB146" s="207"/>
      <c r="AC146" s="207">
        <f t="shared" si="133"/>
        <v>0</v>
      </c>
      <c r="AD146" s="248">
        <f t="shared" si="134"/>
        <v>0</v>
      </c>
      <c r="AE146" s="275"/>
      <c r="AF146" s="275"/>
      <c r="AG146" s="207"/>
      <c r="AH146" s="207"/>
      <c r="AI146" s="207">
        <f t="shared" si="135"/>
        <v>2388</v>
      </c>
      <c r="AJ146" s="170"/>
      <c r="AK146" s="170">
        <v>1</v>
      </c>
      <c r="AL146" s="170">
        <v>1</v>
      </c>
      <c r="AM146" s="170">
        <v>1</v>
      </c>
      <c r="AN146" s="170"/>
      <c r="AO146" s="170">
        <v>1</v>
      </c>
      <c r="AP146" s="170">
        <v>2740</v>
      </c>
      <c r="AQ146" s="170"/>
      <c r="AR146" s="170">
        <v>310</v>
      </c>
      <c r="AS146" s="170">
        <v>168</v>
      </c>
      <c r="AT146" s="170">
        <v>75</v>
      </c>
      <c r="AU146" s="170">
        <f t="shared" si="120"/>
        <v>3090</v>
      </c>
      <c r="AV146" s="170"/>
      <c r="AW146" s="170">
        <v>3090</v>
      </c>
      <c r="AX146" s="170">
        <v>970</v>
      </c>
      <c r="AY146" s="170">
        <v>112</v>
      </c>
      <c r="AZ146" s="170">
        <v>378</v>
      </c>
      <c r="BA146" s="170">
        <v>378</v>
      </c>
      <c r="BB146" s="170">
        <v>18</v>
      </c>
      <c r="BC146" s="170">
        <v>21</v>
      </c>
      <c r="BD146" s="170">
        <v>116</v>
      </c>
      <c r="BE146" s="170">
        <v>212</v>
      </c>
      <c r="BF146" s="170">
        <v>1</v>
      </c>
      <c r="BG146" s="170">
        <v>3800</v>
      </c>
      <c r="BH146" s="170">
        <v>1635</v>
      </c>
      <c r="BI146" s="170">
        <v>45</v>
      </c>
      <c r="BJ146" s="115" t="str">
        <f t="shared" si="136"/>
        <v>0</v>
      </c>
      <c r="BK146" s="115" t="str">
        <f t="shared" si="137"/>
        <v>0</v>
      </c>
      <c r="BL146" s="115" t="str">
        <f t="shared" si="138"/>
        <v>0</v>
      </c>
      <c r="BM146" s="115">
        <f t="shared" si="139"/>
        <v>1</v>
      </c>
      <c r="BN146" s="115">
        <f t="shared" si="140"/>
        <v>2388</v>
      </c>
      <c r="BO146" s="115">
        <f t="shared" si="141"/>
        <v>1509.6</v>
      </c>
      <c r="BP146" s="115" t="str">
        <f t="shared" si="142"/>
        <v>0</v>
      </c>
      <c r="BQ146" s="115" t="str">
        <f t="shared" si="143"/>
        <v>0</v>
      </c>
      <c r="BR146" s="115" t="str">
        <f t="shared" si="144"/>
        <v>0</v>
      </c>
      <c r="BS146" s="115"/>
      <c r="BT146" s="115">
        <v>2</v>
      </c>
      <c r="BU146" s="115"/>
      <c r="BV146" s="115"/>
      <c r="BW146" s="115"/>
      <c r="BX146" s="115"/>
      <c r="BY146" s="253">
        <v>818.4</v>
      </c>
      <c r="BZ146" s="253">
        <v>388.4</v>
      </c>
      <c r="CA146" s="205">
        <v>920</v>
      </c>
      <c r="CB146" s="282">
        <f t="shared" si="145"/>
        <v>524</v>
      </c>
      <c r="CC146" s="209" t="str">
        <f t="shared" si="121"/>
        <v>0</v>
      </c>
      <c r="CD146" s="235">
        <f t="shared" si="122"/>
        <v>0</v>
      </c>
      <c r="CE146" s="209">
        <f t="shared" si="127"/>
        <v>1</v>
      </c>
      <c r="CF146" s="235">
        <f t="shared" si="123"/>
        <v>3090</v>
      </c>
      <c r="CG146" s="235">
        <f t="shared" si="124"/>
        <v>1</v>
      </c>
      <c r="CH146" s="235">
        <f t="shared" si="125"/>
        <v>3090</v>
      </c>
      <c r="CI146" s="156">
        <v>54</v>
      </c>
      <c r="CJ146" s="284" t="str">
        <f t="shared" si="146"/>
        <v>0</v>
      </c>
      <c r="CK146" s="284" t="str">
        <f t="shared" si="147"/>
        <v>0</v>
      </c>
      <c r="CL146" s="243">
        <f t="shared" si="148"/>
        <v>10.402010050251256</v>
      </c>
      <c r="CM146" s="216" t="str">
        <f t="shared" si="149"/>
        <v>0</v>
      </c>
      <c r="CN146" s="216" t="str">
        <f t="shared" si="150"/>
        <v>0</v>
      </c>
      <c r="CO146" s="243">
        <f t="shared" si="151"/>
        <v>10.402010050251256</v>
      </c>
      <c r="CP146" s="306">
        <v>1</v>
      </c>
      <c r="CQ146" s="306">
        <v>0</v>
      </c>
      <c r="CR146" s="306">
        <v>0</v>
      </c>
      <c r="CS146" s="306">
        <v>0</v>
      </c>
      <c r="CT146" s="306">
        <v>2</v>
      </c>
      <c r="CU146" s="306">
        <v>0</v>
      </c>
      <c r="CV146" s="306">
        <v>0</v>
      </c>
      <c r="CW146" s="306">
        <v>0</v>
      </c>
      <c r="CX146" s="306">
        <v>0</v>
      </c>
      <c r="CY146" s="306">
        <v>35</v>
      </c>
      <c r="CZ146" s="306">
        <f t="shared" si="126"/>
        <v>32</v>
      </c>
      <c r="DA146" s="306">
        <v>3</v>
      </c>
      <c r="DB146" s="306">
        <v>31</v>
      </c>
      <c r="DC146" s="306">
        <v>15</v>
      </c>
      <c r="DD146" s="306">
        <v>20</v>
      </c>
      <c r="DE146" s="306">
        <v>15</v>
      </c>
      <c r="DF146" s="306">
        <v>15</v>
      </c>
      <c r="DG146" s="306">
        <v>20</v>
      </c>
      <c r="DH146" s="306">
        <v>15</v>
      </c>
      <c r="DI146" s="306">
        <v>2</v>
      </c>
      <c r="DJ146" s="306">
        <v>2</v>
      </c>
      <c r="DK146" s="306">
        <v>3</v>
      </c>
      <c r="DL146" s="306">
        <v>2</v>
      </c>
      <c r="DM146" s="306">
        <v>2</v>
      </c>
      <c r="DN146" s="306">
        <v>3</v>
      </c>
      <c r="DO146" s="306">
        <v>2</v>
      </c>
      <c r="DP146" s="306">
        <v>35</v>
      </c>
      <c r="DQ146" s="306">
        <v>35</v>
      </c>
    </row>
    <row r="147" spans="1:121" x14ac:dyDescent="0.2">
      <c r="A147" s="12" t="s">
        <v>197</v>
      </c>
      <c r="B147" s="169">
        <v>141</v>
      </c>
      <c r="C147" s="12" t="s">
        <v>290</v>
      </c>
      <c r="D147" s="200">
        <v>1957</v>
      </c>
      <c r="E147" s="11"/>
      <c r="F147" s="169" t="s">
        <v>207</v>
      </c>
      <c r="G147" s="35">
        <v>1</v>
      </c>
      <c r="H147" s="201">
        <v>5</v>
      </c>
      <c r="I147" s="201" t="s">
        <v>19</v>
      </c>
      <c r="J147" s="115">
        <v>28220</v>
      </c>
      <c r="K147" s="115">
        <v>1697</v>
      </c>
      <c r="L147" s="157">
        <v>2045</v>
      </c>
      <c r="M147" s="115"/>
      <c r="N147" s="115">
        <v>76</v>
      </c>
      <c r="O147" s="115">
        <v>181</v>
      </c>
      <c r="P147" s="115">
        <v>76</v>
      </c>
      <c r="Q147" s="115">
        <v>143</v>
      </c>
      <c r="R147" s="228">
        <f>5130.87+0.03-8.8</f>
        <v>5122.0999999999995</v>
      </c>
      <c r="S147" s="230">
        <v>2932.68</v>
      </c>
      <c r="T147" s="115">
        <f t="shared" si="130"/>
        <v>72</v>
      </c>
      <c r="U147" s="203">
        <f t="shared" si="131"/>
        <v>4856.9699999999993</v>
      </c>
      <c r="V147" s="180">
        <f t="shared" si="132"/>
        <v>2768.2999999999997</v>
      </c>
      <c r="W147" s="115">
        <v>4</v>
      </c>
      <c r="X147" s="207">
        <v>265.13</v>
      </c>
      <c r="Y147" s="207">
        <v>164.38</v>
      </c>
      <c r="Z147" s="204"/>
      <c r="AA147" s="207"/>
      <c r="AB147" s="207"/>
      <c r="AC147" s="207">
        <f t="shared" si="133"/>
        <v>853.7</v>
      </c>
      <c r="AD147" s="248">
        <f t="shared" si="134"/>
        <v>853.7</v>
      </c>
      <c r="AE147" s="275"/>
      <c r="AF147" s="248">
        <v>853.7</v>
      </c>
      <c r="AG147" s="207"/>
      <c r="AH147" s="207"/>
      <c r="AI147" s="207">
        <f t="shared" si="135"/>
        <v>5975.7999999999993</v>
      </c>
      <c r="AJ147" s="170"/>
      <c r="AK147" s="170"/>
      <c r="AL147" s="170">
        <v>4</v>
      </c>
      <c r="AM147" s="170"/>
      <c r="AN147" s="170"/>
      <c r="AO147" s="170">
        <v>1</v>
      </c>
      <c r="AP147" s="170">
        <v>4000</v>
      </c>
      <c r="AQ147" s="170"/>
      <c r="AR147" s="170">
        <v>472</v>
      </c>
      <c r="AS147" s="170">
        <v>259</v>
      </c>
      <c r="AT147" s="170">
        <v>128</v>
      </c>
      <c r="AU147" s="170">
        <f t="shared" si="120"/>
        <v>5279</v>
      </c>
      <c r="AV147" s="170"/>
      <c r="AW147" s="170">
        <v>5279</v>
      </c>
      <c r="AX147" s="170"/>
      <c r="AY147" s="170">
        <v>92</v>
      </c>
      <c r="AZ147" s="170">
        <v>1670</v>
      </c>
      <c r="BA147" s="170">
        <v>1697</v>
      </c>
      <c r="BB147" s="170">
        <v>16</v>
      </c>
      <c r="BC147" s="170">
        <v>8</v>
      </c>
      <c r="BD147" s="170">
        <v>260</v>
      </c>
      <c r="BE147" s="170">
        <v>76</v>
      </c>
      <c r="BF147" s="170"/>
      <c r="BG147" s="170">
        <v>6800</v>
      </c>
      <c r="BH147" s="170">
        <v>120</v>
      </c>
      <c r="BI147" s="170"/>
      <c r="BJ147" s="115">
        <f t="shared" si="136"/>
        <v>1</v>
      </c>
      <c r="BK147" s="115">
        <f t="shared" si="137"/>
        <v>5122.0999999999995</v>
      </c>
      <c r="BL147" s="115">
        <f t="shared" si="138"/>
        <v>2932.68</v>
      </c>
      <c r="BM147" s="115" t="str">
        <f t="shared" si="139"/>
        <v>0</v>
      </c>
      <c r="BN147" s="115" t="str">
        <f t="shared" si="140"/>
        <v>0</v>
      </c>
      <c r="BO147" s="115" t="str">
        <f t="shared" si="141"/>
        <v>0</v>
      </c>
      <c r="BP147" s="115" t="str">
        <f t="shared" si="142"/>
        <v>0</v>
      </c>
      <c r="BQ147" s="115" t="str">
        <f t="shared" si="143"/>
        <v>0</v>
      </c>
      <c r="BR147" s="115" t="str">
        <f t="shared" si="144"/>
        <v>0</v>
      </c>
      <c r="BS147" s="115"/>
      <c r="BT147" s="115">
        <v>2</v>
      </c>
      <c r="BU147" s="115">
        <f>BA147</f>
        <v>1697</v>
      </c>
      <c r="BV147" s="115">
        <v>5272</v>
      </c>
      <c r="BW147" s="115"/>
      <c r="BX147" s="115">
        <f>AP147</f>
        <v>4000</v>
      </c>
      <c r="BY147" s="253">
        <v>2247.8200000000002</v>
      </c>
      <c r="BZ147" s="253">
        <v>562.70000000000005</v>
      </c>
      <c r="CA147" s="205">
        <v>4710</v>
      </c>
      <c r="CB147" s="282">
        <f t="shared" si="145"/>
        <v>3013</v>
      </c>
      <c r="CC147" s="209" t="str">
        <f t="shared" si="121"/>
        <v>0</v>
      </c>
      <c r="CD147" s="235">
        <f t="shared" si="122"/>
        <v>0</v>
      </c>
      <c r="CE147" s="209">
        <f t="shared" si="127"/>
        <v>1</v>
      </c>
      <c r="CF147" s="235">
        <f t="shared" si="123"/>
        <v>5279</v>
      </c>
      <c r="CG147" s="235">
        <f t="shared" si="124"/>
        <v>1</v>
      </c>
      <c r="CH147" s="235">
        <f t="shared" si="125"/>
        <v>5279</v>
      </c>
      <c r="CI147" s="156">
        <v>48</v>
      </c>
      <c r="CJ147" s="284" t="str">
        <f t="shared" si="146"/>
        <v>0</v>
      </c>
      <c r="CK147" s="284" t="str">
        <f t="shared" si="147"/>
        <v>0</v>
      </c>
      <c r="CL147" s="243">
        <f t="shared" si="148"/>
        <v>5.1761972628414128</v>
      </c>
      <c r="CM147" s="216" t="str">
        <f t="shared" si="149"/>
        <v>0</v>
      </c>
      <c r="CN147" s="216" t="str">
        <f t="shared" si="150"/>
        <v>0</v>
      </c>
      <c r="CO147" s="243">
        <f t="shared" si="151"/>
        <v>18.722681481977311</v>
      </c>
      <c r="CP147" s="306">
        <v>1</v>
      </c>
      <c r="CQ147" s="306">
        <v>0</v>
      </c>
      <c r="CR147" s="306">
        <v>0</v>
      </c>
      <c r="CS147" s="306">
        <v>0</v>
      </c>
      <c r="CT147" s="306">
        <v>1</v>
      </c>
      <c r="CU147" s="306">
        <v>0</v>
      </c>
      <c r="CV147" s="306">
        <v>0</v>
      </c>
      <c r="CW147" s="306">
        <v>0</v>
      </c>
      <c r="CX147" s="306">
        <v>0</v>
      </c>
      <c r="CY147" s="306">
        <v>76</v>
      </c>
      <c r="CZ147" s="306">
        <f t="shared" si="126"/>
        <v>75</v>
      </c>
      <c r="DA147" s="306">
        <v>1</v>
      </c>
      <c r="DB147" s="306">
        <v>50</v>
      </c>
      <c r="DC147" s="306">
        <v>32</v>
      </c>
      <c r="DD147" s="306">
        <v>41</v>
      </c>
      <c r="DE147" s="306">
        <v>32</v>
      </c>
      <c r="DF147" s="306">
        <v>32</v>
      </c>
      <c r="DG147" s="306">
        <v>41</v>
      </c>
      <c r="DH147" s="306">
        <v>32</v>
      </c>
      <c r="DI147" s="306">
        <v>0</v>
      </c>
      <c r="DJ147" s="306">
        <v>1</v>
      </c>
      <c r="DK147" s="306">
        <v>2</v>
      </c>
      <c r="DL147" s="306">
        <v>1</v>
      </c>
      <c r="DM147" s="306">
        <v>1</v>
      </c>
      <c r="DN147" s="306">
        <v>2</v>
      </c>
      <c r="DO147" s="306">
        <v>1</v>
      </c>
      <c r="DP147" s="306">
        <v>76</v>
      </c>
      <c r="DQ147" s="306">
        <f>76-2</f>
        <v>74</v>
      </c>
    </row>
    <row r="148" spans="1:121" x14ac:dyDescent="0.2">
      <c r="A148" s="12" t="s">
        <v>197</v>
      </c>
      <c r="B148" s="169">
        <v>142</v>
      </c>
      <c r="C148" s="12" t="s">
        <v>291</v>
      </c>
      <c r="D148" s="200">
        <v>1961</v>
      </c>
      <c r="E148" s="11"/>
      <c r="F148" s="169" t="s">
        <v>13</v>
      </c>
      <c r="G148" s="35">
        <v>1</v>
      </c>
      <c r="H148" s="201">
        <v>5</v>
      </c>
      <c r="I148" s="201" t="s">
        <v>19</v>
      </c>
      <c r="J148" s="115">
        <v>20116</v>
      </c>
      <c r="K148" s="115">
        <v>1413</v>
      </c>
      <c r="L148" s="157">
        <v>1638</v>
      </c>
      <c r="M148" s="115"/>
      <c r="N148" s="115">
        <f>110-1</f>
        <v>109</v>
      </c>
      <c r="O148" s="115">
        <f>212-2</f>
        <v>210</v>
      </c>
      <c r="P148" s="115">
        <v>109</v>
      </c>
      <c r="Q148" s="115">
        <v>182</v>
      </c>
      <c r="R148" s="228">
        <f>4674.22-41.9</f>
        <v>4632.3200000000006</v>
      </c>
      <c r="S148" s="230">
        <v>2848.53</v>
      </c>
      <c r="T148" s="115">
        <f t="shared" si="130"/>
        <v>96</v>
      </c>
      <c r="U148" s="203">
        <f t="shared" si="131"/>
        <v>4084.0600000000004</v>
      </c>
      <c r="V148" s="180">
        <f t="shared" si="132"/>
        <v>2508.61</v>
      </c>
      <c r="W148" s="115">
        <v>13</v>
      </c>
      <c r="X148" s="207">
        <v>548.26</v>
      </c>
      <c r="Y148" s="207">
        <v>339.92</v>
      </c>
      <c r="Z148" s="204"/>
      <c r="AA148" s="207"/>
      <c r="AB148" s="207"/>
      <c r="AC148" s="207">
        <f t="shared" si="133"/>
        <v>416.59999999999997</v>
      </c>
      <c r="AD148" s="248">
        <f t="shared" si="134"/>
        <v>0</v>
      </c>
      <c r="AE148" s="275"/>
      <c r="AF148" s="248">
        <f>29.9-29.9</f>
        <v>0</v>
      </c>
      <c r="AG148" s="207">
        <f>386.7+29.9</f>
        <v>416.59999999999997</v>
      </c>
      <c r="AH148" s="207"/>
      <c r="AI148" s="207">
        <f t="shared" si="135"/>
        <v>5048.920000000001</v>
      </c>
      <c r="AJ148" s="170"/>
      <c r="AK148" s="170"/>
      <c r="AL148" s="170">
        <v>6</v>
      </c>
      <c r="AM148" s="170"/>
      <c r="AN148" s="170">
        <v>1</v>
      </c>
      <c r="AO148" s="170">
        <v>1</v>
      </c>
      <c r="AP148" s="170">
        <v>3809</v>
      </c>
      <c r="AQ148" s="170"/>
      <c r="AR148" s="170">
        <v>374</v>
      </c>
      <c r="AS148" s="170">
        <v>393</v>
      </c>
      <c r="AT148" s="170">
        <v>108</v>
      </c>
      <c r="AU148" s="170">
        <f t="shared" si="120"/>
        <v>5183</v>
      </c>
      <c r="AV148" s="170"/>
      <c r="AW148" s="170">
        <f>5340-30-30-37-30-30</f>
        <v>5183</v>
      </c>
      <c r="AX148" s="170"/>
      <c r="AY148" s="170">
        <v>315</v>
      </c>
      <c r="AZ148" s="170">
        <v>1359</v>
      </c>
      <c r="BA148" s="170">
        <v>1413</v>
      </c>
      <c r="BB148" s="170">
        <v>24</v>
      </c>
      <c r="BC148" s="170">
        <v>12</v>
      </c>
      <c r="BD148" s="170">
        <f>120-3-3-4-3-3</f>
        <v>104</v>
      </c>
      <c r="BE148" s="170">
        <f>119-5</f>
        <v>114</v>
      </c>
      <c r="BF148" s="170">
        <v>1</v>
      </c>
      <c r="BG148" s="200">
        <f>600-5*(600/119)</f>
        <v>574.7899159663865</v>
      </c>
      <c r="BH148" s="170">
        <v>120</v>
      </c>
      <c r="BI148" s="170"/>
      <c r="BJ148" s="115">
        <f t="shared" si="136"/>
        <v>1</v>
      </c>
      <c r="BK148" s="115">
        <f t="shared" si="137"/>
        <v>4632.3200000000006</v>
      </c>
      <c r="BL148" s="115">
        <f t="shared" si="138"/>
        <v>2848.53</v>
      </c>
      <c r="BM148" s="115" t="str">
        <f t="shared" si="139"/>
        <v>0</v>
      </c>
      <c r="BN148" s="115" t="str">
        <f t="shared" si="140"/>
        <v>0</v>
      </c>
      <c r="BO148" s="115" t="str">
        <f t="shared" si="141"/>
        <v>0</v>
      </c>
      <c r="BP148" s="115" t="str">
        <f t="shared" si="142"/>
        <v>0</v>
      </c>
      <c r="BQ148" s="115" t="str">
        <f t="shared" si="143"/>
        <v>0</v>
      </c>
      <c r="BR148" s="115" t="str">
        <f t="shared" si="144"/>
        <v>0</v>
      </c>
      <c r="BS148" s="115"/>
      <c r="BT148" s="115">
        <v>2</v>
      </c>
      <c r="BU148" s="115">
        <f>BA148</f>
        <v>1413</v>
      </c>
      <c r="BV148" s="115">
        <v>4692</v>
      </c>
      <c r="BW148" s="115">
        <v>18</v>
      </c>
      <c r="BX148" s="115">
        <f>AP148</f>
        <v>3809</v>
      </c>
      <c r="BY148" s="253">
        <v>1808</v>
      </c>
      <c r="BZ148" s="253">
        <v>366.7</v>
      </c>
      <c r="CA148" s="205">
        <v>2954</v>
      </c>
      <c r="CB148" s="282">
        <f t="shared" si="145"/>
        <v>1541</v>
      </c>
      <c r="CC148" s="209" t="str">
        <f t="shared" si="121"/>
        <v>0</v>
      </c>
      <c r="CD148" s="235">
        <f t="shared" si="122"/>
        <v>0</v>
      </c>
      <c r="CE148" s="209">
        <f t="shared" si="127"/>
        <v>1</v>
      </c>
      <c r="CF148" s="235">
        <f t="shared" si="123"/>
        <v>5183</v>
      </c>
      <c r="CG148" s="235">
        <f t="shared" si="124"/>
        <v>1</v>
      </c>
      <c r="CH148" s="235">
        <f t="shared" si="125"/>
        <v>5183</v>
      </c>
      <c r="CI148" s="156">
        <v>40</v>
      </c>
      <c r="CJ148" s="284" t="str">
        <f t="shared" si="146"/>
        <v>0</v>
      </c>
      <c r="CK148" s="284" t="str">
        <f t="shared" si="147"/>
        <v>0</v>
      </c>
      <c r="CL148" s="243">
        <f t="shared" si="148"/>
        <v>11.835538132080684</v>
      </c>
      <c r="CM148" s="216" t="str">
        <f t="shared" si="149"/>
        <v>0</v>
      </c>
      <c r="CN148" s="216" t="str">
        <f t="shared" si="150"/>
        <v>0</v>
      </c>
      <c r="CO148" s="243">
        <f t="shared" si="151"/>
        <v>10.858955974743111</v>
      </c>
      <c r="CP148" s="306">
        <v>1</v>
      </c>
      <c r="CQ148" s="306">
        <v>0</v>
      </c>
      <c r="CR148" s="306">
        <v>0</v>
      </c>
      <c r="CS148" s="306">
        <v>0</v>
      </c>
      <c r="CT148" s="306">
        <v>2</v>
      </c>
      <c r="CU148" s="306">
        <v>0</v>
      </c>
      <c r="CV148" s="306">
        <v>0</v>
      </c>
      <c r="CW148" s="306">
        <v>0</v>
      </c>
      <c r="CX148" s="306">
        <v>0</v>
      </c>
      <c r="CY148" s="306">
        <v>110</v>
      </c>
      <c r="CZ148" s="306">
        <f t="shared" si="126"/>
        <v>97</v>
      </c>
      <c r="DA148" s="306">
        <v>13</v>
      </c>
      <c r="DB148" s="306">
        <v>68</v>
      </c>
      <c r="DC148" s="306">
        <v>43</v>
      </c>
      <c r="DD148" s="306">
        <v>76</v>
      </c>
      <c r="DE148" s="306">
        <v>43</v>
      </c>
      <c r="DF148" s="306">
        <v>43</v>
      </c>
      <c r="DG148" s="306">
        <v>76</v>
      </c>
      <c r="DH148" s="306">
        <v>43</v>
      </c>
      <c r="DI148" s="306">
        <v>6</v>
      </c>
      <c r="DJ148" s="306">
        <v>6</v>
      </c>
      <c r="DK148" s="306">
        <v>5</v>
      </c>
      <c r="DL148" s="306">
        <v>6</v>
      </c>
      <c r="DM148" s="306">
        <v>6</v>
      </c>
      <c r="DN148" s="306">
        <v>5</v>
      </c>
      <c r="DO148" s="306">
        <v>6</v>
      </c>
      <c r="DP148" s="306">
        <v>110</v>
      </c>
      <c r="DQ148" s="306">
        <v>110</v>
      </c>
    </row>
    <row r="149" spans="1:121" x14ac:dyDescent="0.2">
      <c r="A149" s="12" t="s">
        <v>197</v>
      </c>
      <c r="B149" s="169">
        <v>143</v>
      </c>
      <c r="C149" s="12" t="s">
        <v>292</v>
      </c>
      <c r="D149" s="169">
        <v>1981</v>
      </c>
      <c r="E149" s="11"/>
      <c r="F149" s="169">
        <v>84</v>
      </c>
      <c r="G149" s="35">
        <v>1</v>
      </c>
      <c r="H149" s="201">
        <v>9</v>
      </c>
      <c r="I149" s="201" t="s">
        <v>22</v>
      </c>
      <c r="J149" s="115">
        <f>23646+15304</f>
        <v>38950</v>
      </c>
      <c r="K149" s="115">
        <f>990+657</f>
        <v>1647</v>
      </c>
      <c r="L149" s="157"/>
      <c r="M149" s="115">
        <f>924+604</f>
        <v>1528</v>
      </c>
      <c r="N149" s="115">
        <v>179</v>
      </c>
      <c r="O149" s="115">
        <v>408</v>
      </c>
      <c r="P149" s="115">
        <v>179</v>
      </c>
      <c r="Q149" s="115">
        <v>374</v>
      </c>
      <c r="R149" s="228">
        <v>9666.7000000000007</v>
      </c>
      <c r="S149" s="230">
        <v>5782.2999999999993</v>
      </c>
      <c r="T149" s="115">
        <f t="shared" si="130"/>
        <v>165</v>
      </c>
      <c r="U149" s="203">
        <f t="shared" si="131"/>
        <v>8912</v>
      </c>
      <c r="V149" s="180">
        <f t="shared" si="132"/>
        <v>5314.3899999999994</v>
      </c>
      <c r="W149" s="115">
        <v>14</v>
      </c>
      <c r="X149" s="207">
        <v>754.7</v>
      </c>
      <c r="Y149" s="207">
        <v>467.91</v>
      </c>
      <c r="Z149" s="204"/>
      <c r="AA149" s="207"/>
      <c r="AB149" s="207"/>
      <c r="AC149" s="207">
        <f t="shared" si="133"/>
        <v>18.600000000000001</v>
      </c>
      <c r="AD149" s="248">
        <f t="shared" si="134"/>
        <v>18.600000000000001</v>
      </c>
      <c r="AE149" s="275"/>
      <c r="AF149" s="275">
        <f>10.5+8.1</f>
        <v>18.600000000000001</v>
      </c>
      <c r="AG149" s="207"/>
      <c r="AH149" s="207"/>
      <c r="AI149" s="207">
        <f t="shared" si="135"/>
        <v>9685.3000000000011</v>
      </c>
      <c r="AJ149" s="170"/>
      <c r="AK149" s="170">
        <f>3+2</f>
        <v>5</v>
      </c>
      <c r="AL149" s="170">
        <f>3+2</f>
        <v>5</v>
      </c>
      <c r="AM149" s="170">
        <f>3+2</f>
        <v>5</v>
      </c>
      <c r="AN149" s="170"/>
      <c r="AO149" s="170">
        <f>4+3</f>
        <v>7</v>
      </c>
      <c r="AP149" s="170">
        <f>6300+4360</f>
        <v>10660</v>
      </c>
      <c r="AQ149" s="170">
        <v>27</v>
      </c>
      <c r="AR149" s="170">
        <f>686+600</f>
        <v>1286</v>
      </c>
      <c r="AS149" s="170">
        <f>350+250</f>
        <v>600</v>
      </c>
      <c r="AT149" s="170">
        <f>108+72</f>
        <v>180</v>
      </c>
      <c r="AU149" s="170">
        <f t="shared" ref="AU149:AU180" si="152">AV149+AW149</f>
        <v>20230</v>
      </c>
      <c r="AV149" s="170"/>
      <c r="AW149" s="170">
        <v>20230</v>
      </c>
      <c r="AX149" s="170">
        <f>2520+1680</f>
        <v>4200</v>
      </c>
      <c r="AY149" s="170">
        <f>305+201</f>
        <v>506</v>
      </c>
      <c r="AZ149" s="170">
        <f>924+604</f>
        <v>1528</v>
      </c>
      <c r="BA149" s="170">
        <f>816+487</f>
        <v>1303</v>
      </c>
      <c r="BB149" s="170">
        <f>54+36</f>
        <v>90</v>
      </c>
      <c r="BC149" s="170">
        <f>6+4</f>
        <v>10</v>
      </c>
      <c r="BD149" s="170">
        <f>428+321</f>
        <v>749</v>
      </c>
      <c r="BE149" s="170">
        <f>680+510</f>
        <v>1190</v>
      </c>
      <c r="BF149" s="170">
        <v>2</v>
      </c>
      <c r="BG149" s="170">
        <v>17850</v>
      </c>
      <c r="BH149" s="170">
        <v>8175</v>
      </c>
      <c r="BI149" s="170">
        <v>225</v>
      </c>
      <c r="BJ149" s="115" t="str">
        <f t="shared" si="136"/>
        <v>0</v>
      </c>
      <c r="BK149" s="115" t="str">
        <f t="shared" si="137"/>
        <v>0</v>
      </c>
      <c r="BL149" s="115" t="str">
        <f t="shared" si="138"/>
        <v>0</v>
      </c>
      <c r="BM149" s="115">
        <f t="shared" si="139"/>
        <v>1</v>
      </c>
      <c r="BN149" s="115">
        <f t="shared" si="140"/>
        <v>9666.7000000000007</v>
      </c>
      <c r="BO149" s="115">
        <f t="shared" si="141"/>
        <v>5782.2999999999993</v>
      </c>
      <c r="BP149" s="115" t="str">
        <f t="shared" si="142"/>
        <v>0</v>
      </c>
      <c r="BQ149" s="115" t="str">
        <f t="shared" si="143"/>
        <v>0</v>
      </c>
      <c r="BR149" s="115" t="str">
        <f t="shared" si="144"/>
        <v>0</v>
      </c>
      <c r="BS149" s="115"/>
      <c r="BT149" s="115">
        <f>1+1</f>
        <v>2</v>
      </c>
      <c r="BU149" s="115">
        <f>BA149</f>
        <v>1303</v>
      </c>
      <c r="BV149" s="115">
        <v>8438</v>
      </c>
      <c r="BW149" s="115"/>
      <c r="BX149" s="115"/>
      <c r="BY149" s="253">
        <v>2774.3999999999996</v>
      </c>
      <c r="BZ149" s="253">
        <v>1371.7</v>
      </c>
      <c r="CA149" s="205">
        <f>1689+2276</f>
        <v>3965</v>
      </c>
      <c r="CB149" s="282">
        <f t="shared" si="145"/>
        <v>2318</v>
      </c>
      <c r="CC149" s="209" t="str">
        <f t="shared" ref="CC149:CC180" si="153">IF(CD149&gt;0,G149,"0")</f>
        <v>0</v>
      </c>
      <c r="CD149" s="235">
        <f t="shared" ref="CD149:CD180" si="154">AV149</f>
        <v>0</v>
      </c>
      <c r="CE149" s="209">
        <f t="shared" si="127"/>
        <v>1</v>
      </c>
      <c r="CF149" s="235">
        <f t="shared" ref="CF149:CF180" si="155">AW149</f>
        <v>20230</v>
      </c>
      <c r="CG149" s="235">
        <f t="shared" ref="CG149:CG180" si="156">CC149+CE149</f>
        <v>1</v>
      </c>
      <c r="CH149" s="235">
        <f t="shared" ref="CH149:CH180" si="157">CD149+CF149</f>
        <v>20230</v>
      </c>
      <c r="CI149" s="156">
        <v>43</v>
      </c>
      <c r="CJ149" s="284" t="str">
        <f t="shared" si="146"/>
        <v>0</v>
      </c>
      <c r="CK149" s="284" t="str">
        <f t="shared" si="147"/>
        <v>0</v>
      </c>
      <c r="CL149" s="243">
        <f t="shared" si="148"/>
        <v>7.8072144578811802</v>
      </c>
      <c r="CM149" s="216" t="str">
        <f t="shared" si="149"/>
        <v>0</v>
      </c>
      <c r="CN149" s="216" t="str">
        <f t="shared" si="150"/>
        <v>0</v>
      </c>
      <c r="CO149" s="243">
        <f t="shared" si="151"/>
        <v>7.9842648136867211</v>
      </c>
      <c r="CP149" s="306">
        <v>1</v>
      </c>
      <c r="CQ149" s="306">
        <v>0</v>
      </c>
      <c r="CR149" s="306">
        <v>0</v>
      </c>
      <c r="CS149" s="306">
        <v>0</v>
      </c>
      <c r="CT149" s="306">
        <v>4</v>
      </c>
      <c r="CU149" s="306">
        <v>0</v>
      </c>
      <c r="CV149" s="306">
        <v>0</v>
      </c>
      <c r="CW149" s="306">
        <v>0</v>
      </c>
      <c r="CX149" s="306">
        <v>0</v>
      </c>
      <c r="CY149" s="306">
        <v>179</v>
      </c>
      <c r="CZ149" s="306">
        <f t="shared" ref="CZ149:CZ180" si="158">CY149-DA149</f>
        <v>167</v>
      </c>
      <c r="DA149" s="306">
        <v>12</v>
      </c>
      <c r="DB149" s="306">
        <v>161</v>
      </c>
      <c r="DC149" s="306">
        <v>89</v>
      </c>
      <c r="DD149" s="306">
        <v>120</v>
      </c>
      <c r="DE149" s="306">
        <v>128</v>
      </c>
      <c r="DF149" s="306">
        <v>99</v>
      </c>
      <c r="DG149" s="306">
        <v>107</v>
      </c>
      <c r="DH149" s="306">
        <v>141</v>
      </c>
      <c r="DI149" s="306">
        <v>10</v>
      </c>
      <c r="DJ149" s="306">
        <v>6</v>
      </c>
      <c r="DK149" s="306">
        <v>4</v>
      </c>
      <c r="DL149" s="306">
        <v>9</v>
      </c>
      <c r="DM149" s="306">
        <v>6</v>
      </c>
      <c r="DN149" s="306">
        <v>4</v>
      </c>
      <c r="DO149" s="306">
        <v>9</v>
      </c>
      <c r="DP149" s="306">
        <v>179</v>
      </c>
      <c r="DQ149" s="306">
        <v>179</v>
      </c>
    </row>
    <row r="150" spans="1:121" x14ac:dyDescent="0.2">
      <c r="A150" s="198" t="s">
        <v>203</v>
      </c>
      <c r="B150" s="169">
        <v>144</v>
      </c>
      <c r="C150" s="213" t="s">
        <v>297</v>
      </c>
      <c r="D150" s="169">
        <v>1989</v>
      </c>
      <c r="E150" s="11"/>
      <c r="F150" s="206" t="s">
        <v>24</v>
      </c>
      <c r="G150" s="35">
        <v>1</v>
      </c>
      <c r="H150" s="201">
        <v>9</v>
      </c>
      <c r="I150" s="201" t="s">
        <v>173</v>
      </c>
      <c r="J150" s="115">
        <f>39691+9926+10151+11098</f>
        <v>70866</v>
      </c>
      <c r="K150" s="115">
        <f>1546+411+439+681</f>
        <v>3077</v>
      </c>
      <c r="L150" s="157"/>
      <c r="M150" s="115">
        <f>1451+367+373+350</f>
        <v>2541</v>
      </c>
      <c r="N150" s="115">
        <v>236</v>
      </c>
      <c r="O150" s="115">
        <v>613</v>
      </c>
      <c r="P150" s="115">
        <v>236</v>
      </c>
      <c r="Q150" s="115">
        <v>539</v>
      </c>
      <c r="R150" s="228">
        <f>15006.85+2-1+1+1+0.7+0.7+0.66+2.1</f>
        <v>15014.010000000002</v>
      </c>
      <c r="S150" s="230">
        <v>9202</v>
      </c>
      <c r="T150" s="115">
        <f t="shared" si="130"/>
        <v>228</v>
      </c>
      <c r="U150" s="202">
        <f t="shared" si="131"/>
        <v>14525.210000000003</v>
      </c>
      <c r="V150" s="180">
        <f t="shared" si="132"/>
        <v>8898.94</v>
      </c>
      <c r="W150" s="115">
        <v>8</v>
      </c>
      <c r="X150" s="207">
        <v>488.8</v>
      </c>
      <c r="Y150" s="207">
        <v>303.06</v>
      </c>
      <c r="Z150" s="204"/>
      <c r="AA150" s="207"/>
      <c r="AB150" s="207"/>
      <c r="AC150" s="207">
        <f t="shared" si="133"/>
        <v>781</v>
      </c>
      <c r="AD150" s="248">
        <f t="shared" si="134"/>
        <v>234.2</v>
      </c>
      <c r="AE150" s="275"/>
      <c r="AF150" s="275">
        <v>234.2</v>
      </c>
      <c r="AG150" s="207">
        <v>546.79999999999995</v>
      </c>
      <c r="AH150" s="207"/>
      <c r="AI150" s="207">
        <f t="shared" si="135"/>
        <v>15795.010000000002</v>
      </c>
      <c r="AJ150" s="170"/>
      <c r="AK150" s="170">
        <f>4+3+0+0+0</f>
        <v>7</v>
      </c>
      <c r="AL150" s="170">
        <f>4+3+0+0+0</f>
        <v>7</v>
      </c>
      <c r="AM150" s="170">
        <f>4+3+0+0+0</f>
        <v>7</v>
      </c>
      <c r="AN150" s="170"/>
      <c r="AO150" s="170">
        <f>4+3+0+0+0</f>
        <v>7</v>
      </c>
      <c r="AP150" s="170">
        <f>6733.3+1683+1683+2530</f>
        <v>12629.3</v>
      </c>
      <c r="AQ150" s="170"/>
      <c r="AR150" s="170">
        <f>636.67+159+159+120</f>
        <v>1074.67</v>
      </c>
      <c r="AS150" s="170">
        <f>525.33+131+131+148</f>
        <v>935.33</v>
      </c>
      <c r="AT150" s="170">
        <f>300+75+75+75</f>
        <v>525</v>
      </c>
      <c r="AU150" s="170">
        <f t="shared" si="152"/>
        <v>28449.7</v>
      </c>
      <c r="AV150" s="170"/>
      <c r="AW150" s="170">
        <f>18966.7+4741+4742</f>
        <v>28449.7</v>
      </c>
      <c r="AX150" s="170">
        <f>5060/6*4+843+843</f>
        <v>5059.3333333333339</v>
      </c>
      <c r="AY150" s="170">
        <f>647/6*4+107+108+218</f>
        <v>864.33333333333326</v>
      </c>
      <c r="AZ150" s="170">
        <f>1451+367+373+402</f>
        <v>2593</v>
      </c>
      <c r="BA150" s="170">
        <f>1451+367+373+402</f>
        <v>2593</v>
      </c>
      <c r="BB150" s="170">
        <f>108/6*4+18+18+18</f>
        <v>126</v>
      </c>
      <c r="BC150" s="170">
        <f>126/6*4+21+21+2</f>
        <v>128</v>
      </c>
      <c r="BD150" s="170">
        <f>696/6*4+116+116+116</f>
        <v>812</v>
      </c>
      <c r="BE150" s="170">
        <f>1272/6*4+212+212+212</f>
        <v>1484</v>
      </c>
      <c r="BF150" s="170">
        <f>1+2</f>
        <v>3</v>
      </c>
      <c r="BG150" s="170">
        <v>26600</v>
      </c>
      <c r="BH150" s="170">
        <v>11445</v>
      </c>
      <c r="BI150" s="170">
        <v>315</v>
      </c>
      <c r="BJ150" s="115" t="str">
        <f t="shared" si="136"/>
        <v>0</v>
      </c>
      <c r="BK150" s="115" t="str">
        <f t="shared" si="137"/>
        <v>0</v>
      </c>
      <c r="BL150" s="115" t="str">
        <f t="shared" si="138"/>
        <v>0</v>
      </c>
      <c r="BM150" s="115" t="str">
        <f t="shared" si="139"/>
        <v>0</v>
      </c>
      <c r="BN150" s="115" t="str">
        <f t="shared" si="140"/>
        <v>0</v>
      </c>
      <c r="BO150" s="115" t="str">
        <f t="shared" si="141"/>
        <v>0</v>
      </c>
      <c r="BP150" s="115">
        <f t="shared" si="142"/>
        <v>1</v>
      </c>
      <c r="BQ150" s="115">
        <f t="shared" si="143"/>
        <v>15014.010000000002</v>
      </c>
      <c r="BR150" s="115">
        <f t="shared" si="144"/>
        <v>9202</v>
      </c>
      <c r="BS150" s="115"/>
      <c r="BT150" s="115">
        <f>1+3</f>
        <v>4</v>
      </c>
      <c r="BU150" s="115"/>
      <c r="BV150" s="115"/>
      <c r="BW150" s="115">
        <v>2</v>
      </c>
      <c r="BX150" s="115">
        <v>2530</v>
      </c>
      <c r="BY150" s="253">
        <v>5277.5</v>
      </c>
      <c r="BZ150" s="253">
        <v>2966.2</v>
      </c>
      <c r="CA150" s="205">
        <f>2509+2465</f>
        <v>4974</v>
      </c>
      <c r="CB150" s="282">
        <f t="shared" si="145"/>
        <v>1897</v>
      </c>
      <c r="CC150" s="209" t="str">
        <f t="shared" si="153"/>
        <v>0</v>
      </c>
      <c r="CD150" s="235">
        <f t="shared" si="154"/>
        <v>0</v>
      </c>
      <c r="CE150" s="209">
        <f t="shared" si="127"/>
        <v>1</v>
      </c>
      <c r="CF150" s="235">
        <f t="shared" si="155"/>
        <v>28449.7</v>
      </c>
      <c r="CG150" s="235">
        <f t="shared" si="156"/>
        <v>1</v>
      </c>
      <c r="CH150" s="235">
        <f t="shared" si="157"/>
        <v>28449.7</v>
      </c>
      <c r="CI150" s="156">
        <v>54</v>
      </c>
      <c r="CJ150" s="284" t="str">
        <f t="shared" si="146"/>
        <v>0</v>
      </c>
      <c r="CK150" s="284" t="str">
        <f t="shared" si="147"/>
        <v>0</v>
      </c>
      <c r="CL150" s="243">
        <f t="shared" si="148"/>
        <v>3.2556259120647977</v>
      </c>
      <c r="CM150" s="216" t="str">
        <f t="shared" si="149"/>
        <v>0</v>
      </c>
      <c r="CN150" s="216" t="str">
        <f t="shared" si="150"/>
        <v>0</v>
      </c>
      <c r="CO150" s="243">
        <f t="shared" si="151"/>
        <v>4.5773950127287026</v>
      </c>
      <c r="CP150" s="306">
        <v>1</v>
      </c>
      <c r="CQ150" s="306">
        <v>0</v>
      </c>
      <c r="CR150" s="306">
        <v>0</v>
      </c>
      <c r="CS150" s="306">
        <v>0</v>
      </c>
      <c r="CT150" s="306">
        <v>4</v>
      </c>
      <c r="CU150" s="306">
        <v>0</v>
      </c>
      <c r="CV150" s="306">
        <v>0</v>
      </c>
      <c r="CW150" s="306">
        <v>0</v>
      </c>
      <c r="CX150" s="306">
        <v>0</v>
      </c>
      <c r="CY150" s="306">
        <v>236</v>
      </c>
      <c r="CZ150" s="306">
        <f t="shared" si="158"/>
        <v>226</v>
      </c>
      <c r="DA150" s="306">
        <v>10</v>
      </c>
      <c r="DB150" s="306">
        <v>223</v>
      </c>
      <c r="DC150" s="306">
        <v>150</v>
      </c>
      <c r="DD150" s="306">
        <v>145</v>
      </c>
      <c r="DE150" s="306">
        <v>197</v>
      </c>
      <c r="DF150" s="306">
        <v>150</v>
      </c>
      <c r="DG150" s="306">
        <v>144</v>
      </c>
      <c r="DH150" s="306">
        <v>198</v>
      </c>
      <c r="DI150" s="306">
        <v>9</v>
      </c>
      <c r="DJ150" s="306">
        <v>5</v>
      </c>
      <c r="DK150" s="306">
        <v>2</v>
      </c>
      <c r="DL150" s="306">
        <v>6</v>
      </c>
      <c r="DM150" s="306">
        <v>5</v>
      </c>
      <c r="DN150" s="306">
        <v>2</v>
      </c>
      <c r="DO150" s="306">
        <v>6</v>
      </c>
      <c r="DP150" s="306">
        <v>236</v>
      </c>
      <c r="DQ150" s="306">
        <v>236</v>
      </c>
    </row>
    <row r="151" spans="1:121" x14ac:dyDescent="0.2">
      <c r="A151" s="12" t="s">
        <v>197</v>
      </c>
      <c r="B151" s="169">
        <v>145</v>
      </c>
      <c r="C151" s="12" t="s">
        <v>298</v>
      </c>
      <c r="D151" s="169">
        <v>1989</v>
      </c>
      <c r="E151" s="11"/>
      <c r="F151" s="206" t="s">
        <v>24</v>
      </c>
      <c r="G151" s="35">
        <v>1</v>
      </c>
      <c r="H151" s="201">
        <v>9</v>
      </c>
      <c r="I151" s="201" t="s">
        <v>173</v>
      </c>
      <c r="J151" s="115">
        <f>19536+9839+10113</f>
        <v>39488</v>
      </c>
      <c r="K151" s="115">
        <f>791+404+445</f>
        <v>1640</v>
      </c>
      <c r="L151" s="157"/>
      <c r="M151" s="115">
        <f>713+364+371</f>
        <v>1448</v>
      </c>
      <c r="N151" s="115">
        <v>134</v>
      </c>
      <c r="O151" s="115">
        <v>336</v>
      </c>
      <c r="P151" s="115">
        <v>134</v>
      </c>
      <c r="Q151" s="115">
        <v>310</v>
      </c>
      <c r="R151" s="228">
        <f>8260.08-3+1.9</f>
        <v>8258.98</v>
      </c>
      <c r="S151" s="230">
        <v>5000.3999999999996</v>
      </c>
      <c r="T151" s="115">
        <f t="shared" si="130"/>
        <v>127</v>
      </c>
      <c r="U151" s="203">
        <f t="shared" si="131"/>
        <v>7834.3799999999992</v>
      </c>
      <c r="V151" s="180">
        <f t="shared" si="132"/>
        <v>4737.1499999999996</v>
      </c>
      <c r="W151" s="115">
        <v>7</v>
      </c>
      <c r="X151" s="207">
        <v>424.6</v>
      </c>
      <c r="Y151" s="207">
        <v>263.25</v>
      </c>
      <c r="Z151" s="204"/>
      <c r="AA151" s="207"/>
      <c r="AB151" s="207"/>
      <c r="AC151" s="207">
        <f t="shared" si="133"/>
        <v>470.79999999999995</v>
      </c>
      <c r="AD151" s="248">
        <f t="shared" si="134"/>
        <v>237.2</v>
      </c>
      <c r="AE151" s="248"/>
      <c r="AF151" s="275">
        <v>237.2</v>
      </c>
      <c r="AG151" s="207">
        <v>233.6</v>
      </c>
      <c r="AH151" s="207"/>
      <c r="AI151" s="207">
        <f t="shared" si="135"/>
        <v>8729.7799999999988</v>
      </c>
      <c r="AJ151" s="170"/>
      <c r="AK151" s="170">
        <v>4</v>
      </c>
      <c r="AL151" s="170">
        <v>4</v>
      </c>
      <c r="AM151" s="170">
        <v>4</v>
      </c>
      <c r="AN151" s="170"/>
      <c r="AO151" s="170">
        <v>4</v>
      </c>
      <c r="AP151" s="170">
        <f>3623.3+1811.7+2530</f>
        <v>7965</v>
      </c>
      <c r="AQ151" s="170"/>
      <c r="AR151" s="170">
        <f>436.67+218.33+120</f>
        <v>775</v>
      </c>
      <c r="AS151" s="170">
        <f>281.33+140.67+148</f>
        <v>570</v>
      </c>
      <c r="AT151" s="170">
        <f>150+75+75</f>
        <v>300</v>
      </c>
      <c r="AU151" s="170">
        <f t="shared" si="152"/>
        <v>16399.97</v>
      </c>
      <c r="AV151" s="170"/>
      <c r="AW151" s="170">
        <f>10933.3+5466.67</f>
        <v>16399.97</v>
      </c>
      <c r="AX151" s="170">
        <f>1680+840</f>
        <v>2520</v>
      </c>
      <c r="AY151" s="170">
        <f>225+112+218</f>
        <v>555</v>
      </c>
      <c r="AZ151" s="170">
        <f>713+364+371</f>
        <v>1448</v>
      </c>
      <c r="BA151" s="170">
        <f>587+298+265</f>
        <v>1150</v>
      </c>
      <c r="BB151" s="170">
        <f>48+24+18</f>
        <v>90</v>
      </c>
      <c r="BC151" s="170">
        <f>56+28+2</f>
        <v>86</v>
      </c>
      <c r="BD151" s="170">
        <f>232+226+226</f>
        <v>684</v>
      </c>
      <c r="BE151" s="170">
        <f>424+212+212</f>
        <v>848</v>
      </c>
      <c r="BF151" s="170">
        <v>3</v>
      </c>
      <c r="BG151" s="170">
        <v>15200</v>
      </c>
      <c r="BH151" s="170">
        <v>6540</v>
      </c>
      <c r="BI151" s="170">
        <v>180</v>
      </c>
      <c r="BJ151" s="115" t="str">
        <f t="shared" si="136"/>
        <v>0</v>
      </c>
      <c r="BK151" s="115" t="str">
        <f t="shared" si="137"/>
        <v>0</v>
      </c>
      <c r="BL151" s="115" t="str">
        <f t="shared" si="138"/>
        <v>0</v>
      </c>
      <c r="BM151" s="115" t="str">
        <f t="shared" si="139"/>
        <v>0</v>
      </c>
      <c r="BN151" s="115" t="str">
        <f t="shared" si="140"/>
        <v>0</v>
      </c>
      <c r="BO151" s="115" t="str">
        <f t="shared" si="141"/>
        <v>0</v>
      </c>
      <c r="BP151" s="115">
        <f t="shared" si="142"/>
        <v>1</v>
      </c>
      <c r="BQ151" s="115">
        <f t="shared" si="143"/>
        <v>8258.98</v>
      </c>
      <c r="BR151" s="115">
        <f t="shared" si="144"/>
        <v>5000.3999999999996</v>
      </c>
      <c r="BS151" s="115"/>
      <c r="BT151" s="115">
        <v>3</v>
      </c>
      <c r="BU151" s="115"/>
      <c r="BV151" s="115"/>
      <c r="BW151" s="115">
        <v>8</v>
      </c>
      <c r="BX151" s="115">
        <v>2530</v>
      </c>
      <c r="BY151" s="253">
        <v>2832.8</v>
      </c>
      <c r="BZ151" s="253">
        <v>1568.9</v>
      </c>
      <c r="CA151" s="205">
        <v>3827</v>
      </c>
      <c r="CB151" s="282">
        <f t="shared" si="145"/>
        <v>2187</v>
      </c>
      <c r="CC151" s="209" t="str">
        <f t="shared" si="153"/>
        <v>0</v>
      </c>
      <c r="CD151" s="235">
        <f t="shared" si="154"/>
        <v>0</v>
      </c>
      <c r="CE151" s="209">
        <f t="shared" si="127"/>
        <v>1</v>
      </c>
      <c r="CF151" s="235">
        <f t="shared" si="155"/>
        <v>16399.97</v>
      </c>
      <c r="CG151" s="235">
        <f t="shared" si="156"/>
        <v>1</v>
      </c>
      <c r="CH151" s="235">
        <f t="shared" si="157"/>
        <v>16399.97</v>
      </c>
      <c r="CI151" s="156">
        <v>54</v>
      </c>
      <c r="CJ151" s="284" t="str">
        <f t="shared" si="146"/>
        <v>0</v>
      </c>
      <c r="CK151" s="284" t="str">
        <f t="shared" si="147"/>
        <v>0</v>
      </c>
      <c r="CL151" s="243">
        <f t="shared" si="148"/>
        <v>5.1410706891165745</v>
      </c>
      <c r="CM151" s="216" t="str">
        <f t="shared" si="149"/>
        <v>0</v>
      </c>
      <c r="CN151" s="216" t="str">
        <f t="shared" si="150"/>
        <v>0</v>
      </c>
      <c r="CO151" s="243">
        <f t="shared" si="151"/>
        <v>7.5809470570850594</v>
      </c>
      <c r="CP151" s="306">
        <v>1</v>
      </c>
      <c r="CQ151" s="306">
        <v>0</v>
      </c>
      <c r="CR151" s="306">
        <v>0</v>
      </c>
      <c r="CS151" s="306">
        <v>0</v>
      </c>
      <c r="CT151" s="306">
        <v>2</v>
      </c>
      <c r="CU151" s="306">
        <v>0</v>
      </c>
      <c r="CV151" s="306">
        <v>0</v>
      </c>
      <c r="CW151" s="306">
        <v>0</v>
      </c>
      <c r="CX151" s="306">
        <v>0</v>
      </c>
      <c r="CY151" s="306">
        <v>134</v>
      </c>
      <c r="CZ151" s="306">
        <f t="shared" si="158"/>
        <v>131</v>
      </c>
      <c r="DA151" s="306">
        <v>3</v>
      </c>
      <c r="DB151" s="306">
        <v>130</v>
      </c>
      <c r="DC151" s="306">
        <v>77</v>
      </c>
      <c r="DD151" s="306">
        <v>84</v>
      </c>
      <c r="DE151" s="306">
        <v>93</v>
      </c>
      <c r="DF151" s="306">
        <v>86</v>
      </c>
      <c r="DG151" s="306">
        <v>74</v>
      </c>
      <c r="DH151" s="306">
        <v>103</v>
      </c>
      <c r="DI151" s="306">
        <v>3</v>
      </c>
      <c r="DJ151" s="306">
        <v>2</v>
      </c>
      <c r="DK151" s="306">
        <v>5</v>
      </c>
      <c r="DL151" s="306">
        <v>3</v>
      </c>
      <c r="DM151" s="306">
        <v>2</v>
      </c>
      <c r="DN151" s="306">
        <v>5</v>
      </c>
      <c r="DO151" s="306">
        <v>3</v>
      </c>
      <c r="DP151" s="306">
        <v>134</v>
      </c>
      <c r="DQ151" s="306">
        <v>134</v>
      </c>
    </row>
    <row r="152" spans="1:121" x14ac:dyDescent="0.2">
      <c r="A152" s="12" t="s">
        <v>197</v>
      </c>
      <c r="B152" s="169">
        <v>146</v>
      </c>
      <c r="C152" s="12" t="s">
        <v>299</v>
      </c>
      <c r="D152" s="200">
        <v>1981</v>
      </c>
      <c r="E152" s="11"/>
      <c r="F152" s="169">
        <v>84</v>
      </c>
      <c r="G152" s="35">
        <v>1</v>
      </c>
      <c r="H152" s="201">
        <v>9</v>
      </c>
      <c r="I152" s="201" t="s">
        <v>22</v>
      </c>
      <c r="J152" s="115">
        <v>14293</v>
      </c>
      <c r="K152" s="115">
        <v>606</v>
      </c>
      <c r="L152" s="157"/>
      <c r="M152" s="115">
        <v>563</v>
      </c>
      <c r="N152" s="115">
        <v>72</v>
      </c>
      <c r="O152" s="115">
        <v>142</v>
      </c>
      <c r="P152" s="115">
        <v>72</v>
      </c>
      <c r="Q152" s="115">
        <v>120</v>
      </c>
      <c r="R152" s="228">
        <v>3589.8</v>
      </c>
      <c r="S152" s="230">
        <v>2124.9</v>
      </c>
      <c r="T152" s="115">
        <f t="shared" si="130"/>
        <v>66</v>
      </c>
      <c r="U152" s="203">
        <f t="shared" si="131"/>
        <v>3322.4</v>
      </c>
      <c r="V152" s="180">
        <f t="shared" si="132"/>
        <v>1959.1100000000001</v>
      </c>
      <c r="W152" s="115">
        <v>6</v>
      </c>
      <c r="X152" s="207">
        <v>267.39999999999998</v>
      </c>
      <c r="Y152" s="207">
        <v>165.79</v>
      </c>
      <c r="Z152" s="204"/>
      <c r="AA152" s="207"/>
      <c r="AB152" s="207"/>
      <c r="AC152" s="207">
        <f t="shared" si="133"/>
        <v>0</v>
      </c>
      <c r="AD152" s="248">
        <f t="shared" si="134"/>
        <v>0</v>
      </c>
      <c r="AE152" s="275"/>
      <c r="AF152" s="275"/>
      <c r="AG152" s="207"/>
      <c r="AH152" s="207"/>
      <c r="AI152" s="207">
        <f t="shared" si="135"/>
        <v>3589.8</v>
      </c>
      <c r="AJ152" s="170"/>
      <c r="AK152" s="170">
        <v>2</v>
      </c>
      <c r="AL152" s="170">
        <v>2</v>
      </c>
      <c r="AM152" s="170">
        <v>2</v>
      </c>
      <c r="AN152" s="170"/>
      <c r="AO152" s="170">
        <v>3</v>
      </c>
      <c r="AP152" s="170">
        <v>3006</v>
      </c>
      <c r="AQ152" s="170"/>
      <c r="AR152" s="170">
        <v>390</v>
      </c>
      <c r="AS152" s="170">
        <v>244</v>
      </c>
      <c r="AT152" s="170">
        <v>72</v>
      </c>
      <c r="AU152" s="170">
        <f t="shared" si="152"/>
        <v>8480</v>
      </c>
      <c r="AV152" s="170"/>
      <c r="AW152" s="170">
        <v>8480</v>
      </c>
      <c r="AX152" s="170">
        <v>1680</v>
      </c>
      <c r="AY152" s="170">
        <v>189</v>
      </c>
      <c r="AZ152" s="170">
        <v>563</v>
      </c>
      <c r="BA152" s="170">
        <v>563</v>
      </c>
      <c r="BB152" s="170">
        <v>36</v>
      </c>
      <c r="BC152" s="170">
        <v>4</v>
      </c>
      <c r="BD152" s="170">
        <v>214</v>
      </c>
      <c r="BE152" s="170">
        <v>340</v>
      </c>
      <c r="BF152" s="170">
        <v>1</v>
      </c>
      <c r="BG152" s="170">
        <v>7140</v>
      </c>
      <c r="BH152" s="170">
        <v>3270</v>
      </c>
      <c r="BI152" s="170">
        <v>90</v>
      </c>
      <c r="BJ152" s="115" t="str">
        <f t="shared" si="136"/>
        <v>0</v>
      </c>
      <c r="BK152" s="115" t="str">
        <f t="shared" si="137"/>
        <v>0</v>
      </c>
      <c r="BL152" s="115" t="str">
        <f t="shared" si="138"/>
        <v>0</v>
      </c>
      <c r="BM152" s="115">
        <f t="shared" si="139"/>
        <v>1</v>
      </c>
      <c r="BN152" s="115">
        <f t="shared" si="140"/>
        <v>3589.8</v>
      </c>
      <c r="BO152" s="115">
        <f t="shared" si="141"/>
        <v>2124.9</v>
      </c>
      <c r="BP152" s="115" t="str">
        <f t="shared" si="142"/>
        <v>0</v>
      </c>
      <c r="BQ152" s="115" t="str">
        <f t="shared" si="143"/>
        <v>0</v>
      </c>
      <c r="BR152" s="115" t="str">
        <f t="shared" si="144"/>
        <v>0</v>
      </c>
      <c r="BS152" s="115"/>
      <c r="BT152" s="115">
        <v>1</v>
      </c>
      <c r="BU152" s="115">
        <f>BA152</f>
        <v>563</v>
      </c>
      <c r="BV152" s="115">
        <v>3168</v>
      </c>
      <c r="BW152" s="115"/>
      <c r="BX152" s="115"/>
      <c r="BY152" s="253">
        <v>1143</v>
      </c>
      <c r="BZ152" s="253">
        <v>559.79999999999995</v>
      </c>
      <c r="CA152" s="205">
        <v>1602</v>
      </c>
      <c r="CB152" s="282">
        <f t="shared" si="145"/>
        <v>996</v>
      </c>
      <c r="CC152" s="209" t="str">
        <f t="shared" si="153"/>
        <v>0</v>
      </c>
      <c r="CD152" s="235">
        <f t="shared" si="154"/>
        <v>0</v>
      </c>
      <c r="CE152" s="209">
        <f t="shared" ref="CE152:CE170" si="159">IF(CF152&gt;0,G152,"0")</f>
        <v>1</v>
      </c>
      <c r="CF152" s="235">
        <f t="shared" si="155"/>
        <v>8480</v>
      </c>
      <c r="CG152" s="235">
        <f t="shared" si="156"/>
        <v>1</v>
      </c>
      <c r="CH152" s="235">
        <f t="shared" si="157"/>
        <v>8480</v>
      </c>
      <c r="CI152" s="156">
        <v>44</v>
      </c>
      <c r="CJ152" s="284" t="str">
        <f t="shared" si="146"/>
        <v>0</v>
      </c>
      <c r="CK152" s="284" t="str">
        <f t="shared" si="147"/>
        <v>0</v>
      </c>
      <c r="CL152" s="243">
        <f t="shared" si="148"/>
        <v>7.4488829461251305</v>
      </c>
      <c r="CM152" s="216" t="str">
        <f t="shared" si="149"/>
        <v>0</v>
      </c>
      <c r="CN152" s="216" t="str">
        <f t="shared" si="150"/>
        <v>0</v>
      </c>
      <c r="CO152" s="243">
        <f t="shared" si="151"/>
        <v>7.4488829461251305</v>
      </c>
      <c r="CP152" s="306">
        <v>1</v>
      </c>
      <c r="CQ152" s="306">
        <v>0</v>
      </c>
      <c r="CR152" s="306">
        <v>0</v>
      </c>
      <c r="CS152" s="306">
        <v>0</v>
      </c>
      <c r="CT152" s="306">
        <v>2</v>
      </c>
      <c r="CU152" s="306">
        <v>0</v>
      </c>
      <c r="CV152" s="306">
        <v>0</v>
      </c>
      <c r="CW152" s="306">
        <v>0</v>
      </c>
      <c r="CX152" s="306">
        <v>0</v>
      </c>
      <c r="CY152" s="306">
        <v>72</v>
      </c>
      <c r="CZ152" s="306">
        <f t="shared" si="158"/>
        <v>70</v>
      </c>
      <c r="DA152" s="306">
        <v>2</v>
      </c>
      <c r="DB152" s="306">
        <v>69</v>
      </c>
      <c r="DC152" s="306">
        <v>50</v>
      </c>
      <c r="DD152" s="306">
        <v>26</v>
      </c>
      <c r="DE152" s="306">
        <v>63</v>
      </c>
      <c r="DF152" s="306">
        <v>50</v>
      </c>
      <c r="DG152" s="306">
        <v>26</v>
      </c>
      <c r="DH152" s="306">
        <v>63</v>
      </c>
      <c r="DI152" s="306">
        <v>2</v>
      </c>
      <c r="DJ152" s="306">
        <v>1</v>
      </c>
      <c r="DK152" s="306">
        <v>4</v>
      </c>
      <c r="DL152" s="306">
        <v>2</v>
      </c>
      <c r="DM152" s="306">
        <v>1</v>
      </c>
      <c r="DN152" s="306">
        <v>4</v>
      </c>
      <c r="DO152" s="306">
        <v>2</v>
      </c>
      <c r="DP152" s="306">
        <v>72</v>
      </c>
      <c r="DQ152" s="306">
        <v>72</v>
      </c>
    </row>
    <row r="153" spans="1:121" x14ac:dyDescent="0.2">
      <c r="A153" s="12" t="s">
        <v>197</v>
      </c>
      <c r="B153" s="169">
        <v>147</v>
      </c>
      <c r="C153" s="12" t="s">
        <v>300</v>
      </c>
      <c r="D153" s="200">
        <v>1987</v>
      </c>
      <c r="E153" s="11"/>
      <c r="F153" s="206" t="s">
        <v>24</v>
      </c>
      <c r="G153" s="35">
        <v>1</v>
      </c>
      <c r="H153" s="201">
        <v>9</v>
      </c>
      <c r="I153" s="201" t="s">
        <v>22</v>
      </c>
      <c r="J153" s="115">
        <v>19870</v>
      </c>
      <c r="K153" s="115">
        <v>773</v>
      </c>
      <c r="L153" s="157"/>
      <c r="M153" s="115">
        <v>724</v>
      </c>
      <c r="N153" s="115">
        <v>70</v>
      </c>
      <c r="O153" s="115">
        <v>196</v>
      </c>
      <c r="P153" s="115">
        <v>70</v>
      </c>
      <c r="Q153" s="115">
        <v>172</v>
      </c>
      <c r="R153" s="228">
        <v>4600.8999999999996</v>
      </c>
      <c r="S153" s="230">
        <v>2890.5</v>
      </c>
      <c r="T153" s="115">
        <f t="shared" si="130"/>
        <v>65</v>
      </c>
      <c r="U153" s="203">
        <f t="shared" si="131"/>
        <v>4294</v>
      </c>
      <c r="V153" s="180">
        <f t="shared" si="132"/>
        <v>2700.22</v>
      </c>
      <c r="W153" s="115">
        <v>5</v>
      </c>
      <c r="X153" s="207">
        <v>306.89999999999998</v>
      </c>
      <c r="Y153" s="207">
        <v>190.28</v>
      </c>
      <c r="Z153" s="204"/>
      <c r="AA153" s="207"/>
      <c r="AB153" s="207"/>
      <c r="AC153" s="207">
        <f t="shared" si="133"/>
        <v>0</v>
      </c>
      <c r="AD153" s="248">
        <f t="shared" si="134"/>
        <v>0</v>
      </c>
      <c r="AE153" s="275"/>
      <c r="AF153" s="275"/>
      <c r="AG153" s="207"/>
      <c r="AH153" s="207"/>
      <c r="AI153" s="207">
        <f t="shared" si="135"/>
        <v>4600.8999999999996</v>
      </c>
      <c r="AJ153" s="170"/>
      <c r="AK153" s="170">
        <v>2</v>
      </c>
      <c r="AL153" s="170">
        <v>2</v>
      </c>
      <c r="AM153" s="170">
        <v>2</v>
      </c>
      <c r="AN153" s="170"/>
      <c r="AO153" s="170">
        <v>2</v>
      </c>
      <c r="AP153" s="170">
        <v>3575</v>
      </c>
      <c r="AQ153" s="170"/>
      <c r="AR153" s="170">
        <v>395</v>
      </c>
      <c r="AS153" s="170">
        <v>244</v>
      </c>
      <c r="AT153" s="170">
        <v>225</v>
      </c>
      <c r="AU153" s="170">
        <f t="shared" si="152"/>
        <v>8180</v>
      </c>
      <c r="AV153" s="170"/>
      <c r="AW153" s="170">
        <v>8180</v>
      </c>
      <c r="AX153" s="170">
        <v>1380</v>
      </c>
      <c r="AY153" s="170">
        <v>223</v>
      </c>
      <c r="AZ153" s="170">
        <v>537</v>
      </c>
      <c r="BA153" s="170">
        <v>537</v>
      </c>
      <c r="BB153" s="170">
        <v>36</v>
      </c>
      <c r="BC153" s="170">
        <v>42</v>
      </c>
      <c r="BD153" s="170">
        <v>232</v>
      </c>
      <c r="BE153" s="170">
        <v>424</v>
      </c>
      <c r="BF153" s="170">
        <v>1</v>
      </c>
      <c r="BG153" s="170">
        <v>7600</v>
      </c>
      <c r="BH153" s="170">
        <v>3270</v>
      </c>
      <c r="BI153" s="170">
        <v>90</v>
      </c>
      <c r="BJ153" s="115" t="str">
        <f t="shared" si="136"/>
        <v>0</v>
      </c>
      <c r="BK153" s="115" t="str">
        <f t="shared" si="137"/>
        <v>0</v>
      </c>
      <c r="BL153" s="115" t="str">
        <f t="shared" si="138"/>
        <v>0</v>
      </c>
      <c r="BM153" s="115">
        <f t="shared" si="139"/>
        <v>1</v>
      </c>
      <c r="BN153" s="115">
        <f t="shared" si="140"/>
        <v>4600.8999999999996</v>
      </c>
      <c r="BO153" s="115">
        <f t="shared" si="141"/>
        <v>2890.5</v>
      </c>
      <c r="BP153" s="115" t="str">
        <f t="shared" si="142"/>
        <v>0</v>
      </c>
      <c r="BQ153" s="115" t="str">
        <f t="shared" si="143"/>
        <v>0</v>
      </c>
      <c r="BR153" s="115" t="str">
        <f t="shared" si="144"/>
        <v>0</v>
      </c>
      <c r="BS153" s="115"/>
      <c r="BT153" s="115">
        <v>1</v>
      </c>
      <c r="BU153" s="115"/>
      <c r="BV153" s="115"/>
      <c r="BW153" s="115"/>
      <c r="BX153" s="115"/>
      <c r="BY153" s="253">
        <v>1577.5</v>
      </c>
      <c r="BZ153" s="253">
        <v>777.1</v>
      </c>
      <c r="CA153" s="205">
        <v>2043</v>
      </c>
      <c r="CB153" s="282">
        <f t="shared" si="145"/>
        <v>1270</v>
      </c>
      <c r="CC153" s="209" t="str">
        <f t="shared" si="153"/>
        <v>0</v>
      </c>
      <c r="CD153" s="235">
        <f t="shared" si="154"/>
        <v>0</v>
      </c>
      <c r="CE153" s="209">
        <f t="shared" si="159"/>
        <v>1</v>
      </c>
      <c r="CF153" s="235">
        <f t="shared" si="155"/>
        <v>8180</v>
      </c>
      <c r="CG153" s="235">
        <f t="shared" si="156"/>
        <v>1</v>
      </c>
      <c r="CH153" s="235">
        <f t="shared" si="157"/>
        <v>8180</v>
      </c>
      <c r="CI153" s="156">
        <v>50</v>
      </c>
      <c r="CJ153" s="284" t="str">
        <f t="shared" si="146"/>
        <v>0</v>
      </c>
      <c r="CK153" s="284" t="str">
        <f t="shared" si="147"/>
        <v>0</v>
      </c>
      <c r="CL153" s="243">
        <f t="shared" si="148"/>
        <v>6.6704340455128337</v>
      </c>
      <c r="CM153" s="216" t="str">
        <f t="shared" si="149"/>
        <v>0</v>
      </c>
      <c r="CN153" s="216" t="str">
        <f t="shared" si="150"/>
        <v>0</v>
      </c>
      <c r="CO153" s="243">
        <f t="shared" si="151"/>
        <v>6.6704340455128337</v>
      </c>
      <c r="CP153" s="306">
        <v>1</v>
      </c>
      <c r="CQ153" s="306">
        <v>0</v>
      </c>
      <c r="CR153" s="306">
        <v>0</v>
      </c>
      <c r="CS153" s="306">
        <v>0</v>
      </c>
      <c r="CT153" s="306">
        <v>2</v>
      </c>
      <c r="CU153" s="306">
        <v>0</v>
      </c>
      <c r="CV153" s="306">
        <v>0</v>
      </c>
      <c r="CW153" s="306">
        <v>0</v>
      </c>
      <c r="CX153" s="306">
        <v>0</v>
      </c>
      <c r="CY153" s="306">
        <v>70</v>
      </c>
      <c r="CZ153" s="306">
        <f t="shared" si="158"/>
        <v>64</v>
      </c>
      <c r="DA153" s="306">
        <v>6</v>
      </c>
      <c r="DB153" s="306">
        <v>63</v>
      </c>
      <c r="DC153" s="306">
        <v>44</v>
      </c>
      <c r="DD153" s="306">
        <v>32</v>
      </c>
      <c r="DE153" s="306">
        <v>55</v>
      </c>
      <c r="DF153" s="306">
        <v>44</v>
      </c>
      <c r="DG153" s="306">
        <v>32</v>
      </c>
      <c r="DH153" s="306">
        <v>55</v>
      </c>
      <c r="DI153" s="306">
        <v>6</v>
      </c>
      <c r="DJ153" s="306">
        <v>2</v>
      </c>
      <c r="DK153" s="306">
        <v>0</v>
      </c>
      <c r="DL153" s="306">
        <v>2</v>
      </c>
      <c r="DM153" s="306">
        <v>2</v>
      </c>
      <c r="DN153" s="306">
        <v>0</v>
      </c>
      <c r="DO153" s="306">
        <v>2</v>
      </c>
      <c r="DP153" s="306">
        <v>70</v>
      </c>
      <c r="DQ153" s="306">
        <v>70</v>
      </c>
    </row>
    <row r="154" spans="1:121" x14ac:dyDescent="0.2">
      <c r="A154" s="12" t="s">
        <v>197</v>
      </c>
      <c r="B154" s="169">
        <v>148</v>
      </c>
      <c r="C154" s="12" t="s">
        <v>301</v>
      </c>
      <c r="D154" s="200">
        <v>1980</v>
      </c>
      <c r="E154" s="11"/>
      <c r="F154" s="169">
        <v>84</v>
      </c>
      <c r="G154" s="35">
        <v>1</v>
      </c>
      <c r="H154" s="201">
        <v>9</v>
      </c>
      <c r="I154" s="201" t="s">
        <v>22</v>
      </c>
      <c r="J154" s="115">
        <v>94314</v>
      </c>
      <c r="K154" s="115">
        <v>3851</v>
      </c>
      <c r="L154" s="157"/>
      <c r="M154" s="115">
        <v>3697</v>
      </c>
      <c r="N154" s="115">
        <v>428</v>
      </c>
      <c r="O154" s="115">
        <v>1027</v>
      </c>
      <c r="P154" s="115">
        <v>432</v>
      </c>
      <c r="Q154" s="115">
        <v>943</v>
      </c>
      <c r="R154" s="228">
        <f>23549.6-2.91+12-0.04</f>
        <v>23558.649999999998</v>
      </c>
      <c r="S154" s="230">
        <v>14132.68</v>
      </c>
      <c r="T154" s="115">
        <f t="shared" si="130"/>
        <v>403</v>
      </c>
      <c r="U154" s="203">
        <f t="shared" si="131"/>
        <v>22240.659999999996</v>
      </c>
      <c r="V154" s="180">
        <f t="shared" si="132"/>
        <v>13315.53</v>
      </c>
      <c r="W154" s="115">
        <v>25</v>
      </c>
      <c r="X154" s="207">
        <v>1317.99</v>
      </c>
      <c r="Y154" s="207">
        <v>817.15</v>
      </c>
      <c r="Z154" s="204"/>
      <c r="AA154" s="207"/>
      <c r="AB154" s="207"/>
      <c r="AC154" s="207">
        <f t="shared" si="133"/>
        <v>115.15</v>
      </c>
      <c r="AD154" s="248">
        <f t="shared" si="134"/>
        <v>115.15</v>
      </c>
      <c r="AE154" s="275"/>
      <c r="AF154" s="275">
        <f>83.95+31.2</f>
        <v>115.15</v>
      </c>
      <c r="AG154" s="207">
        <f>115.15-115.15</f>
        <v>0</v>
      </c>
      <c r="AH154" s="207"/>
      <c r="AI154" s="207">
        <f t="shared" si="135"/>
        <v>23673.8</v>
      </c>
      <c r="AJ154" s="170"/>
      <c r="AK154" s="170">
        <v>12</v>
      </c>
      <c r="AL154" s="170">
        <v>12</v>
      </c>
      <c r="AM154" s="170">
        <v>12</v>
      </c>
      <c r="AN154" s="170"/>
      <c r="AO154" s="170">
        <v>13</v>
      </c>
      <c r="AP154" s="170">
        <v>21101</v>
      </c>
      <c r="AQ154" s="170"/>
      <c r="AR154" s="170">
        <v>1570</v>
      </c>
      <c r="AS154" s="170">
        <v>1360</v>
      </c>
      <c r="AT154" s="170">
        <v>432</v>
      </c>
      <c r="AU154" s="170">
        <f t="shared" si="152"/>
        <v>12220</v>
      </c>
      <c r="AV154" s="170"/>
      <c r="AW154" s="170">
        <v>12220</v>
      </c>
      <c r="AX154" s="170">
        <v>10080</v>
      </c>
      <c r="AY154" s="170">
        <v>1080</v>
      </c>
      <c r="AZ154" s="170">
        <v>3280</v>
      </c>
      <c r="BA154" s="170">
        <v>3280</v>
      </c>
      <c r="BB154" s="170">
        <v>216</v>
      </c>
      <c r="BC154" s="170">
        <v>24</v>
      </c>
      <c r="BD154" s="170">
        <v>1284</v>
      </c>
      <c r="BE154" s="170">
        <v>2040</v>
      </c>
      <c r="BF154" s="170">
        <v>4</v>
      </c>
      <c r="BG154" s="170">
        <v>42840</v>
      </c>
      <c r="BH154" s="170">
        <v>19620</v>
      </c>
      <c r="BI154" s="170">
        <v>540</v>
      </c>
      <c r="BJ154" s="115" t="str">
        <f t="shared" si="136"/>
        <v>0</v>
      </c>
      <c r="BK154" s="115" t="str">
        <f t="shared" si="137"/>
        <v>0</v>
      </c>
      <c r="BL154" s="115" t="str">
        <f t="shared" si="138"/>
        <v>0</v>
      </c>
      <c r="BM154" s="115">
        <f t="shared" si="139"/>
        <v>1</v>
      </c>
      <c r="BN154" s="115">
        <f t="shared" si="140"/>
        <v>23558.649999999998</v>
      </c>
      <c r="BO154" s="115">
        <f t="shared" si="141"/>
        <v>14132.68</v>
      </c>
      <c r="BP154" s="115" t="str">
        <f t="shared" si="142"/>
        <v>0</v>
      </c>
      <c r="BQ154" s="115" t="str">
        <f t="shared" si="143"/>
        <v>0</v>
      </c>
      <c r="BR154" s="115" t="str">
        <f t="shared" si="144"/>
        <v>0</v>
      </c>
      <c r="BS154" s="115"/>
      <c r="BT154" s="115">
        <v>5</v>
      </c>
      <c r="BU154" s="115">
        <f>BA154</f>
        <v>3280</v>
      </c>
      <c r="BV154" s="115">
        <v>19888</v>
      </c>
      <c r="BW154" s="115"/>
      <c r="BX154" s="115"/>
      <c r="BY154" s="253">
        <v>6753.93</v>
      </c>
      <c r="BZ154" s="253">
        <v>3250.02</v>
      </c>
      <c r="CA154" s="205">
        <v>10619</v>
      </c>
      <c r="CB154" s="282">
        <f t="shared" si="145"/>
        <v>6768</v>
      </c>
      <c r="CC154" s="209" t="str">
        <f t="shared" si="153"/>
        <v>0</v>
      </c>
      <c r="CD154" s="235">
        <f t="shared" si="154"/>
        <v>0</v>
      </c>
      <c r="CE154" s="209">
        <f t="shared" si="159"/>
        <v>1</v>
      </c>
      <c r="CF154" s="235">
        <f t="shared" si="155"/>
        <v>12220</v>
      </c>
      <c r="CG154" s="235">
        <f t="shared" si="156"/>
        <v>1</v>
      </c>
      <c r="CH154" s="235">
        <f t="shared" si="157"/>
        <v>12220</v>
      </c>
      <c r="CI154" s="156">
        <v>44</v>
      </c>
      <c r="CJ154" s="284" t="str">
        <f t="shared" si="146"/>
        <v>0</v>
      </c>
      <c r="CK154" s="284" t="str">
        <f t="shared" si="147"/>
        <v>0</v>
      </c>
      <c r="CL154" s="243">
        <f t="shared" si="148"/>
        <v>5.5945056274446969</v>
      </c>
      <c r="CM154" s="216" t="str">
        <f t="shared" si="149"/>
        <v>0</v>
      </c>
      <c r="CN154" s="216" t="str">
        <f t="shared" si="150"/>
        <v>0</v>
      </c>
      <c r="CO154" s="243">
        <f t="shared" si="151"/>
        <v>6.0536964914800331</v>
      </c>
      <c r="CP154" s="306">
        <v>1</v>
      </c>
      <c r="CQ154" s="306">
        <v>0</v>
      </c>
      <c r="CR154" s="306">
        <v>0</v>
      </c>
      <c r="CS154" s="306">
        <v>0</v>
      </c>
      <c r="CT154" s="306">
        <v>7</v>
      </c>
      <c r="CU154" s="306">
        <v>0</v>
      </c>
      <c r="CV154" s="306">
        <v>0</v>
      </c>
      <c r="CW154" s="306">
        <v>0</v>
      </c>
      <c r="CX154" s="306">
        <v>0</v>
      </c>
      <c r="CY154" s="306">
        <v>428</v>
      </c>
      <c r="CZ154" s="306">
        <f t="shared" si="158"/>
        <v>405</v>
      </c>
      <c r="DA154" s="306">
        <v>23</v>
      </c>
      <c r="DB154" s="306">
        <v>391</v>
      </c>
      <c r="DC154" s="306">
        <v>256</v>
      </c>
      <c r="DD154" s="306">
        <v>245</v>
      </c>
      <c r="DE154" s="306">
        <v>376</v>
      </c>
      <c r="DF154" s="306">
        <v>257</v>
      </c>
      <c r="DG154" s="306">
        <v>243</v>
      </c>
      <c r="DH154" s="306">
        <v>378</v>
      </c>
      <c r="DI154" s="306">
        <v>18</v>
      </c>
      <c r="DJ154" s="306">
        <v>6</v>
      </c>
      <c r="DK154" s="306">
        <v>34</v>
      </c>
      <c r="DL154" s="306">
        <v>9</v>
      </c>
      <c r="DM154" s="306">
        <v>6</v>
      </c>
      <c r="DN154" s="306">
        <v>34</v>
      </c>
      <c r="DO154" s="306">
        <v>9</v>
      </c>
      <c r="DP154" s="306">
        <v>428</v>
      </c>
      <c r="DQ154" s="306">
        <v>428</v>
      </c>
    </row>
    <row r="155" spans="1:121" x14ac:dyDescent="0.2">
      <c r="A155" s="12" t="s">
        <v>197</v>
      </c>
      <c r="B155" s="169">
        <v>149</v>
      </c>
      <c r="C155" s="12" t="s">
        <v>302</v>
      </c>
      <c r="D155" s="200">
        <v>1985</v>
      </c>
      <c r="E155" s="11"/>
      <c r="F155" s="206" t="s">
        <v>24</v>
      </c>
      <c r="G155" s="35">
        <v>1</v>
      </c>
      <c r="H155" s="201">
        <v>9</v>
      </c>
      <c r="I155" s="201" t="s">
        <v>22</v>
      </c>
      <c r="J155" s="115">
        <v>29370</v>
      </c>
      <c r="K155" s="115">
        <v>1135</v>
      </c>
      <c r="L155" s="157"/>
      <c r="M155" s="115">
        <v>1069</v>
      </c>
      <c r="N155" s="115">
        <v>105</v>
      </c>
      <c r="O155" s="115">
        <v>285</v>
      </c>
      <c r="P155" s="115">
        <v>106</v>
      </c>
      <c r="Q155" s="115">
        <v>233</v>
      </c>
      <c r="R155" s="228">
        <f>6668.6+2.1+1.8</f>
        <v>6672.5000000000009</v>
      </c>
      <c r="S155" s="230">
        <v>4174.7</v>
      </c>
      <c r="T155" s="115">
        <f t="shared" si="130"/>
        <v>101</v>
      </c>
      <c r="U155" s="203">
        <f t="shared" si="131"/>
        <v>6412.0000000000009</v>
      </c>
      <c r="V155" s="180">
        <f t="shared" si="132"/>
        <v>4013.1899999999996</v>
      </c>
      <c r="W155" s="115">
        <v>4</v>
      </c>
      <c r="X155" s="207">
        <v>260.5</v>
      </c>
      <c r="Y155" s="207">
        <v>161.51</v>
      </c>
      <c r="Z155" s="204"/>
      <c r="AA155" s="207"/>
      <c r="AB155" s="207"/>
      <c r="AC155" s="207">
        <f t="shared" si="133"/>
        <v>0</v>
      </c>
      <c r="AD155" s="248">
        <f t="shared" si="134"/>
        <v>0</v>
      </c>
      <c r="AE155" s="275"/>
      <c r="AF155" s="275"/>
      <c r="AG155" s="207"/>
      <c r="AH155" s="207"/>
      <c r="AI155" s="207">
        <f t="shared" si="135"/>
        <v>6672.5000000000009</v>
      </c>
      <c r="AJ155" s="170"/>
      <c r="AK155" s="170">
        <v>3</v>
      </c>
      <c r="AL155" s="170">
        <v>3</v>
      </c>
      <c r="AM155" s="170">
        <v>3</v>
      </c>
      <c r="AN155" s="170"/>
      <c r="AO155" s="170">
        <v>3</v>
      </c>
      <c r="AP155" s="170">
        <v>4396</v>
      </c>
      <c r="AQ155" s="170">
        <v>412</v>
      </c>
      <c r="AR155" s="170">
        <v>557</v>
      </c>
      <c r="AS155" s="170">
        <v>180</v>
      </c>
      <c r="AT155" s="170">
        <v>90</v>
      </c>
      <c r="AU155" s="170">
        <f t="shared" si="152"/>
        <v>13101</v>
      </c>
      <c r="AV155" s="170">
        <v>13101</v>
      </c>
      <c r="AW155" s="170"/>
      <c r="AX155" s="170">
        <v>2613</v>
      </c>
      <c r="AY155" s="170">
        <v>262</v>
      </c>
      <c r="AZ155" s="170">
        <v>1068</v>
      </c>
      <c r="BA155" s="170">
        <v>1068</v>
      </c>
      <c r="BB155" s="170">
        <v>48</v>
      </c>
      <c r="BC155" s="170">
        <v>9</v>
      </c>
      <c r="BD155" s="170"/>
      <c r="BE155" s="170">
        <v>105</v>
      </c>
      <c r="BF155" s="170"/>
      <c r="BG155" s="170">
        <v>11400</v>
      </c>
      <c r="BH155" s="170">
        <v>4905</v>
      </c>
      <c r="BI155" s="170">
        <v>135</v>
      </c>
      <c r="BJ155" s="115" t="str">
        <f t="shared" si="136"/>
        <v>0</v>
      </c>
      <c r="BK155" s="115" t="str">
        <f t="shared" si="137"/>
        <v>0</v>
      </c>
      <c r="BL155" s="115" t="str">
        <f t="shared" si="138"/>
        <v>0</v>
      </c>
      <c r="BM155" s="115">
        <f t="shared" si="139"/>
        <v>1</v>
      </c>
      <c r="BN155" s="115">
        <f t="shared" si="140"/>
        <v>6672.5000000000009</v>
      </c>
      <c r="BO155" s="115">
        <f t="shared" si="141"/>
        <v>4174.7</v>
      </c>
      <c r="BP155" s="115" t="str">
        <f t="shared" si="142"/>
        <v>0</v>
      </c>
      <c r="BQ155" s="115" t="str">
        <f t="shared" si="143"/>
        <v>0</v>
      </c>
      <c r="BR155" s="115" t="str">
        <f t="shared" si="144"/>
        <v>0</v>
      </c>
      <c r="BS155" s="115"/>
      <c r="BT155" s="115">
        <v>1</v>
      </c>
      <c r="BU155" s="115"/>
      <c r="BV155" s="115"/>
      <c r="BW155" s="115"/>
      <c r="BX155" s="115"/>
      <c r="BY155" s="253">
        <v>2342.7999999999997</v>
      </c>
      <c r="BZ155" s="253">
        <v>1144.8</v>
      </c>
      <c r="CA155" s="205">
        <v>2596</v>
      </c>
      <c r="CB155" s="282">
        <f t="shared" si="145"/>
        <v>1461</v>
      </c>
      <c r="CC155" s="209">
        <f t="shared" si="153"/>
        <v>1</v>
      </c>
      <c r="CD155" s="235">
        <f t="shared" si="154"/>
        <v>13101</v>
      </c>
      <c r="CE155" s="209" t="str">
        <f t="shared" si="159"/>
        <v>0</v>
      </c>
      <c r="CF155" s="235">
        <f t="shared" si="155"/>
        <v>0</v>
      </c>
      <c r="CG155" s="235">
        <f t="shared" si="156"/>
        <v>1</v>
      </c>
      <c r="CH155" s="235">
        <f t="shared" si="157"/>
        <v>13101</v>
      </c>
      <c r="CI155" s="156">
        <v>44</v>
      </c>
      <c r="CJ155" s="284" t="str">
        <f t="shared" si="146"/>
        <v>0</v>
      </c>
      <c r="CK155" s="284" t="str">
        <f t="shared" si="147"/>
        <v>0</v>
      </c>
      <c r="CL155" s="243">
        <f t="shared" si="148"/>
        <v>3.9040839265642555</v>
      </c>
      <c r="CM155" s="216" t="str">
        <f t="shared" si="149"/>
        <v>0</v>
      </c>
      <c r="CN155" s="216" t="str">
        <f t="shared" si="150"/>
        <v>0</v>
      </c>
      <c r="CO155" s="243">
        <f t="shared" si="151"/>
        <v>3.9040839265642555</v>
      </c>
      <c r="CP155" s="306">
        <v>1</v>
      </c>
      <c r="CQ155" s="306">
        <v>0</v>
      </c>
      <c r="CR155" s="306">
        <v>0</v>
      </c>
      <c r="CS155" s="306">
        <v>0</v>
      </c>
      <c r="CT155" s="306">
        <v>2</v>
      </c>
      <c r="CU155" s="306">
        <v>0</v>
      </c>
      <c r="CV155" s="306">
        <v>0</v>
      </c>
      <c r="CW155" s="306">
        <v>0</v>
      </c>
      <c r="CX155" s="306">
        <v>0</v>
      </c>
      <c r="CY155" s="306">
        <v>105</v>
      </c>
      <c r="CZ155" s="306">
        <f t="shared" si="158"/>
        <v>100</v>
      </c>
      <c r="DA155" s="306">
        <v>5</v>
      </c>
      <c r="DB155" s="306">
        <v>74</v>
      </c>
      <c r="DC155" s="306">
        <v>57</v>
      </c>
      <c r="DD155" s="306">
        <v>65</v>
      </c>
      <c r="DE155" s="306">
        <v>75</v>
      </c>
      <c r="DF155" s="306">
        <v>57</v>
      </c>
      <c r="DG155" s="306">
        <v>65</v>
      </c>
      <c r="DH155" s="306">
        <v>75</v>
      </c>
      <c r="DI155" s="306">
        <v>2</v>
      </c>
      <c r="DJ155" s="306">
        <v>2</v>
      </c>
      <c r="DK155" s="306">
        <v>2</v>
      </c>
      <c r="DL155" s="306">
        <v>3</v>
      </c>
      <c r="DM155" s="306">
        <v>2</v>
      </c>
      <c r="DN155" s="306">
        <v>2</v>
      </c>
      <c r="DO155" s="306">
        <v>3</v>
      </c>
      <c r="DP155" s="306">
        <v>105</v>
      </c>
      <c r="DQ155" s="306">
        <v>105</v>
      </c>
    </row>
    <row r="156" spans="1:121" x14ac:dyDescent="0.2">
      <c r="A156" s="12" t="s">
        <v>197</v>
      </c>
      <c r="B156" s="169">
        <v>150</v>
      </c>
      <c r="C156" s="12" t="s">
        <v>303</v>
      </c>
      <c r="D156" s="200">
        <v>1979</v>
      </c>
      <c r="E156" s="11"/>
      <c r="F156" s="169">
        <v>84</v>
      </c>
      <c r="G156" s="35">
        <v>1</v>
      </c>
      <c r="H156" s="201">
        <v>9</v>
      </c>
      <c r="I156" s="201" t="s">
        <v>22</v>
      </c>
      <c r="J156" s="115">
        <v>53573</v>
      </c>
      <c r="K156" s="115">
        <v>2322</v>
      </c>
      <c r="L156" s="157"/>
      <c r="M156" s="115">
        <v>2142</v>
      </c>
      <c r="N156" s="115">
        <v>250</v>
      </c>
      <c r="O156" s="115">
        <v>583</v>
      </c>
      <c r="P156" s="115">
        <v>251</v>
      </c>
      <c r="Q156" s="115">
        <v>536</v>
      </c>
      <c r="R156" s="228">
        <v>13576.01</v>
      </c>
      <c r="S156" s="230">
        <v>8102.98</v>
      </c>
      <c r="T156" s="115">
        <f t="shared" si="130"/>
        <v>234</v>
      </c>
      <c r="U156" s="203">
        <f t="shared" si="131"/>
        <v>12781.11</v>
      </c>
      <c r="V156" s="180">
        <f t="shared" si="132"/>
        <v>7610.1399999999994</v>
      </c>
      <c r="W156" s="115">
        <v>16</v>
      </c>
      <c r="X156" s="207">
        <v>794.9</v>
      </c>
      <c r="Y156" s="207">
        <v>492.84</v>
      </c>
      <c r="Z156" s="204"/>
      <c r="AA156" s="207"/>
      <c r="AB156" s="207"/>
      <c r="AC156" s="207">
        <f t="shared" si="133"/>
        <v>84</v>
      </c>
      <c r="AD156" s="248">
        <f t="shared" si="134"/>
        <v>0</v>
      </c>
      <c r="AE156" s="275"/>
      <c r="AF156" s="248"/>
      <c r="AG156" s="207">
        <v>84</v>
      </c>
      <c r="AH156" s="207"/>
      <c r="AI156" s="207">
        <f t="shared" si="135"/>
        <v>13660.01</v>
      </c>
      <c r="AJ156" s="170"/>
      <c r="AK156" s="170">
        <v>7</v>
      </c>
      <c r="AL156" s="170">
        <v>7</v>
      </c>
      <c r="AM156" s="170">
        <v>7</v>
      </c>
      <c r="AN156" s="170"/>
      <c r="AO156" s="170">
        <v>7</v>
      </c>
      <c r="AP156" s="170">
        <v>12010</v>
      </c>
      <c r="AQ156" s="170"/>
      <c r="AR156" s="170">
        <v>966</v>
      </c>
      <c r="AS156" s="170">
        <v>761</v>
      </c>
      <c r="AT156" s="170">
        <v>140</v>
      </c>
      <c r="AU156" s="170">
        <f t="shared" si="152"/>
        <v>15948</v>
      </c>
      <c r="AV156" s="170">
        <v>15948</v>
      </c>
      <c r="AW156" s="170"/>
      <c r="AX156" s="170">
        <v>6097</v>
      </c>
      <c r="AY156" s="170">
        <v>561</v>
      </c>
      <c r="AZ156" s="170">
        <v>2143</v>
      </c>
      <c r="BA156" s="170">
        <v>1652</v>
      </c>
      <c r="BB156" s="170">
        <v>112</v>
      </c>
      <c r="BC156" s="170">
        <v>21</v>
      </c>
      <c r="BD156" s="170">
        <v>770</v>
      </c>
      <c r="BE156" s="170">
        <v>249</v>
      </c>
      <c r="BF156" s="170">
        <v>1</v>
      </c>
      <c r="BG156" s="170">
        <v>24990</v>
      </c>
      <c r="BH156" s="170">
        <v>11445</v>
      </c>
      <c r="BI156" s="170">
        <v>315</v>
      </c>
      <c r="BJ156" s="115" t="str">
        <f t="shared" si="136"/>
        <v>0</v>
      </c>
      <c r="BK156" s="115" t="str">
        <f t="shared" si="137"/>
        <v>0</v>
      </c>
      <c r="BL156" s="115" t="str">
        <f t="shared" si="138"/>
        <v>0</v>
      </c>
      <c r="BM156" s="115">
        <f t="shared" si="139"/>
        <v>1</v>
      </c>
      <c r="BN156" s="115">
        <f t="shared" si="140"/>
        <v>13576.01</v>
      </c>
      <c r="BO156" s="115">
        <f t="shared" si="141"/>
        <v>8102.98</v>
      </c>
      <c r="BP156" s="115" t="str">
        <f t="shared" si="142"/>
        <v>0</v>
      </c>
      <c r="BQ156" s="115" t="str">
        <f t="shared" si="143"/>
        <v>0</v>
      </c>
      <c r="BR156" s="115" t="str">
        <f t="shared" si="144"/>
        <v>0</v>
      </c>
      <c r="BS156" s="115"/>
      <c r="BT156" s="115">
        <v>3</v>
      </c>
      <c r="BU156" s="115">
        <f>BA156</f>
        <v>1652</v>
      </c>
      <c r="BV156" s="115">
        <v>10418</v>
      </c>
      <c r="BW156" s="115"/>
      <c r="BX156" s="115"/>
      <c r="BY156" s="253">
        <v>3698.45</v>
      </c>
      <c r="BZ156" s="253">
        <v>1865.2</v>
      </c>
      <c r="CA156" s="205">
        <v>6026</v>
      </c>
      <c r="CB156" s="282">
        <f t="shared" si="145"/>
        <v>3704</v>
      </c>
      <c r="CC156" s="209">
        <f t="shared" si="153"/>
        <v>1</v>
      </c>
      <c r="CD156" s="235">
        <f t="shared" si="154"/>
        <v>15948</v>
      </c>
      <c r="CE156" s="209" t="str">
        <f t="shared" si="159"/>
        <v>0</v>
      </c>
      <c r="CF156" s="235">
        <f t="shared" si="155"/>
        <v>0</v>
      </c>
      <c r="CG156" s="235">
        <f t="shared" si="156"/>
        <v>1</v>
      </c>
      <c r="CH156" s="235">
        <f t="shared" si="157"/>
        <v>15948</v>
      </c>
      <c r="CI156" s="156">
        <v>62</v>
      </c>
      <c r="CJ156" s="284" t="str">
        <f t="shared" si="146"/>
        <v>0</v>
      </c>
      <c r="CK156" s="284" t="str">
        <f t="shared" si="147"/>
        <v>0</v>
      </c>
      <c r="CL156" s="243">
        <f t="shared" si="148"/>
        <v>5.8551813087939681</v>
      </c>
      <c r="CM156" s="216" t="str">
        <f t="shared" si="149"/>
        <v>0</v>
      </c>
      <c r="CN156" s="216" t="str">
        <f t="shared" si="150"/>
        <v>0</v>
      </c>
      <c r="CO156" s="243">
        <f t="shared" si="151"/>
        <v>5.8191758278361432</v>
      </c>
      <c r="CP156" s="306">
        <v>1</v>
      </c>
      <c r="CQ156" s="306">
        <v>0</v>
      </c>
      <c r="CR156" s="306">
        <v>0</v>
      </c>
      <c r="CS156" s="306">
        <v>0</v>
      </c>
      <c r="CT156" s="306">
        <v>4</v>
      </c>
      <c r="CU156" s="306">
        <v>0</v>
      </c>
      <c r="CV156" s="306">
        <v>0</v>
      </c>
      <c r="CW156" s="306">
        <v>0</v>
      </c>
      <c r="CX156" s="306">
        <v>0</v>
      </c>
      <c r="CY156" s="306">
        <v>250</v>
      </c>
      <c r="CZ156" s="306">
        <f t="shared" si="158"/>
        <v>233</v>
      </c>
      <c r="DA156" s="306">
        <v>17</v>
      </c>
      <c r="DB156" s="306">
        <v>224</v>
      </c>
      <c r="DC156" s="306">
        <v>138</v>
      </c>
      <c r="DD156" s="306">
        <v>161</v>
      </c>
      <c r="DE156" s="306">
        <v>192</v>
      </c>
      <c r="DF156" s="306">
        <v>138</v>
      </c>
      <c r="DG156" s="306">
        <v>161</v>
      </c>
      <c r="DH156" s="306">
        <v>192</v>
      </c>
      <c r="DI156" s="306">
        <v>13</v>
      </c>
      <c r="DJ156" s="306">
        <v>6</v>
      </c>
      <c r="DK156" s="306">
        <v>14</v>
      </c>
      <c r="DL156" s="306">
        <v>8</v>
      </c>
      <c r="DM156" s="306">
        <v>6</v>
      </c>
      <c r="DN156" s="306">
        <v>14</v>
      </c>
      <c r="DO156" s="306">
        <v>8</v>
      </c>
      <c r="DP156" s="306">
        <v>250</v>
      </c>
      <c r="DQ156" s="306">
        <v>250</v>
      </c>
    </row>
    <row r="157" spans="1:121" x14ac:dyDescent="0.2">
      <c r="A157" s="12" t="s">
        <v>197</v>
      </c>
      <c r="B157" s="169">
        <v>151</v>
      </c>
      <c r="C157" s="12" t="s">
        <v>304</v>
      </c>
      <c r="D157" s="200">
        <v>1982</v>
      </c>
      <c r="E157" s="11"/>
      <c r="F157" s="169" t="s">
        <v>21</v>
      </c>
      <c r="G157" s="35">
        <v>1</v>
      </c>
      <c r="H157" s="201">
        <v>9</v>
      </c>
      <c r="I157" s="201" t="s">
        <v>19</v>
      </c>
      <c r="J157" s="115">
        <v>42966</v>
      </c>
      <c r="K157" s="115">
        <v>2450</v>
      </c>
      <c r="L157" s="157"/>
      <c r="M157" s="115">
        <v>1421</v>
      </c>
      <c r="N157" s="115">
        <v>128</v>
      </c>
      <c r="O157" s="115">
        <v>256</v>
      </c>
      <c r="P157" s="115">
        <v>129</v>
      </c>
      <c r="Q157" s="115">
        <v>236</v>
      </c>
      <c r="R157" s="228">
        <v>7385.5</v>
      </c>
      <c r="S157" s="230">
        <v>3977</v>
      </c>
      <c r="T157" s="115">
        <f t="shared" si="130"/>
        <v>125</v>
      </c>
      <c r="U157" s="203">
        <f t="shared" si="131"/>
        <v>7214.6</v>
      </c>
      <c r="V157" s="180">
        <f t="shared" si="132"/>
        <v>3871.04</v>
      </c>
      <c r="W157" s="115">
        <v>3</v>
      </c>
      <c r="X157" s="207">
        <v>170.9</v>
      </c>
      <c r="Y157" s="207">
        <v>105.96</v>
      </c>
      <c r="Z157" s="204"/>
      <c r="AA157" s="207"/>
      <c r="AB157" s="207"/>
      <c r="AC157" s="207">
        <f t="shared" si="133"/>
        <v>1343.1000000000001</v>
      </c>
      <c r="AD157" s="248">
        <f t="shared" si="134"/>
        <v>154.9</v>
      </c>
      <c r="AE157" s="275"/>
      <c r="AF157" s="248">
        <v>154.9</v>
      </c>
      <c r="AG157" s="207">
        <v>1188.2</v>
      </c>
      <c r="AH157" s="207"/>
      <c r="AI157" s="207">
        <f t="shared" si="135"/>
        <v>8728.6</v>
      </c>
      <c r="AJ157" s="170"/>
      <c r="AK157" s="170">
        <v>4</v>
      </c>
      <c r="AL157" s="170">
        <v>4</v>
      </c>
      <c r="AM157" s="170">
        <v>4</v>
      </c>
      <c r="AN157" s="170"/>
      <c r="AO157" s="170">
        <v>4</v>
      </c>
      <c r="AP157" s="170">
        <v>5298</v>
      </c>
      <c r="AQ157" s="170"/>
      <c r="AR157" s="170">
        <v>774</v>
      </c>
      <c r="AS157" s="170">
        <v>267</v>
      </c>
      <c r="AT157" s="170">
        <v>140</v>
      </c>
      <c r="AU157" s="170">
        <f t="shared" si="152"/>
        <v>10099</v>
      </c>
      <c r="AV157" s="170">
        <v>10099</v>
      </c>
      <c r="AW157" s="170"/>
      <c r="AX157" s="170"/>
      <c r="AY157" s="170">
        <v>444</v>
      </c>
      <c r="AZ157" s="170">
        <v>2198</v>
      </c>
      <c r="BA157" s="170">
        <v>1065</v>
      </c>
      <c r="BB157" s="170"/>
      <c r="BC157" s="170">
        <v>12</v>
      </c>
      <c r="BD157" s="170">
        <v>447</v>
      </c>
      <c r="BE157" s="170">
        <v>128</v>
      </c>
      <c r="BF157" s="170"/>
      <c r="BG157" s="170">
        <v>22800</v>
      </c>
      <c r="BH157" s="170">
        <v>6540</v>
      </c>
      <c r="BI157" s="170">
        <v>180</v>
      </c>
      <c r="BJ157" s="115">
        <f t="shared" si="136"/>
        <v>1</v>
      </c>
      <c r="BK157" s="115">
        <f t="shared" si="137"/>
        <v>7385.5</v>
      </c>
      <c r="BL157" s="115">
        <f t="shared" si="138"/>
        <v>3977</v>
      </c>
      <c r="BM157" s="115" t="str">
        <f t="shared" si="139"/>
        <v>0</v>
      </c>
      <c r="BN157" s="115" t="str">
        <f t="shared" si="140"/>
        <v>0</v>
      </c>
      <c r="BO157" s="115" t="str">
        <f t="shared" si="141"/>
        <v>0</v>
      </c>
      <c r="BP157" s="115" t="str">
        <f t="shared" si="142"/>
        <v>0</v>
      </c>
      <c r="BQ157" s="115" t="str">
        <f t="shared" si="143"/>
        <v>0</v>
      </c>
      <c r="BR157" s="115" t="str">
        <f t="shared" si="144"/>
        <v>0</v>
      </c>
      <c r="BS157" s="115"/>
      <c r="BT157" s="115">
        <v>2</v>
      </c>
      <c r="BU157" s="115">
        <f>BA157</f>
        <v>1065</v>
      </c>
      <c r="BV157" s="115">
        <v>5412</v>
      </c>
      <c r="BW157" s="115"/>
      <c r="BX157" s="115">
        <f>AP157</f>
        <v>5298</v>
      </c>
      <c r="BY157" s="253">
        <v>2562.1999999999998</v>
      </c>
      <c r="BZ157" s="253">
        <v>1402</v>
      </c>
      <c r="CA157" s="205">
        <v>4454</v>
      </c>
      <c r="CB157" s="282">
        <f t="shared" si="145"/>
        <v>2004</v>
      </c>
      <c r="CC157" s="209">
        <f t="shared" si="153"/>
        <v>1</v>
      </c>
      <c r="CD157" s="235">
        <f t="shared" si="154"/>
        <v>10099</v>
      </c>
      <c r="CE157" s="209" t="str">
        <f t="shared" si="159"/>
        <v>0</v>
      </c>
      <c r="CF157" s="235">
        <f t="shared" si="155"/>
        <v>0</v>
      </c>
      <c r="CG157" s="235">
        <f t="shared" si="156"/>
        <v>1</v>
      </c>
      <c r="CH157" s="235">
        <f t="shared" si="157"/>
        <v>10099</v>
      </c>
      <c r="CI157" s="156">
        <v>74</v>
      </c>
      <c r="CJ157" s="284" t="str">
        <f t="shared" si="146"/>
        <v>0</v>
      </c>
      <c r="CK157" s="284" t="str">
        <f t="shared" si="147"/>
        <v>0</v>
      </c>
      <c r="CL157" s="243">
        <f t="shared" si="148"/>
        <v>2.3139936361789992</v>
      </c>
      <c r="CM157" s="216" t="str">
        <f t="shared" si="149"/>
        <v>0</v>
      </c>
      <c r="CN157" s="216" t="str">
        <f t="shared" si="150"/>
        <v>0</v>
      </c>
      <c r="CO157" s="243">
        <f t="shared" si="151"/>
        <v>3.7325573402378387</v>
      </c>
      <c r="CP157" s="306">
        <v>1</v>
      </c>
      <c r="CQ157" s="306">
        <v>0</v>
      </c>
      <c r="CR157" s="306">
        <v>0</v>
      </c>
      <c r="CS157" s="306">
        <v>0</v>
      </c>
      <c r="CT157" s="306">
        <v>2</v>
      </c>
      <c r="CU157" s="306">
        <v>0</v>
      </c>
      <c r="CV157" s="306">
        <v>0</v>
      </c>
      <c r="CW157" s="306">
        <v>0</v>
      </c>
      <c r="CX157" s="306">
        <v>0</v>
      </c>
      <c r="CY157" s="306">
        <v>128</v>
      </c>
      <c r="CZ157" s="306">
        <f t="shared" si="158"/>
        <v>124</v>
      </c>
      <c r="DA157" s="306">
        <v>4</v>
      </c>
      <c r="DB157" s="306">
        <v>91</v>
      </c>
      <c r="DC157" s="306">
        <v>59</v>
      </c>
      <c r="DD157" s="306">
        <v>140</v>
      </c>
      <c r="DE157" s="306">
        <v>120</v>
      </c>
      <c r="DF157" s="306">
        <v>58</v>
      </c>
      <c r="DG157" s="306">
        <v>146</v>
      </c>
      <c r="DH157" s="306">
        <v>114</v>
      </c>
      <c r="DI157" s="306">
        <v>3</v>
      </c>
      <c r="DJ157" s="306">
        <v>3</v>
      </c>
      <c r="DK157" s="306">
        <v>0</v>
      </c>
      <c r="DL157" s="306">
        <v>6</v>
      </c>
      <c r="DM157" s="306">
        <v>3</v>
      </c>
      <c r="DN157" s="306">
        <v>0</v>
      </c>
      <c r="DO157" s="306">
        <v>6</v>
      </c>
      <c r="DP157" s="306">
        <v>128</v>
      </c>
      <c r="DQ157" s="306">
        <v>128</v>
      </c>
    </row>
    <row r="158" spans="1:121" x14ac:dyDescent="0.2">
      <c r="A158" s="12" t="s">
        <v>197</v>
      </c>
      <c r="B158" s="169">
        <v>152</v>
      </c>
      <c r="C158" s="12" t="s">
        <v>305</v>
      </c>
      <c r="D158" s="200">
        <v>1980</v>
      </c>
      <c r="E158" s="11"/>
      <c r="F158" s="169">
        <v>84</v>
      </c>
      <c r="G158" s="35">
        <v>1</v>
      </c>
      <c r="H158" s="201">
        <v>9</v>
      </c>
      <c r="I158" s="201" t="s">
        <v>22</v>
      </c>
      <c r="J158" s="115">
        <v>14141</v>
      </c>
      <c r="K158" s="115">
        <v>598</v>
      </c>
      <c r="L158" s="157"/>
      <c r="M158" s="115">
        <v>557</v>
      </c>
      <c r="N158" s="115">
        <v>72</v>
      </c>
      <c r="O158" s="115">
        <v>142</v>
      </c>
      <c r="P158" s="115">
        <v>72</v>
      </c>
      <c r="Q158" s="115">
        <v>147</v>
      </c>
      <c r="R158" s="228">
        <f>3606.62-0.05+1.63+1.38+1.24-0.14+1.26+0.58</f>
        <v>3612.52</v>
      </c>
      <c r="S158" s="121">
        <v>2133</v>
      </c>
      <c r="T158" s="115">
        <f t="shared" si="130"/>
        <v>66</v>
      </c>
      <c r="U158" s="203">
        <f t="shared" si="131"/>
        <v>3338.06</v>
      </c>
      <c r="V158" s="180">
        <f t="shared" si="132"/>
        <v>1962.84</v>
      </c>
      <c r="W158" s="115">
        <v>6</v>
      </c>
      <c r="X158" s="207">
        <v>274.45999999999998</v>
      </c>
      <c r="Y158" s="207">
        <v>170.16</v>
      </c>
      <c r="Z158" s="204"/>
      <c r="AA158" s="207"/>
      <c r="AB158" s="207"/>
      <c r="AC158" s="207">
        <f t="shared" si="133"/>
        <v>0</v>
      </c>
      <c r="AD158" s="248">
        <f t="shared" si="134"/>
        <v>0</v>
      </c>
      <c r="AE158" s="275"/>
      <c r="AF158" s="248"/>
      <c r="AG158" s="207"/>
      <c r="AH158" s="207"/>
      <c r="AI158" s="207">
        <f t="shared" si="135"/>
        <v>3612.52</v>
      </c>
      <c r="AJ158" s="170"/>
      <c r="AK158" s="170">
        <v>2</v>
      </c>
      <c r="AL158" s="170">
        <v>2</v>
      </c>
      <c r="AM158" s="170">
        <v>2</v>
      </c>
      <c r="AN158" s="170"/>
      <c r="AO158" s="170">
        <v>2</v>
      </c>
      <c r="AP158" s="170">
        <v>3006</v>
      </c>
      <c r="AQ158" s="170"/>
      <c r="AR158" s="170">
        <v>397</v>
      </c>
      <c r="AS158" s="170">
        <v>179</v>
      </c>
      <c r="AT158" s="170">
        <v>40</v>
      </c>
      <c r="AU158" s="170">
        <f t="shared" si="152"/>
        <v>4557</v>
      </c>
      <c r="AV158" s="170"/>
      <c r="AW158" s="170">
        <v>4557</v>
      </c>
      <c r="AX158" s="170">
        <v>1742</v>
      </c>
      <c r="AY158" s="170">
        <v>149</v>
      </c>
      <c r="AZ158" s="170">
        <v>557</v>
      </c>
      <c r="BA158" s="170">
        <v>557</v>
      </c>
      <c r="BB158" s="170">
        <v>32</v>
      </c>
      <c r="BC158" s="170">
        <v>6</v>
      </c>
      <c r="BD158" s="170">
        <v>250</v>
      </c>
      <c r="BE158" s="170">
        <v>72</v>
      </c>
      <c r="BF158" s="170"/>
      <c r="BG158" s="170">
        <v>7140</v>
      </c>
      <c r="BH158" s="170">
        <v>3270</v>
      </c>
      <c r="BI158" s="170">
        <v>90</v>
      </c>
      <c r="BJ158" s="115" t="str">
        <f t="shared" si="136"/>
        <v>0</v>
      </c>
      <c r="BK158" s="115" t="str">
        <f t="shared" si="137"/>
        <v>0</v>
      </c>
      <c r="BL158" s="115" t="str">
        <f t="shared" si="138"/>
        <v>0</v>
      </c>
      <c r="BM158" s="115">
        <f t="shared" si="139"/>
        <v>1</v>
      </c>
      <c r="BN158" s="115">
        <f t="shared" si="140"/>
        <v>3612.52</v>
      </c>
      <c r="BO158" s="115">
        <f t="shared" si="141"/>
        <v>2133</v>
      </c>
      <c r="BP158" s="115" t="str">
        <f t="shared" si="142"/>
        <v>0</v>
      </c>
      <c r="BQ158" s="115" t="str">
        <f t="shared" si="143"/>
        <v>0</v>
      </c>
      <c r="BR158" s="115" t="str">
        <f t="shared" si="144"/>
        <v>0</v>
      </c>
      <c r="BS158" s="115"/>
      <c r="BT158" s="115">
        <v>1</v>
      </c>
      <c r="BU158" s="115">
        <f>BA158</f>
        <v>557</v>
      </c>
      <c r="BV158" s="115">
        <v>2897</v>
      </c>
      <c r="BW158" s="115"/>
      <c r="BX158" s="115"/>
      <c r="BY158" s="253">
        <v>1163.77</v>
      </c>
      <c r="BZ158" s="253">
        <v>585.33000000000004</v>
      </c>
      <c r="CA158" s="205">
        <v>1614</v>
      </c>
      <c r="CB158" s="282">
        <f t="shared" si="145"/>
        <v>1016</v>
      </c>
      <c r="CC158" s="209" t="str">
        <f t="shared" si="153"/>
        <v>0</v>
      </c>
      <c r="CD158" s="235">
        <f t="shared" si="154"/>
        <v>0</v>
      </c>
      <c r="CE158" s="209">
        <f t="shared" si="159"/>
        <v>1</v>
      </c>
      <c r="CF158" s="235">
        <f t="shared" si="155"/>
        <v>4557</v>
      </c>
      <c r="CG158" s="235">
        <f t="shared" si="156"/>
        <v>1</v>
      </c>
      <c r="CH158" s="235">
        <f t="shared" si="157"/>
        <v>4557</v>
      </c>
      <c r="CI158" s="156">
        <v>65</v>
      </c>
      <c r="CJ158" s="284" t="str">
        <f t="shared" si="146"/>
        <v>0</v>
      </c>
      <c r="CK158" s="284" t="str">
        <f t="shared" si="147"/>
        <v>0</v>
      </c>
      <c r="CL158" s="243">
        <f t="shared" si="148"/>
        <v>7.5974665884202706</v>
      </c>
      <c r="CM158" s="216" t="str">
        <f t="shared" si="149"/>
        <v>0</v>
      </c>
      <c r="CN158" s="216" t="str">
        <f t="shared" si="150"/>
        <v>0</v>
      </c>
      <c r="CO158" s="243">
        <f t="shared" si="151"/>
        <v>7.5974665884202706</v>
      </c>
      <c r="CP158" s="306">
        <v>1</v>
      </c>
      <c r="CQ158" s="306">
        <v>0</v>
      </c>
      <c r="CR158" s="306">
        <v>0</v>
      </c>
      <c r="CS158" s="306">
        <v>0</v>
      </c>
      <c r="CT158" s="306">
        <v>2</v>
      </c>
      <c r="CU158" s="306">
        <v>0</v>
      </c>
      <c r="CV158" s="306">
        <v>0</v>
      </c>
      <c r="CW158" s="306">
        <v>0</v>
      </c>
      <c r="CX158" s="306">
        <v>0</v>
      </c>
      <c r="CY158" s="306">
        <v>72</v>
      </c>
      <c r="CZ158" s="306">
        <f t="shared" si="158"/>
        <v>67</v>
      </c>
      <c r="DA158" s="306">
        <v>5</v>
      </c>
      <c r="DB158" s="306">
        <v>53</v>
      </c>
      <c r="DC158" s="306">
        <v>40</v>
      </c>
      <c r="DD158" s="306">
        <v>38</v>
      </c>
      <c r="DE158" s="306">
        <v>52</v>
      </c>
      <c r="DF158" s="306">
        <v>40</v>
      </c>
      <c r="DG158" s="306">
        <v>38</v>
      </c>
      <c r="DH158" s="306">
        <v>52</v>
      </c>
      <c r="DI158" s="306">
        <v>4</v>
      </c>
      <c r="DJ158" s="306">
        <v>1</v>
      </c>
      <c r="DK158" s="306">
        <v>6</v>
      </c>
      <c r="DL158" s="306">
        <v>1</v>
      </c>
      <c r="DM158" s="306">
        <v>1</v>
      </c>
      <c r="DN158" s="306">
        <v>6</v>
      </c>
      <c r="DO158" s="306">
        <v>1</v>
      </c>
      <c r="DP158" s="306">
        <v>72</v>
      </c>
      <c r="DQ158" s="306">
        <v>72</v>
      </c>
    </row>
    <row r="159" spans="1:121" x14ac:dyDescent="0.2">
      <c r="A159" s="12" t="s">
        <v>197</v>
      </c>
      <c r="B159" s="169">
        <v>153</v>
      </c>
      <c r="C159" s="12" t="s">
        <v>306</v>
      </c>
      <c r="D159" s="200">
        <v>1973</v>
      </c>
      <c r="E159" s="11"/>
      <c r="F159" s="169" t="s">
        <v>20</v>
      </c>
      <c r="G159" s="35">
        <v>1</v>
      </c>
      <c r="H159" s="201">
        <v>5</v>
      </c>
      <c r="I159" s="201" t="s">
        <v>22</v>
      </c>
      <c r="J159" s="115">
        <v>12428</v>
      </c>
      <c r="K159" s="115">
        <v>894</v>
      </c>
      <c r="L159" s="157">
        <v>1041</v>
      </c>
      <c r="M159" s="115"/>
      <c r="N159" s="115">
        <v>80</v>
      </c>
      <c r="O159" s="115">
        <v>160</v>
      </c>
      <c r="P159" s="115">
        <v>80</v>
      </c>
      <c r="Q159" s="115">
        <v>128</v>
      </c>
      <c r="R159" s="228">
        <f>3534.49+0.05</f>
        <v>3534.54</v>
      </c>
      <c r="S159" s="230">
        <v>2374.71</v>
      </c>
      <c r="T159" s="115">
        <f t="shared" si="130"/>
        <v>67</v>
      </c>
      <c r="U159" s="203">
        <f t="shared" si="131"/>
        <v>2933.47</v>
      </c>
      <c r="V159" s="180">
        <f t="shared" si="132"/>
        <v>2002.05</v>
      </c>
      <c r="W159" s="115">
        <v>13</v>
      </c>
      <c r="X159" s="207">
        <v>601.07000000000005</v>
      </c>
      <c r="Y159" s="207">
        <v>372.66</v>
      </c>
      <c r="Z159" s="204"/>
      <c r="AA159" s="207"/>
      <c r="AB159" s="207"/>
      <c r="AC159" s="207">
        <f t="shared" si="133"/>
        <v>0</v>
      </c>
      <c r="AD159" s="248">
        <f t="shared" si="134"/>
        <v>0</v>
      </c>
      <c r="AE159" s="275"/>
      <c r="AF159" s="248"/>
      <c r="AG159" s="207"/>
      <c r="AH159" s="207"/>
      <c r="AI159" s="207">
        <f t="shared" si="135"/>
        <v>3534.54</v>
      </c>
      <c r="AJ159" s="170"/>
      <c r="AK159" s="170"/>
      <c r="AL159" s="170">
        <v>4</v>
      </c>
      <c r="AM159" s="170"/>
      <c r="AN159" s="170">
        <v>1</v>
      </c>
      <c r="AO159" s="170">
        <v>1</v>
      </c>
      <c r="AP159" s="170">
        <v>2665</v>
      </c>
      <c r="AQ159" s="170"/>
      <c r="AR159" s="170">
        <v>676</v>
      </c>
      <c r="AS159" s="170">
        <v>205</v>
      </c>
      <c r="AT159" s="170">
        <v>72</v>
      </c>
      <c r="AU159" s="170">
        <f t="shared" si="152"/>
        <v>3540</v>
      </c>
      <c r="AV159" s="170"/>
      <c r="AW159" s="170">
        <v>3540</v>
      </c>
      <c r="AX159" s="170">
        <v>1936</v>
      </c>
      <c r="AY159" s="170">
        <v>138</v>
      </c>
      <c r="AZ159" s="170">
        <v>894</v>
      </c>
      <c r="BA159" s="170">
        <v>894</v>
      </c>
      <c r="BB159" s="170">
        <v>16</v>
      </c>
      <c r="BC159" s="170">
        <v>8</v>
      </c>
      <c r="BD159" s="170">
        <v>240</v>
      </c>
      <c r="BE159" s="170">
        <v>80</v>
      </c>
      <c r="BF159" s="170"/>
      <c r="BG159" s="170">
        <v>400</v>
      </c>
      <c r="BH159" s="170">
        <v>80</v>
      </c>
      <c r="BI159" s="170"/>
      <c r="BJ159" s="115" t="str">
        <f t="shared" si="136"/>
        <v>0</v>
      </c>
      <c r="BK159" s="115" t="str">
        <f t="shared" si="137"/>
        <v>0</v>
      </c>
      <c r="BL159" s="115" t="str">
        <f t="shared" si="138"/>
        <v>0</v>
      </c>
      <c r="BM159" s="115">
        <f t="shared" si="139"/>
        <v>1</v>
      </c>
      <c r="BN159" s="115">
        <f t="shared" si="140"/>
        <v>3534.54</v>
      </c>
      <c r="BO159" s="115">
        <f t="shared" si="141"/>
        <v>2374.71</v>
      </c>
      <c r="BP159" s="115" t="str">
        <f t="shared" si="142"/>
        <v>0</v>
      </c>
      <c r="BQ159" s="115" t="str">
        <f t="shared" si="143"/>
        <v>0</v>
      </c>
      <c r="BR159" s="115" t="str">
        <f t="shared" si="144"/>
        <v>0</v>
      </c>
      <c r="BS159" s="115"/>
      <c r="BT159" s="115">
        <v>2</v>
      </c>
      <c r="BU159" s="115">
        <f>BA159</f>
        <v>894</v>
      </c>
      <c r="BV159" s="115">
        <v>2554</v>
      </c>
      <c r="BW159" s="115"/>
      <c r="BX159" s="115"/>
      <c r="BY159" s="253">
        <v>1170.45</v>
      </c>
      <c r="BZ159" s="253">
        <v>276.32</v>
      </c>
      <c r="CA159" s="205">
        <v>2361</v>
      </c>
      <c r="CB159" s="282">
        <f t="shared" si="145"/>
        <v>1467</v>
      </c>
      <c r="CC159" s="209" t="str">
        <f t="shared" si="153"/>
        <v>0</v>
      </c>
      <c r="CD159" s="235">
        <f t="shared" si="154"/>
        <v>0</v>
      </c>
      <c r="CE159" s="209">
        <f t="shared" si="159"/>
        <v>1</v>
      </c>
      <c r="CF159" s="235">
        <f t="shared" si="155"/>
        <v>3540</v>
      </c>
      <c r="CG159" s="235">
        <f t="shared" si="156"/>
        <v>1</v>
      </c>
      <c r="CH159" s="235">
        <f t="shared" si="157"/>
        <v>3540</v>
      </c>
      <c r="CI159" s="156">
        <v>55</v>
      </c>
      <c r="CJ159" s="284" t="str">
        <f t="shared" si="146"/>
        <v>0</v>
      </c>
      <c r="CK159" s="284" t="str">
        <f t="shared" si="147"/>
        <v>0</v>
      </c>
      <c r="CL159" s="243">
        <f t="shared" si="148"/>
        <v>17.005607518941645</v>
      </c>
      <c r="CM159" s="216" t="str">
        <f t="shared" si="149"/>
        <v>0</v>
      </c>
      <c r="CN159" s="216" t="str">
        <f t="shared" si="150"/>
        <v>0</v>
      </c>
      <c r="CO159" s="243">
        <f t="shared" si="151"/>
        <v>17.005607518941645</v>
      </c>
      <c r="CP159" s="306">
        <v>1</v>
      </c>
      <c r="CQ159" s="306">
        <v>0</v>
      </c>
      <c r="CR159" s="306">
        <v>0</v>
      </c>
      <c r="CS159" s="306">
        <v>0</v>
      </c>
      <c r="CT159" s="306">
        <v>1</v>
      </c>
      <c r="CU159" s="306">
        <v>0</v>
      </c>
      <c r="CV159" s="306">
        <v>0</v>
      </c>
      <c r="CW159" s="306">
        <v>0</v>
      </c>
      <c r="CX159" s="306">
        <v>0</v>
      </c>
      <c r="CY159" s="306">
        <v>80</v>
      </c>
      <c r="CZ159" s="306">
        <f t="shared" si="158"/>
        <v>66</v>
      </c>
      <c r="DA159" s="306">
        <v>14</v>
      </c>
      <c r="DB159" s="306">
        <v>50</v>
      </c>
      <c r="DC159" s="306">
        <v>35</v>
      </c>
      <c r="DD159" s="306">
        <v>45</v>
      </c>
      <c r="DE159" s="306">
        <v>35</v>
      </c>
      <c r="DF159" s="306">
        <v>35</v>
      </c>
      <c r="DG159" s="306">
        <v>44</v>
      </c>
      <c r="DH159" s="306">
        <v>36</v>
      </c>
      <c r="DI159" s="306">
        <v>8</v>
      </c>
      <c r="DJ159" s="306">
        <v>4</v>
      </c>
      <c r="DK159" s="306">
        <v>9</v>
      </c>
      <c r="DL159" s="306">
        <v>4</v>
      </c>
      <c r="DM159" s="306">
        <v>5</v>
      </c>
      <c r="DN159" s="306">
        <v>7</v>
      </c>
      <c r="DO159" s="306">
        <v>6</v>
      </c>
      <c r="DP159" s="306">
        <v>80</v>
      </c>
      <c r="DQ159" s="306">
        <v>80</v>
      </c>
    </row>
    <row r="160" spans="1:121" x14ac:dyDescent="0.2">
      <c r="A160" s="12" t="s">
        <v>197</v>
      </c>
      <c r="B160" s="169">
        <v>154</v>
      </c>
      <c r="C160" s="12" t="s">
        <v>307</v>
      </c>
      <c r="D160" s="200">
        <v>1981</v>
      </c>
      <c r="E160" s="11"/>
      <c r="F160" s="169">
        <v>84</v>
      </c>
      <c r="G160" s="35">
        <v>1</v>
      </c>
      <c r="H160" s="201">
        <v>9</v>
      </c>
      <c r="I160" s="201" t="s">
        <v>22</v>
      </c>
      <c r="J160" s="115">
        <v>30664</v>
      </c>
      <c r="K160" s="115">
        <v>1281</v>
      </c>
      <c r="L160" s="157"/>
      <c r="M160" s="115">
        <v>1196</v>
      </c>
      <c r="N160" s="115">
        <v>144</v>
      </c>
      <c r="O160" s="115">
        <v>320</v>
      </c>
      <c r="P160" s="115">
        <v>145</v>
      </c>
      <c r="Q160" s="115">
        <v>318</v>
      </c>
      <c r="R160" s="228">
        <f>7636.2+1.7-1.7+2</f>
        <v>7638.2</v>
      </c>
      <c r="S160" s="230">
        <v>4556.7</v>
      </c>
      <c r="T160" s="115">
        <f t="shared" si="130"/>
        <v>134</v>
      </c>
      <c r="U160" s="203">
        <f t="shared" si="131"/>
        <v>7129.7</v>
      </c>
      <c r="V160" s="180">
        <f t="shared" si="132"/>
        <v>4241.43</v>
      </c>
      <c r="W160" s="115">
        <v>10</v>
      </c>
      <c r="X160" s="207">
        <v>508.5</v>
      </c>
      <c r="Y160" s="207">
        <v>315.27</v>
      </c>
      <c r="Z160" s="204"/>
      <c r="AA160" s="207"/>
      <c r="AB160" s="207"/>
      <c r="AC160" s="207">
        <f t="shared" si="133"/>
        <v>0</v>
      </c>
      <c r="AD160" s="248">
        <f t="shared" si="134"/>
        <v>0</v>
      </c>
      <c r="AE160" s="275"/>
      <c r="AF160" s="248"/>
      <c r="AG160" s="207"/>
      <c r="AH160" s="207"/>
      <c r="AI160" s="207">
        <f t="shared" si="135"/>
        <v>7638.2</v>
      </c>
      <c r="AJ160" s="170"/>
      <c r="AK160" s="170">
        <v>4</v>
      </c>
      <c r="AL160" s="170">
        <v>4</v>
      </c>
      <c r="AM160" s="170">
        <v>4</v>
      </c>
      <c r="AN160" s="170"/>
      <c r="AO160" s="170">
        <v>4</v>
      </c>
      <c r="AP160" s="170">
        <v>5460</v>
      </c>
      <c r="AQ160" s="170"/>
      <c r="AR160" s="170">
        <v>655</v>
      </c>
      <c r="AS160" s="170">
        <v>461</v>
      </c>
      <c r="AT160" s="170">
        <v>80</v>
      </c>
      <c r="AU160" s="170">
        <f t="shared" si="152"/>
        <v>9113</v>
      </c>
      <c r="AV160" s="170">
        <v>9113</v>
      </c>
      <c r="AW160" s="170"/>
      <c r="AX160" s="170">
        <v>3484</v>
      </c>
      <c r="AY160" s="170">
        <v>298</v>
      </c>
      <c r="AZ160" s="170">
        <v>1196</v>
      </c>
      <c r="BA160" s="170">
        <v>969</v>
      </c>
      <c r="BB160" s="170">
        <v>64</v>
      </c>
      <c r="BC160" s="170">
        <v>12</v>
      </c>
      <c r="BD160" s="170">
        <v>502</v>
      </c>
      <c r="BE160" s="170">
        <v>142</v>
      </c>
      <c r="BF160" s="170"/>
      <c r="BG160" s="170">
        <v>14280</v>
      </c>
      <c r="BH160" s="170">
        <v>6540</v>
      </c>
      <c r="BI160" s="170">
        <v>180</v>
      </c>
      <c r="BJ160" s="115" t="str">
        <f t="shared" si="136"/>
        <v>0</v>
      </c>
      <c r="BK160" s="115" t="str">
        <f t="shared" si="137"/>
        <v>0</v>
      </c>
      <c r="BL160" s="115" t="str">
        <f t="shared" si="138"/>
        <v>0</v>
      </c>
      <c r="BM160" s="115">
        <f t="shared" si="139"/>
        <v>1</v>
      </c>
      <c r="BN160" s="115">
        <f t="shared" si="140"/>
        <v>7638.2</v>
      </c>
      <c r="BO160" s="115">
        <f t="shared" si="141"/>
        <v>4556.7</v>
      </c>
      <c r="BP160" s="115" t="str">
        <f t="shared" si="142"/>
        <v>0</v>
      </c>
      <c r="BQ160" s="115" t="str">
        <f t="shared" si="143"/>
        <v>0</v>
      </c>
      <c r="BR160" s="115" t="str">
        <f t="shared" si="144"/>
        <v>0</v>
      </c>
      <c r="BS160" s="115"/>
      <c r="BT160" s="115">
        <v>2</v>
      </c>
      <c r="BU160" s="115">
        <f>BA160</f>
        <v>969</v>
      </c>
      <c r="BV160" s="115">
        <v>5732</v>
      </c>
      <c r="BW160" s="115"/>
      <c r="BX160" s="115"/>
      <c r="BY160" s="253">
        <v>2097.1999999999998</v>
      </c>
      <c r="BZ160" s="253">
        <v>1072.5</v>
      </c>
      <c r="CA160" s="205">
        <v>3388</v>
      </c>
      <c r="CB160" s="282">
        <f t="shared" si="145"/>
        <v>2107</v>
      </c>
      <c r="CC160" s="209">
        <f t="shared" si="153"/>
        <v>1</v>
      </c>
      <c r="CD160" s="235">
        <f t="shared" si="154"/>
        <v>9113</v>
      </c>
      <c r="CE160" s="209" t="str">
        <f t="shared" si="159"/>
        <v>0</v>
      </c>
      <c r="CF160" s="235">
        <f t="shared" si="155"/>
        <v>0</v>
      </c>
      <c r="CG160" s="235">
        <f t="shared" si="156"/>
        <v>1</v>
      </c>
      <c r="CH160" s="235">
        <f t="shared" si="157"/>
        <v>9113</v>
      </c>
      <c r="CI160" s="156">
        <v>63</v>
      </c>
      <c r="CJ160" s="284" t="str">
        <f t="shared" si="146"/>
        <v>0</v>
      </c>
      <c r="CK160" s="284" t="str">
        <f t="shared" si="147"/>
        <v>0</v>
      </c>
      <c r="CL160" s="243">
        <f t="shared" si="148"/>
        <v>6.6573276426383181</v>
      </c>
      <c r="CM160" s="216" t="str">
        <f t="shared" si="149"/>
        <v>0</v>
      </c>
      <c r="CN160" s="216" t="str">
        <f t="shared" si="150"/>
        <v>0</v>
      </c>
      <c r="CO160" s="243">
        <f t="shared" si="151"/>
        <v>6.6573276426383181</v>
      </c>
      <c r="CP160" s="306">
        <v>1</v>
      </c>
      <c r="CQ160" s="306">
        <v>0</v>
      </c>
      <c r="CR160" s="306">
        <v>0</v>
      </c>
      <c r="CS160" s="306">
        <v>0</v>
      </c>
      <c r="CT160" s="306">
        <v>2</v>
      </c>
      <c r="CU160" s="306">
        <v>0</v>
      </c>
      <c r="CV160" s="306">
        <v>0</v>
      </c>
      <c r="CW160" s="306">
        <v>0</v>
      </c>
      <c r="CX160" s="306">
        <v>0</v>
      </c>
      <c r="CY160" s="306">
        <v>144</v>
      </c>
      <c r="CZ160" s="306">
        <f t="shared" si="158"/>
        <v>133</v>
      </c>
      <c r="DA160" s="306">
        <v>11</v>
      </c>
      <c r="DB160" s="306">
        <v>107</v>
      </c>
      <c r="DC160" s="306">
        <v>93</v>
      </c>
      <c r="DD160" s="306">
        <v>62</v>
      </c>
      <c r="DE160" s="306">
        <v>132</v>
      </c>
      <c r="DF160" s="306">
        <v>93</v>
      </c>
      <c r="DG160" s="306">
        <v>62</v>
      </c>
      <c r="DH160" s="306">
        <v>132</v>
      </c>
      <c r="DI160" s="306">
        <v>6</v>
      </c>
      <c r="DJ160" s="306">
        <v>5</v>
      </c>
      <c r="DK160" s="306">
        <v>5</v>
      </c>
      <c r="DL160" s="306">
        <v>6</v>
      </c>
      <c r="DM160" s="306">
        <v>5</v>
      </c>
      <c r="DN160" s="306">
        <v>5</v>
      </c>
      <c r="DO160" s="306">
        <v>6</v>
      </c>
      <c r="DP160" s="306">
        <v>144</v>
      </c>
      <c r="DQ160" s="306">
        <v>144</v>
      </c>
    </row>
    <row r="161" spans="1:121" x14ac:dyDescent="0.2">
      <c r="A161" s="198" t="s">
        <v>203</v>
      </c>
      <c r="B161" s="169">
        <v>155</v>
      </c>
      <c r="C161" s="12" t="s">
        <v>308</v>
      </c>
      <c r="D161" s="200">
        <v>1973</v>
      </c>
      <c r="E161" s="11"/>
      <c r="F161" s="169" t="s">
        <v>20</v>
      </c>
      <c r="G161" s="35">
        <v>1</v>
      </c>
      <c r="H161" s="201">
        <v>5</v>
      </c>
      <c r="I161" s="201" t="s">
        <v>22</v>
      </c>
      <c r="J161" s="115">
        <v>16956</v>
      </c>
      <c r="K161" s="115">
        <v>1270</v>
      </c>
      <c r="L161" s="157">
        <v>1417</v>
      </c>
      <c r="M161" s="115"/>
      <c r="N161" s="115">
        <v>115</v>
      </c>
      <c r="O161" s="115">
        <v>203</v>
      </c>
      <c r="P161" s="115">
        <v>115</v>
      </c>
      <c r="Q161" s="115">
        <v>190</v>
      </c>
      <c r="R161" s="228">
        <f>4718.74+0.24</f>
        <v>4718.9799999999996</v>
      </c>
      <c r="S161" s="230">
        <v>3137.66</v>
      </c>
      <c r="T161" s="115">
        <f t="shared" si="130"/>
        <v>99</v>
      </c>
      <c r="U161" s="203">
        <f t="shared" si="131"/>
        <v>4082.9399999999996</v>
      </c>
      <c r="V161" s="180">
        <f t="shared" si="132"/>
        <v>2782.66</v>
      </c>
      <c r="W161" s="115">
        <v>16</v>
      </c>
      <c r="X161" s="207">
        <v>636.04</v>
      </c>
      <c r="Y161" s="207">
        <v>355</v>
      </c>
      <c r="Z161" s="204"/>
      <c r="AA161" s="207"/>
      <c r="AB161" s="207"/>
      <c r="AC161" s="207">
        <f t="shared" si="133"/>
        <v>158</v>
      </c>
      <c r="AD161" s="248">
        <f t="shared" si="134"/>
        <v>0</v>
      </c>
      <c r="AE161" s="275"/>
      <c r="AF161" s="248"/>
      <c r="AG161" s="207">
        <v>158</v>
      </c>
      <c r="AH161" s="207"/>
      <c r="AI161" s="207">
        <f t="shared" si="135"/>
        <v>4876.9799999999996</v>
      </c>
      <c r="AJ161" s="170"/>
      <c r="AK161" s="170"/>
      <c r="AL161" s="170">
        <v>6</v>
      </c>
      <c r="AM161" s="170"/>
      <c r="AN161" s="170">
        <v>1</v>
      </c>
      <c r="AO161" s="170">
        <v>2</v>
      </c>
      <c r="AP161" s="170">
        <v>3192</v>
      </c>
      <c r="AQ161" s="170"/>
      <c r="AR161" s="170">
        <v>374</v>
      </c>
      <c r="AS161" s="170">
        <v>369</v>
      </c>
      <c r="AT161" s="170">
        <v>108</v>
      </c>
      <c r="AU161" s="170">
        <f t="shared" si="152"/>
        <v>5310</v>
      </c>
      <c r="AV161" s="170"/>
      <c r="AW161" s="170">
        <v>5310</v>
      </c>
      <c r="AX161" s="170">
        <v>2904</v>
      </c>
      <c r="AY161" s="170">
        <v>92</v>
      </c>
      <c r="AZ161" s="170">
        <v>1222</v>
      </c>
      <c r="BA161" s="170">
        <v>1222</v>
      </c>
      <c r="BB161" s="170">
        <v>24</v>
      </c>
      <c r="BC161" s="170">
        <v>12</v>
      </c>
      <c r="BD161" s="170">
        <f>333-2-3*3</f>
        <v>322</v>
      </c>
      <c r="BE161" s="170">
        <f>117-4</f>
        <v>113</v>
      </c>
      <c r="BF161" s="170"/>
      <c r="BG161" s="170">
        <v>600</v>
      </c>
      <c r="BH161" s="170">
        <v>120</v>
      </c>
      <c r="BI161" s="170"/>
      <c r="BJ161" s="115" t="str">
        <f t="shared" si="136"/>
        <v>0</v>
      </c>
      <c r="BK161" s="115" t="str">
        <f t="shared" si="137"/>
        <v>0</v>
      </c>
      <c r="BL161" s="115" t="str">
        <f t="shared" si="138"/>
        <v>0</v>
      </c>
      <c r="BM161" s="115">
        <f t="shared" si="139"/>
        <v>1</v>
      </c>
      <c r="BN161" s="115">
        <f t="shared" si="140"/>
        <v>4718.9799999999996</v>
      </c>
      <c r="BO161" s="115">
        <f t="shared" si="141"/>
        <v>3137.66</v>
      </c>
      <c r="BP161" s="115" t="str">
        <f t="shared" si="142"/>
        <v>0</v>
      </c>
      <c r="BQ161" s="115" t="str">
        <f t="shared" si="143"/>
        <v>0</v>
      </c>
      <c r="BR161" s="115" t="str">
        <f t="shared" si="144"/>
        <v>0</v>
      </c>
      <c r="BS161" s="115"/>
      <c r="BT161" s="115">
        <v>4</v>
      </c>
      <c r="BU161" s="115"/>
      <c r="BV161" s="115"/>
      <c r="BW161" s="115"/>
      <c r="BX161" s="115"/>
      <c r="BY161" s="253">
        <v>1636.08</v>
      </c>
      <c r="BZ161" s="253">
        <v>414.43</v>
      </c>
      <c r="CA161" s="205">
        <v>4503</v>
      </c>
      <c r="CB161" s="282">
        <f t="shared" si="145"/>
        <v>3233</v>
      </c>
      <c r="CC161" s="209" t="str">
        <f t="shared" si="153"/>
        <v>0</v>
      </c>
      <c r="CD161" s="235">
        <f t="shared" si="154"/>
        <v>0</v>
      </c>
      <c r="CE161" s="209">
        <f t="shared" si="159"/>
        <v>1</v>
      </c>
      <c r="CF161" s="235">
        <f t="shared" si="155"/>
        <v>5310</v>
      </c>
      <c r="CG161" s="235">
        <f t="shared" si="156"/>
        <v>1</v>
      </c>
      <c r="CH161" s="235">
        <f t="shared" si="157"/>
        <v>5310</v>
      </c>
      <c r="CI161" s="156">
        <v>53</v>
      </c>
      <c r="CJ161" s="284" t="str">
        <f t="shared" si="146"/>
        <v>0</v>
      </c>
      <c r="CK161" s="284" t="str">
        <f t="shared" si="147"/>
        <v>0</v>
      </c>
      <c r="CL161" s="243">
        <f t="shared" si="148"/>
        <v>13.478336420158593</v>
      </c>
      <c r="CM161" s="216" t="str">
        <f t="shared" si="149"/>
        <v>0</v>
      </c>
      <c r="CN161" s="216" t="str">
        <f t="shared" si="150"/>
        <v>0</v>
      </c>
      <c r="CO161" s="243">
        <f t="shared" si="151"/>
        <v>13.041677431525247</v>
      </c>
      <c r="CP161" s="306">
        <v>1</v>
      </c>
      <c r="CQ161" s="306">
        <v>0</v>
      </c>
      <c r="CR161" s="306">
        <v>0</v>
      </c>
      <c r="CS161" s="306">
        <v>0</v>
      </c>
      <c r="CT161" s="306">
        <v>1</v>
      </c>
      <c r="CU161" s="306">
        <v>0</v>
      </c>
      <c r="CV161" s="306">
        <v>0</v>
      </c>
      <c r="CW161" s="306">
        <v>0</v>
      </c>
      <c r="CX161" s="306">
        <v>0</v>
      </c>
      <c r="CY161" s="306">
        <v>116</v>
      </c>
      <c r="CZ161" s="306">
        <f t="shared" si="158"/>
        <v>103</v>
      </c>
      <c r="DA161" s="306">
        <v>13</v>
      </c>
      <c r="DB161" s="306">
        <v>73</v>
      </c>
      <c r="DC161" s="306">
        <v>68</v>
      </c>
      <c r="DD161" s="306">
        <v>48</v>
      </c>
      <c r="DE161" s="306">
        <v>68</v>
      </c>
      <c r="DF161" s="306">
        <v>68</v>
      </c>
      <c r="DG161" s="306">
        <v>48</v>
      </c>
      <c r="DH161" s="306">
        <v>68</v>
      </c>
      <c r="DI161" s="306">
        <v>6</v>
      </c>
      <c r="DJ161" s="306">
        <v>2</v>
      </c>
      <c r="DK161" s="306">
        <v>16</v>
      </c>
      <c r="DL161" s="306">
        <v>2</v>
      </c>
      <c r="DM161" s="306">
        <v>2</v>
      </c>
      <c r="DN161" s="306">
        <v>16</v>
      </c>
      <c r="DO161" s="306">
        <v>2</v>
      </c>
      <c r="DP161" s="306">
        <v>116</v>
      </c>
      <c r="DQ161" s="306">
        <v>116</v>
      </c>
    </row>
    <row r="162" spans="1:121" x14ac:dyDescent="0.2">
      <c r="A162" s="12" t="s">
        <v>197</v>
      </c>
      <c r="B162" s="169">
        <v>156</v>
      </c>
      <c r="C162" s="12" t="s">
        <v>309</v>
      </c>
      <c r="D162" s="200">
        <v>1979</v>
      </c>
      <c r="E162" s="11"/>
      <c r="F162" s="169" t="s">
        <v>21</v>
      </c>
      <c r="G162" s="35">
        <v>1</v>
      </c>
      <c r="H162" s="201">
        <v>9</v>
      </c>
      <c r="I162" s="201" t="s">
        <v>19</v>
      </c>
      <c r="J162" s="115">
        <v>65260</v>
      </c>
      <c r="K162" s="115">
        <v>5614</v>
      </c>
      <c r="L162" s="157">
        <v>2842</v>
      </c>
      <c r="M162" s="115"/>
      <c r="N162" s="115">
        <v>256</v>
      </c>
      <c r="O162" s="115">
        <v>512</v>
      </c>
      <c r="P162" s="115">
        <v>256</v>
      </c>
      <c r="Q162" s="115">
        <v>503</v>
      </c>
      <c r="R162" s="228">
        <f>14453.7+0.07</f>
        <v>14453.77</v>
      </c>
      <c r="S162" s="230">
        <v>7824.6</v>
      </c>
      <c r="T162" s="115">
        <f t="shared" si="130"/>
        <v>244</v>
      </c>
      <c r="U162" s="203">
        <f t="shared" si="131"/>
        <v>13788.17</v>
      </c>
      <c r="V162" s="180">
        <f t="shared" si="132"/>
        <v>7417.1900000000005</v>
      </c>
      <c r="W162" s="115">
        <v>11</v>
      </c>
      <c r="X162" s="207">
        <v>607.20000000000005</v>
      </c>
      <c r="Y162" s="207">
        <v>376.46</v>
      </c>
      <c r="Z162" s="115">
        <v>1</v>
      </c>
      <c r="AA162" s="207">
        <v>58.4</v>
      </c>
      <c r="AB162" s="207">
        <v>30.95</v>
      </c>
      <c r="AC162" s="207">
        <f t="shared" si="133"/>
        <v>4754.95</v>
      </c>
      <c r="AD162" s="248">
        <f t="shared" si="134"/>
        <v>0</v>
      </c>
      <c r="AE162" s="275"/>
      <c r="AF162" s="248"/>
      <c r="AG162" s="207">
        <v>4754.95</v>
      </c>
      <c r="AH162" s="207"/>
      <c r="AI162" s="207">
        <f t="shared" si="135"/>
        <v>19208.72</v>
      </c>
      <c r="AJ162" s="170"/>
      <c r="AK162" s="170">
        <v>8</v>
      </c>
      <c r="AL162" s="170">
        <v>8</v>
      </c>
      <c r="AM162" s="170">
        <v>8</v>
      </c>
      <c r="AN162" s="170"/>
      <c r="AO162" s="170">
        <v>4</v>
      </c>
      <c r="AP162" s="170">
        <v>15140</v>
      </c>
      <c r="AQ162" s="170"/>
      <c r="AR162" s="170">
        <v>1203</v>
      </c>
      <c r="AS162" s="170">
        <v>430</v>
      </c>
      <c r="AT162" s="170">
        <v>280</v>
      </c>
      <c r="AU162" s="170">
        <f t="shared" si="152"/>
        <v>19788</v>
      </c>
      <c r="AV162" s="170">
        <v>19788</v>
      </c>
      <c r="AW162" s="170"/>
      <c r="AX162" s="170"/>
      <c r="AY162" s="170">
        <v>794</v>
      </c>
      <c r="AZ162" s="170">
        <v>5614</v>
      </c>
      <c r="BA162" s="170">
        <v>2500</v>
      </c>
      <c r="BB162" s="170"/>
      <c r="BC162" s="170">
        <v>24</v>
      </c>
      <c r="BD162" s="170">
        <v>768</v>
      </c>
      <c r="BE162" s="170">
        <v>256</v>
      </c>
      <c r="BF162" s="170"/>
      <c r="BG162" s="170">
        <v>45600</v>
      </c>
      <c r="BH162" s="170">
        <v>13080</v>
      </c>
      <c r="BI162" s="170">
        <v>360</v>
      </c>
      <c r="BJ162" s="115">
        <f t="shared" si="136"/>
        <v>1</v>
      </c>
      <c r="BK162" s="115">
        <f t="shared" si="137"/>
        <v>14453.77</v>
      </c>
      <c r="BL162" s="115">
        <f t="shared" si="138"/>
        <v>7824.6</v>
      </c>
      <c r="BM162" s="115" t="str">
        <f t="shared" si="139"/>
        <v>0</v>
      </c>
      <c r="BN162" s="115" t="str">
        <f t="shared" si="140"/>
        <v>0</v>
      </c>
      <c r="BO162" s="115" t="str">
        <f t="shared" si="141"/>
        <v>0</v>
      </c>
      <c r="BP162" s="115" t="str">
        <f t="shared" si="142"/>
        <v>0</v>
      </c>
      <c r="BQ162" s="115" t="str">
        <f t="shared" si="143"/>
        <v>0</v>
      </c>
      <c r="BR162" s="115" t="str">
        <f t="shared" si="144"/>
        <v>0</v>
      </c>
      <c r="BS162" s="115"/>
      <c r="BT162" s="115">
        <v>6</v>
      </c>
      <c r="BU162" s="115">
        <f>BA162</f>
        <v>2500</v>
      </c>
      <c r="BV162" s="115">
        <v>10768</v>
      </c>
      <c r="BW162" s="115">
        <v>53</v>
      </c>
      <c r="BX162" s="115">
        <f>AP162</f>
        <v>15140</v>
      </c>
      <c r="BY162" s="253">
        <v>4980.68</v>
      </c>
      <c r="BZ162" s="253">
        <v>2759.3</v>
      </c>
      <c r="CA162" s="205">
        <v>8702</v>
      </c>
      <c r="CB162" s="282">
        <f t="shared" si="145"/>
        <v>3088</v>
      </c>
      <c r="CC162" s="209">
        <f t="shared" si="153"/>
        <v>1</v>
      </c>
      <c r="CD162" s="235">
        <f t="shared" si="154"/>
        <v>19788</v>
      </c>
      <c r="CE162" s="209" t="str">
        <f t="shared" si="159"/>
        <v>0</v>
      </c>
      <c r="CF162" s="235">
        <f t="shared" si="155"/>
        <v>0</v>
      </c>
      <c r="CG162" s="235">
        <f t="shared" si="156"/>
        <v>1</v>
      </c>
      <c r="CH162" s="235">
        <f t="shared" si="157"/>
        <v>19788</v>
      </c>
      <c r="CI162" s="156">
        <v>67</v>
      </c>
      <c r="CJ162" s="284" t="str">
        <f t="shared" si="146"/>
        <v>0</v>
      </c>
      <c r="CK162" s="284" t="str">
        <f t="shared" si="147"/>
        <v>0</v>
      </c>
      <c r="CL162" s="243">
        <f t="shared" si="148"/>
        <v>4.2009800903155368</v>
      </c>
      <c r="CM162" s="216" t="str">
        <f t="shared" si="149"/>
        <v>0</v>
      </c>
      <c r="CN162" s="216" t="str">
        <f t="shared" si="150"/>
        <v>0</v>
      </c>
      <c r="CO162" s="243">
        <f t="shared" si="151"/>
        <v>3.1610643499410687</v>
      </c>
      <c r="CP162" s="306">
        <v>1</v>
      </c>
      <c r="CQ162" s="306">
        <v>0</v>
      </c>
      <c r="CR162" s="306">
        <v>0</v>
      </c>
      <c r="CS162" s="306">
        <v>0</v>
      </c>
      <c r="CT162" s="306">
        <v>4</v>
      </c>
      <c r="CU162" s="306">
        <v>0</v>
      </c>
      <c r="CV162" s="306">
        <v>0</v>
      </c>
      <c r="CW162" s="306">
        <v>0</v>
      </c>
      <c r="CX162" s="306">
        <v>0</v>
      </c>
      <c r="CY162" s="306">
        <v>256</v>
      </c>
      <c r="CZ162" s="306">
        <f t="shared" si="158"/>
        <v>243</v>
      </c>
      <c r="DA162" s="306">
        <v>13</v>
      </c>
      <c r="DB162" s="306">
        <v>241</v>
      </c>
      <c r="DC162" s="306">
        <v>120</v>
      </c>
      <c r="DD162" s="306">
        <v>274</v>
      </c>
      <c r="DE162" s="306">
        <v>240</v>
      </c>
      <c r="DF162" s="306">
        <v>120</v>
      </c>
      <c r="DG162" s="306">
        <v>274</v>
      </c>
      <c r="DH162" s="306">
        <v>240</v>
      </c>
      <c r="DI162" s="306">
        <v>12</v>
      </c>
      <c r="DJ162" s="306">
        <v>3</v>
      </c>
      <c r="DK162" s="306">
        <v>18</v>
      </c>
      <c r="DL162" s="306">
        <v>6</v>
      </c>
      <c r="DM162" s="306">
        <v>3</v>
      </c>
      <c r="DN162" s="306">
        <v>18</v>
      </c>
      <c r="DO162" s="306">
        <v>6</v>
      </c>
      <c r="DP162" s="306">
        <v>256</v>
      </c>
      <c r="DQ162" s="306">
        <v>256</v>
      </c>
    </row>
    <row r="163" spans="1:121" x14ac:dyDescent="0.2">
      <c r="A163" s="12" t="s">
        <v>197</v>
      </c>
      <c r="B163" s="169">
        <v>157</v>
      </c>
      <c r="C163" s="12" t="s">
        <v>310</v>
      </c>
      <c r="D163" s="200">
        <v>1974</v>
      </c>
      <c r="E163" s="11"/>
      <c r="F163" s="169" t="s">
        <v>20</v>
      </c>
      <c r="G163" s="35">
        <v>1</v>
      </c>
      <c r="H163" s="201">
        <v>5</v>
      </c>
      <c r="I163" s="201" t="s">
        <v>22</v>
      </c>
      <c r="J163" s="115">
        <v>12466</v>
      </c>
      <c r="K163" s="115">
        <v>909</v>
      </c>
      <c r="L163" s="157">
        <v>1070</v>
      </c>
      <c r="M163" s="115"/>
      <c r="N163" s="115">
        <v>78</v>
      </c>
      <c r="O163" s="115">
        <v>157</v>
      </c>
      <c r="P163" s="115">
        <v>78</v>
      </c>
      <c r="Q163" s="115">
        <v>143</v>
      </c>
      <c r="R163" s="228">
        <f>3479.1+0.03</f>
        <v>3479.13</v>
      </c>
      <c r="S163" s="230">
        <v>2336.4700000000003</v>
      </c>
      <c r="T163" s="115">
        <f t="shared" si="130"/>
        <v>68</v>
      </c>
      <c r="U163" s="203">
        <f t="shared" si="131"/>
        <v>3048.17</v>
      </c>
      <c r="V163" s="180">
        <f t="shared" si="132"/>
        <v>2194.5700000000002</v>
      </c>
      <c r="W163" s="115">
        <v>10</v>
      </c>
      <c r="X163" s="207">
        <v>430.96</v>
      </c>
      <c r="Y163" s="207">
        <v>141.9</v>
      </c>
      <c r="Z163" s="204"/>
      <c r="AA163" s="207"/>
      <c r="AB163" s="207"/>
      <c r="AC163" s="207">
        <f t="shared" si="133"/>
        <v>72.8</v>
      </c>
      <c r="AD163" s="248">
        <f t="shared" si="134"/>
        <v>0</v>
      </c>
      <c r="AE163" s="275"/>
      <c r="AF163" s="248"/>
      <c r="AG163" s="207">
        <f>30.37+42.43</f>
        <v>72.8</v>
      </c>
      <c r="AH163" s="207"/>
      <c r="AI163" s="207">
        <f t="shared" si="135"/>
        <v>3551.9300000000003</v>
      </c>
      <c r="AJ163" s="170"/>
      <c r="AK163" s="170"/>
      <c r="AL163" s="170">
        <v>4</v>
      </c>
      <c r="AM163" s="170"/>
      <c r="AN163" s="170">
        <v>1</v>
      </c>
      <c r="AO163" s="170">
        <v>1</v>
      </c>
      <c r="AP163" s="170">
        <v>2480</v>
      </c>
      <c r="AQ163" s="170"/>
      <c r="AR163" s="170">
        <v>666</v>
      </c>
      <c r="AS163" s="170">
        <v>162</v>
      </c>
      <c r="AT163" s="170">
        <v>70</v>
      </c>
      <c r="AU163" s="170">
        <f t="shared" si="152"/>
        <v>3452</v>
      </c>
      <c r="AV163" s="170"/>
      <c r="AW163" s="170">
        <v>3452</v>
      </c>
      <c r="AX163" s="170">
        <v>1936</v>
      </c>
      <c r="AY163" s="170">
        <v>135</v>
      </c>
      <c r="AZ163" s="170">
        <v>894</v>
      </c>
      <c r="BA163" s="170">
        <v>894</v>
      </c>
      <c r="BB163" s="170">
        <v>16</v>
      </c>
      <c r="BC163" s="170">
        <v>8</v>
      </c>
      <c r="BD163" s="170">
        <v>160</v>
      </c>
      <c r="BE163" s="170">
        <v>80</v>
      </c>
      <c r="BF163" s="170">
        <v>1</v>
      </c>
      <c r="BG163" s="170">
        <v>400</v>
      </c>
      <c r="BH163" s="170">
        <v>80</v>
      </c>
      <c r="BI163" s="170"/>
      <c r="BJ163" s="115" t="str">
        <f t="shared" si="136"/>
        <v>0</v>
      </c>
      <c r="BK163" s="115" t="str">
        <f t="shared" si="137"/>
        <v>0</v>
      </c>
      <c r="BL163" s="115" t="str">
        <f t="shared" si="138"/>
        <v>0</v>
      </c>
      <c r="BM163" s="115">
        <f t="shared" si="139"/>
        <v>1</v>
      </c>
      <c r="BN163" s="115">
        <f t="shared" si="140"/>
        <v>3479.13</v>
      </c>
      <c r="BO163" s="115">
        <f t="shared" si="141"/>
        <v>2336.4700000000003</v>
      </c>
      <c r="BP163" s="115" t="str">
        <f t="shared" si="142"/>
        <v>0</v>
      </c>
      <c r="BQ163" s="115" t="str">
        <f t="shared" si="143"/>
        <v>0</v>
      </c>
      <c r="BR163" s="115" t="str">
        <f t="shared" si="144"/>
        <v>0</v>
      </c>
      <c r="BS163" s="115"/>
      <c r="BT163" s="115">
        <v>2</v>
      </c>
      <c r="BU163" s="115">
        <f>BA163</f>
        <v>894</v>
      </c>
      <c r="BV163" s="115">
        <v>3160</v>
      </c>
      <c r="BW163" s="115"/>
      <c r="BX163" s="115"/>
      <c r="BY163" s="253">
        <v>1169.3</v>
      </c>
      <c r="BZ163" s="253">
        <v>275.64999999999998</v>
      </c>
      <c r="CA163" s="205">
        <v>2516</v>
      </c>
      <c r="CB163" s="282">
        <f t="shared" si="145"/>
        <v>1607</v>
      </c>
      <c r="CC163" s="209" t="str">
        <f t="shared" si="153"/>
        <v>0</v>
      </c>
      <c r="CD163" s="235">
        <f t="shared" si="154"/>
        <v>0</v>
      </c>
      <c r="CE163" s="209">
        <f t="shared" si="159"/>
        <v>1</v>
      </c>
      <c r="CF163" s="235">
        <f t="shared" si="155"/>
        <v>3452</v>
      </c>
      <c r="CG163" s="235">
        <f t="shared" si="156"/>
        <v>1</v>
      </c>
      <c r="CH163" s="235">
        <f t="shared" si="157"/>
        <v>3452</v>
      </c>
      <c r="CI163" s="156">
        <v>51</v>
      </c>
      <c r="CJ163" s="284" t="str">
        <f t="shared" si="146"/>
        <v>0</v>
      </c>
      <c r="CK163" s="284" t="str">
        <f t="shared" si="147"/>
        <v>0</v>
      </c>
      <c r="CL163" s="243">
        <f t="shared" si="148"/>
        <v>12.387004797176305</v>
      </c>
      <c r="CM163" s="216" t="str">
        <f t="shared" si="149"/>
        <v>0</v>
      </c>
      <c r="CN163" s="216" t="str">
        <f t="shared" si="150"/>
        <v>0</v>
      </c>
      <c r="CO163" s="243">
        <f t="shared" si="151"/>
        <v>12.133121992832065</v>
      </c>
      <c r="CP163" s="306">
        <v>1</v>
      </c>
      <c r="CQ163" s="306">
        <v>0</v>
      </c>
      <c r="CR163" s="306">
        <v>0</v>
      </c>
      <c r="CS163" s="306">
        <v>0</v>
      </c>
      <c r="CT163" s="306">
        <v>1</v>
      </c>
      <c r="CU163" s="306">
        <v>0</v>
      </c>
      <c r="CV163" s="306">
        <v>0</v>
      </c>
      <c r="CW163" s="306">
        <v>0</v>
      </c>
      <c r="CX163" s="306">
        <v>0</v>
      </c>
      <c r="CY163" s="306">
        <v>78</v>
      </c>
      <c r="CZ163" s="306">
        <f t="shared" si="158"/>
        <v>68</v>
      </c>
      <c r="DA163" s="306">
        <v>10</v>
      </c>
      <c r="DB163" s="306">
        <v>65</v>
      </c>
      <c r="DC163" s="306">
        <v>30</v>
      </c>
      <c r="DD163" s="306">
        <v>48</v>
      </c>
      <c r="DE163" s="306">
        <v>30</v>
      </c>
      <c r="DF163" s="306">
        <v>30</v>
      </c>
      <c r="DG163" s="306">
        <v>48</v>
      </c>
      <c r="DH163" s="306">
        <v>30</v>
      </c>
      <c r="DI163" s="306">
        <v>10</v>
      </c>
      <c r="DJ163" s="306">
        <v>2</v>
      </c>
      <c r="DK163" s="306">
        <v>5</v>
      </c>
      <c r="DL163" s="306">
        <v>2</v>
      </c>
      <c r="DM163" s="306">
        <v>2</v>
      </c>
      <c r="DN163" s="306">
        <v>5</v>
      </c>
      <c r="DO163" s="306">
        <v>2</v>
      </c>
      <c r="DP163" s="306">
        <v>78</v>
      </c>
      <c r="DQ163" s="306">
        <v>78</v>
      </c>
    </row>
    <row r="164" spans="1:121" x14ac:dyDescent="0.2">
      <c r="A164" s="198" t="s">
        <v>203</v>
      </c>
      <c r="B164" s="169">
        <v>158</v>
      </c>
      <c r="C164" s="12" t="s">
        <v>311</v>
      </c>
      <c r="D164" s="200">
        <v>1974</v>
      </c>
      <c r="E164" s="11"/>
      <c r="F164" s="169" t="s">
        <v>21</v>
      </c>
      <c r="G164" s="35">
        <v>1</v>
      </c>
      <c r="H164" s="201">
        <v>9</v>
      </c>
      <c r="I164" s="201" t="s">
        <v>19</v>
      </c>
      <c r="J164" s="115">
        <v>30615</v>
      </c>
      <c r="K164" s="115">
        <v>1066</v>
      </c>
      <c r="L164" s="157"/>
      <c r="M164" s="115">
        <v>1010</v>
      </c>
      <c r="N164" s="115">
        <v>100</v>
      </c>
      <c r="O164" s="115">
        <v>222</v>
      </c>
      <c r="P164" s="115">
        <v>100</v>
      </c>
      <c r="Q164" s="115">
        <v>179</v>
      </c>
      <c r="R164" s="228">
        <f>5412.33-0.11+0.11+0.11-0.02</f>
        <v>5412.4199999999992</v>
      </c>
      <c r="S164" s="230">
        <v>3106.42</v>
      </c>
      <c r="T164" s="115">
        <f t="shared" si="130"/>
        <v>96</v>
      </c>
      <c r="U164" s="203">
        <f t="shared" si="131"/>
        <v>5237.119999999999</v>
      </c>
      <c r="V164" s="180">
        <f t="shared" si="132"/>
        <v>2997.73</v>
      </c>
      <c r="W164" s="115">
        <v>4</v>
      </c>
      <c r="X164" s="207">
        <v>175.3</v>
      </c>
      <c r="Y164" s="207">
        <v>108.69</v>
      </c>
      <c r="Z164" s="204"/>
      <c r="AA164" s="207"/>
      <c r="AB164" s="207"/>
      <c r="AC164" s="207">
        <f t="shared" si="133"/>
        <v>211.3</v>
      </c>
      <c r="AD164" s="248">
        <f t="shared" si="134"/>
        <v>33.299999999999997</v>
      </c>
      <c r="AE164" s="275"/>
      <c r="AF164" s="248">
        <v>33.299999999999997</v>
      </c>
      <c r="AG164" s="207">
        <v>178</v>
      </c>
      <c r="AH164" s="207"/>
      <c r="AI164" s="207">
        <f t="shared" si="135"/>
        <v>5623.7199999999993</v>
      </c>
      <c r="AJ164" s="170"/>
      <c r="AK164" s="170">
        <v>3</v>
      </c>
      <c r="AL164" s="170">
        <v>3</v>
      </c>
      <c r="AM164" s="170">
        <v>3</v>
      </c>
      <c r="AN164" s="170"/>
      <c r="AO164" s="170">
        <v>3</v>
      </c>
      <c r="AP164" s="170">
        <v>4384</v>
      </c>
      <c r="AQ164" s="170"/>
      <c r="AR164" s="170">
        <v>728</v>
      </c>
      <c r="AS164" s="170">
        <v>145</v>
      </c>
      <c r="AT164" s="170">
        <v>75</v>
      </c>
      <c r="AU164" s="170">
        <f t="shared" si="152"/>
        <v>7575</v>
      </c>
      <c r="AV164" s="170">
        <v>7575</v>
      </c>
      <c r="AW164" s="170"/>
      <c r="AX164" s="170"/>
      <c r="AY164" s="170">
        <v>228</v>
      </c>
      <c r="AZ164" s="170">
        <v>998</v>
      </c>
      <c r="BA164" s="170">
        <v>998</v>
      </c>
      <c r="BB164" s="170"/>
      <c r="BC164" s="170">
        <v>9</v>
      </c>
      <c r="BD164" s="170">
        <v>384</v>
      </c>
      <c r="BE164" s="170">
        <v>103</v>
      </c>
      <c r="BF164" s="170"/>
      <c r="BG164" s="170">
        <v>17100</v>
      </c>
      <c r="BH164" s="170">
        <v>4905</v>
      </c>
      <c r="BI164" s="170">
        <v>135</v>
      </c>
      <c r="BJ164" s="115">
        <f t="shared" si="136"/>
        <v>1</v>
      </c>
      <c r="BK164" s="115">
        <f t="shared" si="137"/>
        <v>5412.4199999999992</v>
      </c>
      <c r="BL164" s="115">
        <f t="shared" si="138"/>
        <v>3106.42</v>
      </c>
      <c r="BM164" s="115" t="str">
        <f t="shared" si="139"/>
        <v>0</v>
      </c>
      <c r="BN164" s="115" t="str">
        <f t="shared" si="140"/>
        <v>0</v>
      </c>
      <c r="BO164" s="115" t="str">
        <f t="shared" si="141"/>
        <v>0</v>
      </c>
      <c r="BP164" s="115" t="str">
        <f t="shared" si="142"/>
        <v>0</v>
      </c>
      <c r="BQ164" s="115" t="str">
        <f t="shared" si="143"/>
        <v>0</v>
      </c>
      <c r="BR164" s="115" t="str">
        <f t="shared" si="144"/>
        <v>0</v>
      </c>
      <c r="BS164" s="115"/>
      <c r="BT164" s="115">
        <v>2</v>
      </c>
      <c r="BU164" s="115">
        <f>BA164</f>
        <v>998</v>
      </c>
      <c r="BV164" s="115">
        <v>5584</v>
      </c>
      <c r="BW164" s="115"/>
      <c r="BX164" s="115">
        <f>AP164</f>
        <v>4384</v>
      </c>
      <c r="BY164" s="253">
        <v>1851.57</v>
      </c>
      <c r="BZ164" s="253">
        <v>1057.48</v>
      </c>
      <c r="CA164" s="205">
        <v>2052</v>
      </c>
      <c r="CB164" s="282">
        <f t="shared" si="145"/>
        <v>986</v>
      </c>
      <c r="CC164" s="209">
        <f t="shared" si="153"/>
        <v>1</v>
      </c>
      <c r="CD164" s="235">
        <f t="shared" si="154"/>
        <v>7575</v>
      </c>
      <c r="CE164" s="209" t="str">
        <f t="shared" si="159"/>
        <v>0</v>
      </c>
      <c r="CF164" s="235">
        <f t="shared" si="155"/>
        <v>0</v>
      </c>
      <c r="CG164" s="235">
        <f t="shared" si="156"/>
        <v>1</v>
      </c>
      <c r="CH164" s="235">
        <f t="shared" si="157"/>
        <v>7575</v>
      </c>
      <c r="CI164" s="156">
        <v>69</v>
      </c>
      <c r="CJ164" s="284" t="str">
        <f t="shared" si="146"/>
        <v>0</v>
      </c>
      <c r="CK164" s="284" t="str">
        <f t="shared" si="147"/>
        <v>0</v>
      </c>
      <c r="CL164" s="243">
        <f t="shared" si="148"/>
        <v>3.2388469483151723</v>
      </c>
      <c r="CM164" s="216" t="str">
        <f t="shared" si="149"/>
        <v>0</v>
      </c>
      <c r="CN164" s="216" t="str">
        <f t="shared" si="150"/>
        <v>0</v>
      </c>
      <c r="CO164" s="243">
        <f t="shared" si="151"/>
        <v>3.7092885136528855</v>
      </c>
      <c r="CP164" s="306">
        <v>1</v>
      </c>
      <c r="CQ164" s="306">
        <v>0</v>
      </c>
      <c r="CR164" s="306">
        <v>0</v>
      </c>
      <c r="CS164" s="306">
        <v>0</v>
      </c>
      <c r="CT164" s="306">
        <v>2</v>
      </c>
      <c r="CU164" s="306">
        <v>0</v>
      </c>
      <c r="CV164" s="306">
        <v>0</v>
      </c>
      <c r="CW164" s="306">
        <v>0</v>
      </c>
      <c r="CX164" s="306">
        <v>0</v>
      </c>
      <c r="CY164" s="306">
        <v>102</v>
      </c>
      <c r="CZ164" s="306">
        <f t="shared" si="158"/>
        <v>100</v>
      </c>
      <c r="DA164" s="306">
        <v>2</v>
      </c>
      <c r="DB164" s="306">
        <v>62</v>
      </c>
      <c r="DC164" s="306">
        <v>54</v>
      </c>
      <c r="DD164" s="306">
        <v>75</v>
      </c>
      <c r="DE164" s="306">
        <v>82</v>
      </c>
      <c r="DF164" s="306">
        <v>54</v>
      </c>
      <c r="DG164" s="306">
        <v>74</v>
      </c>
      <c r="DH164" s="306">
        <v>83</v>
      </c>
      <c r="DI164" s="306">
        <v>0</v>
      </c>
      <c r="DJ164" s="306">
        <v>0</v>
      </c>
      <c r="DK164" s="306">
        <v>5</v>
      </c>
      <c r="DL164" s="306">
        <v>0</v>
      </c>
      <c r="DM164" s="306">
        <v>0</v>
      </c>
      <c r="DN164" s="306">
        <v>5</v>
      </c>
      <c r="DO164" s="306">
        <v>0</v>
      </c>
      <c r="DP164" s="306">
        <v>102</v>
      </c>
      <c r="DQ164" s="306">
        <v>102</v>
      </c>
    </row>
    <row r="165" spans="1:121" x14ac:dyDescent="0.2">
      <c r="A165" s="12" t="s">
        <v>197</v>
      </c>
      <c r="B165" s="169">
        <v>159</v>
      </c>
      <c r="C165" s="12" t="s">
        <v>312</v>
      </c>
      <c r="D165" s="200">
        <v>1973</v>
      </c>
      <c r="E165" s="11"/>
      <c r="F165" s="169" t="s">
        <v>20</v>
      </c>
      <c r="G165" s="35">
        <v>1</v>
      </c>
      <c r="H165" s="201">
        <v>5</v>
      </c>
      <c r="I165" s="201" t="s">
        <v>22</v>
      </c>
      <c r="J165" s="115">
        <v>17107</v>
      </c>
      <c r="K165" s="115">
        <v>1268</v>
      </c>
      <c r="L165" s="157">
        <v>1473</v>
      </c>
      <c r="M165" s="115"/>
      <c r="N165" s="115">
        <v>120</v>
      </c>
      <c r="O165" s="115">
        <v>210</v>
      </c>
      <c r="P165" s="115">
        <v>122</v>
      </c>
      <c r="Q165" s="115">
        <v>202</v>
      </c>
      <c r="R165" s="228">
        <f>4884.21+0.05</f>
        <v>4884.26</v>
      </c>
      <c r="S165" s="230">
        <v>3211.31</v>
      </c>
      <c r="T165" s="115">
        <f t="shared" si="130"/>
        <v>110</v>
      </c>
      <c r="U165" s="203">
        <f t="shared" si="131"/>
        <v>4485.3600000000006</v>
      </c>
      <c r="V165" s="180">
        <f t="shared" si="132"/>
        <v>2963.99</v>
      </c>
      <c r="W165" s="115">
        <v>10</v>
      </c>
      <c r="X165" s="207">
        <v>398.9</v>
      </c>
      <c r="Y165" s="207">
        <v>247.32</v>
      </c>
      <c r="Z165" s="204"/>
      <c r="AA165" s="207"/>
      <c r="AB165" s="207"/>
      <c r="AC165" s="207">
        <f t="shared" si="133"/>
        <v>0</v>
      </c>
      <c r="AD165" s="248">
        <f t="shared" si="134"/>
        <v>0</v>
      </c>
      <c r="AE165" s="275"/>
      <c r="AF165" s="248"/>
      <c r="AG165" s="207"/>
      <c r="AH165" s="207"/>
      <c r="AI165" s="207">
        <f t="shared" si="135"/>
        <v>4884.26</v>
      </c>
      <c r="AJ165" s="170"/>
      <c r="AK165" s="170"/>
      <c r="AL165" s="170">
        <v>6</v>
      </c>
      <c r="AM165" s="170"/>
      <c r="AN165" s="170"/>
      <c r="AO165" s="170">
        <v>2</v>
      </c>
      <c r="AP165" s="170">
        <v>3192</v>
      </c>
      <c r="AQ165" s="170"/>
      <c r="AR165" s="170">
        <v>730</v>
      </c>
      <c r="AS165" s="170">
        <v>312</v>
      </c>
      <c r="AT165" s="170">
        <v>108</v>
      </c>
      <c r="AU165" s="170">
        <f t="shared" si="152"/>
        <v>5310</v>
      </c>
      <c r="AV165" s="170"/>
      <c r="AW165" s="170">
        <v>5310</v>
      </c>
      <c r="AX165" s="170">
        <v>2904</v>
      </c>
      <c r="AY165" s="170">
        <v>189</v>
      </c>
      <c r="AZ165" s="170">
        <v>1233</v>
      </c>
      <c r="BA165" s="170">
        <v>1233</v>
      </c>
      <c r="BB165" s="170">
        <v>24</v>
      </c>
      <c r="BC165" s="170">
        <v>12</v>
      </c>
      <c r="BD165" s="170">
        <v>330</v>
      </c>
      <c r="BE165" s="170">
        <v>120</v>
      </c>
      <c r="BF165" s="170"/>
      <c r="BG165" s="170">
        <v>600</v>
      </c>
      <c r="BH165" s="170">
        <v>120</v>
      </c>
      <c r="BI165" s="170"/>
      <c r="BJ165" s="115" t="str">
        <f t="shared" si="136"/>
        <v>0</v>
      </c>
      <c r="BK165" s="115" t="str">
        <f t="shared" si="137"/>
        <v>0</v>
      </c>
      <c r="BL165" s="115" t="str">
        <f t="shared" si="138"/>
        <v>0</v>
      </c>
      <c r="BM165" s="115">
        <f t="shared" si="139"/>
        <v>1</v>
      </c>
      <c r="BN165" s="115">
        <f t="shared" si="140"/>
        <v>4884.26</v>
      </c>
      <c r="BO165" s="115">
        <f t="shared" si="141"/>
        <v>3211.31</v>
      </c>
      <c r="BP165" s="115" t="str">
        <f t="shared" si="142"/>
        <v>0</v>
      </c>
      <c r="BQ165" s="115" t="str">
        <f t="shared" si="143"/>
        <v>0</v>
      </c>
      <c r="BR165" s="115" t="str">
        <f t="shared" si="144"/>
        <v>0</v>
      </c>
      <c r="BS165" s="209"/>
      <c r="BT165" s="209"/>
      <c r="BU165" s="115"/>
      <c r="BV165" s="209"/>
      <c r="BW165" s="115"/>
      <c r="BX165" s="115"/>
      <c r="BY165" s="253">
        <v>1642.03</v>
      </c>
      <c r="BZ165" s="253">
        <v>408.63</v>
      </c>
      <c r="CA165" s="205">
        <v>3694</v>
      </c>
      <c r="CB165" s="282">
        <f t="shared" si="145"/>
        <v>2426</v>
      </c>
      <c r="CC165" s="209" t="str">
        <f t="shared" si="153"/>
        <v>0</v>
      </c>
      <c r="CD165" s="235">
        <f t="shared" si="154"/>
        <v>0</v>
      </c>
      <c r="CE165" s="209">
        <f t="shared" si="159"/>
        <v>1</v>
      </c>
      <c r="CF165" s="235">
        <f t="shared" si="155"/>
        <v>5310</v>
      </c>
      <c r="CG165" s="235">
        <f t="shared" si="156"/>
        <v>1</v>
      </c>
      <c r="CH165" s="235">
        <f t="shared" si="157"/>
        <v>5310</v>
      </c>
      <c r="CI165" s="156">
        <v>56</v>
      </c>
      <c r="CJ165" s="284" t="str">
        <f t="shared" si="146"/>
        <v>0</v>
      </c>
      <c r="CK165" s="284" t="str">
        <f t="shared" si="147"/>
        <v>0</v>
      </c>
      <c r="CL165" s="243">
        <f t="shared" si="148"/>
        <v>8.1670508940965458</v>
      </c>
      <c r="CM165" s="216" t="str">
        <f t="shared" si="149"/>
        <v>0</v>
      </c>
      <c r="CN165" s="216" t="str">
        <f t="shared" si="150"/>
        <v>0</v>
      </c>
      <c r="CO165" s="243">
        <f t="shared" si="151"/>
        <v>8.1670508940965458</v>
      </c>
      <c r="CP165" s="306">
        <v>1</v>
      </c>
      <c r="CQ165" s="306">
        <v>0</v>
      </c>
      <c r="CR165" s="306">
        <v>0</v>
      </c>
      <c r="CS165" s="306">
        <v>0</v>
      </c>
      <c r="CT165" s="306">
        <v>1</v>
      </c>
      <c r="CU165" s="306">
        <v>0</v>
      </c>
      <c r="CV165" s="306">
        <v>0</v>
      </c>
      <c r="CW165" s="306">
        <v>0</v>
      </c>
      <c r="CX165" s="306">
        <v>0</v>
      </c>
      <c r="CY165" s="306">
        <v>120</v>
      </c>
      <c r="CZ165" s="306">
        <f t="shared" si="158"/>
        <v>108</v>
      </c>
      <c r="DA165" s="306">
        <v>12</v>
      </c>
      <c r="DB165" s="306">
        <v>67</v>
      </c>
      <c r="DC165" s="306">
        <v>56</v>
      </c>
      <c r="DD165" s="306">
        <v>63</v>
      </c>
      <c r="DE165" s="306">
        <v>57</v>
      </c>
      <c r="DF165" s="306">
        <v>55</v>
      </c>
      <c r="DG165" s="306">
        <v>65</v>
      </c>
      <c r="DH165" s="306">
        <v>55</v>
      </c>
      <c r="DI165" s="306">
        <v>5</v>
      </c>
      <c r="DJ165" s="306">
        <v>3</v>
      </c>
      <c r="DK165" s="306">
        <v>11</v>
      </c>
      <c r="DL165" s="306">
        <v>3</v>
      </c>
      <c r="DM165" s="306">
        <v>3</v>
      </c>
      <c r="DN165" s="306">
        <v>11</v>
      </c>
      <c r="DO165" s="306">
        <v>3</v>
      </c>
      <c r="DP165" s="306">
        <v>120</v>
      </c>
      <c r="DQ165" s="306">
        <v>120</v>
      </c>
    </row>
    <row r="166" spans="1:121" x14ac:dyDescent="0.2">
      <c r="A166" s="12" t="s">
        <v>142</v>
      </c>
      <c r="B166" s="169">
        <v>160</v>
      </c>
      <c r="C166" s="12" t="s">
        <v>93</v>
      </c>
      <c r="D166" s="13">
        <v>1973</v>
      </c>
      <c r="E166" s="11"/>
      <c r="F166" s="169" t="s">
        <v>20</v>
      </c>
      <c r="G166" s="35">
        <v>1</v>
      </c>
      <c r="H166" s="45">
        <v>5</v>
      </c>
      <c r="I166" s="1" t="s">
        <v>22</v>
      </c>
      <c r="J166" s="122">
        <v>17119</v>
      </c>
      <c r="K166" s="122">
        <v>1262</v>
      </c>
      <c r="L166" s="122">
        <v>1464</v>
      </c>
      <c r="M166" s="122"/>
      <c r="N166" s="122">
        <v>120</v>
      </c>
      <c r="O166" s="122">
        <v>210</v>
      </c>
      <c r="P166" s="122">
        <v>120</v>
      </c>
      <c r="Q166" s="122">
        <v>222</v>
      </c>
      <c r="R166" s="179">
        <v>4877.63</v>
      </c>
      <c r="S166" s="121">
        <v>3211</v>
      </c>
      <c r="T166" s="122">
        <f t="shared" si="130"/>
        <v>104</v>
      </c>
      <c r="U166" s="180">
        <f t="shared" si="131"/>
        <v>4226.99</v>
      </c>
      <c r="V166" s="180">
        <f t="shared" si="132"/>
        <v>2775.07</v>
      </c>
      <c r="W166" s="122">
        <v>16</v>
      </c>
      <c r="X166" s="180">
        <v>650.64</v>
      </c>
      <c r="Y166" s="180">
        <v>435.93</v>
      </c>
      <c r="Z166" s="122"/>
      <c r="AA166" s="180"/>
      <c r="AB166" s="180"/>
      <c r="AC166" s="180">
        <f t="shared" si="133"/>
        <v>0</v>
      </c>
      <c r="AD166" s="179">
        <f t="shared" si="134"/>
        <v>0</v>
      </c>
      <c r="AE166" s="271"/>
      <c r="AF166" s="179"/>
      <c r="AG166" s="180"/>
      <c r="AH166" s="180"/>
      <c r="AI166" s="180">
        <f t="shared" si="135"/>
        <v>4877.63</v>
      </c>
      <c r="AJ166" s="122"/>
      <c r="AK166" s="122"/>
      <c r="AL166" s="122">
        <v>6</v>
      </c>
      <c r="AM166" s="122"/>
      <c r="AN166" s="122"/>
      <c r="AO166" s="122">
        <v>1</v>
      </c>
      <c r="AP166" s="122">
        <v>3156</v>
      </c>
      <c r="AQ166" s="35"/>
      <c r="AR166" s="122">
        <f>123+61+176</f>
        <v>360</v>
      </c>
      <c r="AS166" s="122">
        <v>300</v>
      </c>
      <c r="AT166" s="122">
        <v>77</v>
      </c>
      <c r="AU166" s="122">
        <f t="shared" si="152"/>
        <v>4386</v>
      </c>
      <c r="AV166" s="122"/>
      <c r="AW166" s="122">
        <v>4386</v>
      </c>
      <c r="AX166" s="122">
        <v>2700</v>
      </c>
      <c r="AY166" s="122">
        <v>196</v>
      </c>
      <c r="AZ166" s="122">
        <v>1232</v>
      </c>
      <c r="BA166" s="122">
        <v>1232</v>
      </c>
      <c r="BB166" s="122">
        <v>30</v>
      </c>
      <c r="BC166" s="122">
        <v>19</v>
      </c>
      <c r="BD166" s="122">
        <v>330</v>
      </c>
      <c r="BE166" s="122">
        <v>120</v>
      </c>
      <c r="BF166" s="122">
        <v>1</v>
      </c>
      <c r="BG166" s="122">
        <v>22548</v>
      </c>
      <c r="BH166" s="122">
        <v>438</v>
      </c>
      <c r="BI166" s="122"/>
      <c r="BJ166" s="115" t="str">
        <f t="shared" si="136"/>
        <v>0</v>
      </c>
      <c r="BK166" s="115" t="str">
        <f t="shared" si="137"/>
        <v>0</v>
      </c>
      <c r="BL166" s="115" t="str">
        <f t="shared" si="138"/>
        <v>0</v>
      </c>
      <c r="BM166" s="115">
        <f t="shared" si="139"/>
        <v>1</v>
      </c>
      <c r="BN166" s="115">
        <f t="shared" si="140"/>
        <v>4877.63</v>
      </c>
      <c r="BO166" s="115">
        <f t="shared" si="141"/>
        <v>3211</v>
      </c>
      <c r="BP166" s="115" t="str">
        <f t="shared" si="142"/>
        <v>0</v>
      </c>
      <c r="BQ166" s="115" t="str">
        <f t="shared" si="143"/>
        <v>0</v>
      </c>
      <c r="BR166" s="115" t="str">
        <f t="shared" si="144"/>
        <v>0</v>
      </c>
      <c r="BS166" s="115"/>
      <c r="BT166" s="115">
        <v>3</v>
      </c>
      <c r="BU166" s="122"/>
      <c r="BV166" s="115"/>
      <c r="BW166" s="115"/>
      <c r="BX166" s="115"/>
      <c r="BY166" s="275">
        <v>1644.56</v>
      </c>
      <c r="BZ166" s="253">
        <v>412.96</v>
      </c>
      <c r="CA166" s="157">
        <v>3374</v>
      </c>
      <c r="CB166" s="275">
        <f t="shared" si="145"/>
        <v>2112</v>
      </c>
      <c r="CC166" s="209" t="str">
        <f t="shared" si="153"/>
        <v>0</v>
      </c>
      <c r="CD166" s="235">
        <f t="shared" si="154"/>
        <v>0</v>
      </c>
      <c r="CE166" s="209">
        <f t="shared" si="159"/>
        <v>1</v>
      </c>
      <c r="CF166" s="235">
        <f t="shared" si="155"/>
        <v>4386</v>
      </c>
      <c r="CG166" s="235">
        <f t="shared" si="156"/>
        <v>1</v>
      </c>
      <c r="CH166" s="235">
        <f t="shared" si="157"/>
        <v>4386</v>
      </c>
      <c r="CI166" s="14">
        <v>53</v>
      </c>
      <c r="CJ166" s="284" t="str">
        <f t="shared" si="146"/>
        <v>0</v>
      </c>
      <c r="CK166" s="284" t="str">
        <f t="shared" si="147"/>
        <v>0</v>
      </c>
      <c r="CL166" s="243">
        <f t="shared" si="148"/>
        <v>13.339265175915353</v>
      </c>
      <c r="CM166" s="216" t="str">
        <f t="shared" si="149"/>
        <v>0</v>
      </c>
      <c r="CN166" s="216" t="str">
        <f t="shared" si="150"/>
        <v>0</v>
      </c>
      <c r="CO166" s="243">
        <f t="shared" si="151"/>
        <v>13.339265175915353</v>
      </c>
      <c r="CP166" s="305">
        <v>1</v>
      </c>
      <c r="CQ166" s="305">
        <v>0</v>
      </c>
      <c r="CR166" s="305">
        <v>0</v>
      </c>
      <c r="CS166" s="305">
        <v>0</v>
      </c>
      <c r="CT166" s="305">
        <v>1</v>
      </c>
      <c r="CU166" s="305">
        <v>0</v>
      </c>
      <c r="CV166" s="305">
        <v>0</v>
      </c>
      <c r="CW166" s="305">
        <v>0</v>
      </c>
      <c r="CX166" s="306">
        <v>0</v>
      </c>
      <c r="CY166" s="306">
        <v>120</v>
      </c>
      <c r="CZ166" s="306">
        <f t="shared" si="158"/>
        <v>101</v>
      </c>
      <c r="DA166" s="306">
        <v>19</v>
      </c>
      <c r="DB166" s="306">
        <v>102</v>
      </c>
      <c r="DC166" s="306">
        <v>44</v>
      </c>
      <c r="DD166" s="306">
        <v>76</v>
      </c>
      <c r="DE166" s="306">
        <v>44</v>
      </c>
      <c r="DF166" s="306">
        <v>44</v>
      </c>
      <c r="DG166" s="306">
        <v>76</v>
      </c>
      <c r="DH166" s="306">
        <v>44</v>
      </c>
      <c r="DI166" s="306">
        <v>17</v>
      </c>
      <c r="DJ166" s="306">
        <v>7</v>
      </c>
      <c r="DK166" s="306">
        <v>7</v>
      </c>
      <c r="DL166" s="306">
        <v>7</v>
      </c>
      <c r="DM166" s="306">
        <v>7</v>
      </c>
      <c r="DN166" s="306">
        <v>7</v>
      </c>
      <c r="DO166" s="306">
        <v>7</v>
      </c>
      <c r="DP166" s="306">
        <v>120</v>
      </c>
      <c r="DQ166" s="306">
        <v>120</v>
      </c>
    </row>
    <row r="167" spans="1:121" x14ac:dyDescent="0.2">
      <c r="A167" s="198" t="s">
        <v>203</v>
      </c>
      <c r="B167" s="169">
        <v>161</v>
      </c>
      <c r="C167" s="12" t="s">
        <v>313</v>
      </c>
      <c r="D167" s="200">
        <v>1975</v>
      </c>
      <c r="E167" s="11"/>
      <c r="F167" s="169" t="s">
        <v>21</v>
      </c>
      <c r="G167" s="35">
        <v>1</v>
      </c>
      <c r="H167" s="201">
        <v>9</v>
      </c>
      <c r="I167" s="201" t="s">
        <v>19</v>
      </c>
      <c r="J167" s="115">
        <v>27834</v>
      </c>
      <c r="K167" s="115">
        <v>1014</v>
      </c>
      <c r="L167" s="157">
        <v>1193</v>
      </c>
      <c r="M167" s="115"/>
      <c r="N167" s="115">
        <v>96</v>
      </c>
      <c r="O167" s="115">
        <v>208</v>
      </c>
      <c r="P167" s="115">
        <v>98</v>
      </c>
      <c r="Q167" s="115">
        <v>158</v>
      </c>
      <c r="R167" s="228">
        <v>4909.7</v>
      </c>
      <c r="S167" s="230">
        <v>2809.33</v>
      </c>
      <c r="T167" s="115">
        <f t="shared" ref="T167:T187" si="160">N167-W167-Z167</f>
        <v>87</v>
      </c>
      <c r="U167" s="203">
        <f t="shared" ref="U167:U187" si="161">R167-X167-AA167</f>
        <v>4435.59</v>
      </c>
      <c r="V167" s="180">
        <f t="shared" ref="V167:V187" si="162">S167-Y167-AB167</f>
        <v>2515.34</v>
      </c>
      <c r="W167" s="115">
        <v>9</v>
      </c>
      <c r="X167" s="207">
        <v>474.11</v>
      </c>
      <c r="Y167" s="207">
        <v>293.99</v>
      </c>
      <c r="Z167" s="204"/>
      <c r="AA167" s="207"/>
      <c r="AB167" s="207"/>
      <c r="AC167" s="207">
        <f t="shared" ref="AC167:AC187" si="163">AD167+AG167+AH167</f>
        <v>525.29999999999995</v>
      </c>
      <c r="AD167" s="248">
        <f t="shared" ref="AD167:AD187" si="164">AE167+AF167</f>
        <v>239.8</v>
      </c>
      <c r="AE167" s="275"/>
      <c r="AF167" s="248">
        <v>239.8</v>
      </c>
      <c r="AG167" s="207">
        <v>285.5</v>
      </c>
      <c r="AH167" s="207"/>
      <c r="AI167" s="207">
        <f t="shared" ref="AI167:AI187" si="165">R167+AC167</f>
        <v>5435</v>
      </c>
      <c r="AJ167" s="170"/>
      <c r="AK167" s="170">
        <v>3</v>
      </c>
      <c r="AL167" s="170">
        <v>3</v>
      </c>
      <c r="AM167" s="170">
        <v>3</v>
      </c>
      <c r="AN167" s="170"/>
      <c r="AO167" s="170">
        <v>1</v>
      </c>
      <c r="AP167" s="170">
        <v>4384</v>
      </c>
      <c r="AQ167" s="170"/>
      <c r="AR167" s="170">
        <v>767</v>
      </c>
      <c r="AS167" s="170">
        <v>65</v>
      </c>
      <c r="AT167" s="170">
        <v>105</v>
      </c>
      <c r="AU167" s="170">
        <f t="shared" si="152"/>
        <v>7575</v>
      </c>
      <c r="AV167" s="170"/>
      <c r="AW167" s="170">
        <v>7575</v>
      </c>
      <c r="AX167" s="170"/>
      <c r="AY167" s="170">
        <v>230</v>
      </c>
      <c r="AZ167" s="170">
        <v>1014</v>
      </c>
      <c r="BA167" s="170">
        <v>742</v>
      </c>
      <c r="BB167" s="170"/>
      <c r="BC167" s="170">
        <v>9</v>
      </c>
      <c r="BD167" s="170">
        <v>391</v>
      </c>
      <c r="BE167" s="170">
        <v>96</v>
      </c>
      <c r="BF167" s="170"/>
      <c r="BG167" s="170">
        <v>17100</v>
      </c>
      <c r="BH167" s="170">
        <v>4905</v>
      </c>
      <c r="BI167" s="170">
        <v>135</v>
      </c>
      <c r="BJ167" s="115">
        <f t="shared" ref="BJ167:BJ187" si="166">IF((I167="кир"),G167,"0")</f>
        <v>1</v>
      </c>
      <c r="BK167" s="115">
        <f t="shared" ref="BK167:BK187" si="167">IF((I167="кир"),R167,"0")</f>
        <v>4909.7</v>
      </c>
      <c r="BL167" s="115">
        <f t="shared" ref="BL167:BL187" si="168">IF((I167="кир"),S167,"0")</f>
        <v>2809.33</v>
      </c>
      <c r="BM167" s="115" t="str">
        <f t="shared" ref="BM167:BM187" si="169">IF((I167="пан"),G167,"0")</f>
        <v>0</v>
      </c>
      <c r="BN167" s="115" t="str">
        <f t="shared" ref="BN167:BN187" si="170">IF((I167="пан"),R167,"0")</f>
        <v>0</v>
      </c>
      <c r="BO167" s="115" t="str">
        <f t="shared" ref="BO167:BO187" si="171">IF((I167="пан"),S167,"0")</f>
        <v>0</v>
      </c>
      <c r="BP167" s="115" t="str">
        <f t="shared" ref="BP167:BP187" si="172">IF((I167="смеш"),G167,"0")</f>
        <v>0</v>
      </c>
      <c r="BQ167" s="115" t="str">
        <f t="shared" ref="BQ167:BQ187" si="173">IF((I167="смеш"),R167,"0")</f>
        <v>0</v>
      </c>
      <c r="BR167" s="115" t="str">
        <f t="shared" ref="BR167:BR187" si="174">IF((I167="смеш"),S167,"0")</f>
        <v>0</v>
      </c>
      <c r="BS167" s="209"/>
      <c r="BT167" s="209">
        <v>2</v>
      </c>
      <c r="BU167" s="115">
        <f>BA167</f>
        <v>742</v>
      </c>
      <c r="BV167" s="209">
        <v>5584</v>
      </c>
      <c r="BW167" s="115"/>
      <c r="BX167" s="115">
        <f>AP167</f>
        <v>4384</v>
      </c>
      <c r="BY167" s="253">
        <v>1928.89</v>
      </c>
      <c r="BZ167" s="253">
        <v>1139.9000000000001</v>
      </c>
      <c r="CA167" s="205">
        <v>2400</v>
      </c>
      <c r="CB167" s="282">
        <f t="shared" ref="CB167:CB187" si="175">CA167-K167</f>
        <v>1386</v>
      </c>
      <c r="CC167" s="209" t="str">
        <f t="shared" si="153"/>
        <v>0</v>
      </c>
      <c r="CD167" s="235">
        <f t="shared" si="154"/>
        <v>0</v>
      </c>
      <c r="CE167" s="209">
        <f t="shared" si="159"/>
        <v>1</v>
      </c>
      <c r="CF167" s="235">
        <f t="shared" si="155"/>
        <v>7575</v>
      </c>
      <c r="CG167" s="235">
        <f t="shared" si="156"/>
        <v>1</v>
      </c>
      <c r="CH167" s="235">
        <f t="shared" si="157"/>
        <v>7575</v>
      </c>
      <c r="CI167" s="156">
        <v>63</v>
      </c>
      <c r="CJ167" s="284" t="str">
        <f t="shared" si="146"/>
        <v>0</v>
      </c>
      <c r="CK167" s="284" t="str">
        <f t="shared" si="147"/>
        <v>0</v>
      </c>
      <c r="CL167" s="243">
        <f t="shared" si="148"/>
        <v>9.65659816282054</v>
      </c>
      <c r="CM167" s="216" t="str">
        <f t="shared" si="149"/>
        <v>0</v>
      </c>
      <c r="CN167" s="216" t="str">
        <f t="shared" si="150"/>
        <v>0</v>
      </c>
      <c r="CO167" s="243">
        <f t="shared" ref="CO167:CO187" si="176">(X167+AD167)/AI167*100</f>
        <v>13.135418583256673</v>
      </c>
      <c r="CP167" s="306">
        <v>1</v>
      </c>
      <c r="CQ167" s="306">
        <v>0</v>
      </c>
      <c r="CR167" s="306">
        <v>0</v>
      </c>
      <c r="CS167" s="306">
        <v>0</v>
      </c>
      <c r="CT167" s="306">
        <v>2</v>
      </c>
      <c r="CU167" s="306">
        <v>0</v>
      </c>
      <c r="CV167" s="306">
        <v>0</v>
      </c>
      <c r="CW167" s="306">
        <v>0</v>
      </c>
      <c r="CX167" s="306">
        <v>0</v>
      </c>
      <c r="CY167" s="306">
        <v>96</v>
      </c>
      <c r="CZ167" s="306">
        <f t="shared" si="158"/>
        <v>83</v>
      </c>
      <c r="DA167" s="306">
        <v>13</v>
      </c>
      <c r="DB167" s="306">
        <v>79</v>
      </c>
      <c r="DC167" s="306">
        <v>31</v>
      </c>
      <c r="DD167" s="306">
        <v>97</v>
      </c>
      <c r="DE167" s="306">
        <v>48</v>
      </c>
      <c r="DF167" s="306">
        <v>31</v>
      </c>
      <c r="DG167" s="306">
        <v>97</v>
      </c>
      <c r="DH167" s="306">
        <v>48</v>
      </c>
      <c r="DI167" s="306">
        <v>13</v>
      </c>
      <c r="DJ167" s="306">
        <v>2</v>
      </c>
      <c r="DK167" s="306">
        <v>19</v>
      </c>
      <c r="DL167" s="306">
        <v>3</v>
      </c>
      <c r="DM167" s="306">
        <v>2</v>
      </c>
      <c r="DN167" s="306">
        <v>19</v>
      </c>
      <c r="DO167" s="306">
        <v>3</v>
      </c>
      <c r="DP167" s="306">
        <v>96</v>
      </c>
      <c r="DQ167" s="306">
        <v>96</v>
      </c>
    </row>
    <row r="168" spans="1:121" x14ac:dyDescent="0.2">
      <c r="A168" s="12" t="s">
        <v>197</v>
      </c>
      <c r="B168" s="169">
        <v>162</v>
      </c>
      <c r="C168" s="12" t="s">
        <v>314</v>
      </c>
      <c r="D168" s="200">
        <v>1973</v>
      </c>
      <c r="E168" s="11"/>
      <c r="F168" s="169" t="s">
        <v>20</v>
      </c>
      <c r="G168" s="35">
        <v>1</v>
      </c>
      <c r="H168" s="201">
        <v>5</v>
      </c>
      <c r="I168" s="201" t="s">
        <v>22</v>
      </c>
      <c r="J168" s="115">
        <v>12703</v>
      </c>
      <c r="K168" s="115">
        <v>910</v>
      </c>
      <c r="L168" s="157">
        <v>1033</v>
      </c>
      <c r="M168" s="115"/>
      <c r="N168" s="115">
        <v>80</v>
      </c>
      <c r="O168" s="115">
        <v>160</v>
      </c>
      <c r="P168" s="115">
        <v>80</v>
      </c>
      <c r="Q168" s="115">
        <v>139</v>
      </c>
      <c r="R168" s="228">
        <v>3551.35</v>
      </c>
      <c r="S168" s="230">
        <v>2404.1</v>
      </c>
      <c r="T168" s="115">
        <f t="shared" si="160"/>
        <v>67</v>
      </c>
      <c r="U168" s="203">
        <f t="shared" si="161"/>
        <v>2965.45</v>
      </c>
      <c r="V168" s="180">
        <f t="shared" si="162"/>
        <v>2040.84</v>
      </c>
      <c r="W168" s="115">
        <v>13</v>
      </c>
      <c r="X168" s="207">
        <v>585.9</v>
      </c>
      <c r="Y168" s="207">
        <v>363.26</v>
      </c>
      <c r="Z168" s="204"/>
      <c r="AA168" s="207"/>
      <c r="AB168" s="207"/>
      <c r="AC168" s="207">
        <f t="shared" si="163"/>
        <v>0</v>
      </c>
      <c r="AD168" s="248">
        <f t="shared" si="164"/>
        <v>0</v>
      </c>
      <c r="AE168" s="275"/>
      <c r="AF168" s="275"/>
      <c r="AG168" s="207"/>
      <c r="AH168" s="207"/>
      <c r="AI168" s="207">
        <f t="shared" si="165"/>
        <v>3551.35</v>
      </c>
      <c r="AJ168" s="170"/>
      <c r="AK168" s="170"/>
      <c r="AL168" s="170">
        <v>4</v>
      </c>
      <c r="AM168" s="170"/>
      <c r="AN168" s="170"/>
      <c r="AO168" s="170">
        <v>1</v>
      </c>
      <c r="AP168" s="170">
        <v>2480</v>
      </c>
      <c r="AQ168" s="170"/>
      <c r="AR168" s="170">
        <v>698</v>
      </c>
      <c r="AS168" s="170">
        <v>241</v>
      </c>
      <c r="AT168" s="170">
        <v>70</v>
      </c>
      <c r="AU168" s="170">
        <f t="shared" si="152"/>
        <v>3540</v>
      </c>
      <c r="AV168" s="170"/>
      <c r="AW168" s="170">
        <v>3540</v>
      </c>
      <c r="AX168" s="170">
        <v>1936</v>
      </c>
      <c r="AY168" s="170">
        <v>135</v>
      </c>
      <c r="AZ168" s="170">
        <v>888</v>
      </c>
      <c r="BA168" s="170">
        <v>888</v>
      </c>
      <c r="BB168" s="170">
        <v>16</v>
      </c>
      <c r="BC168" s="170">
        <v>8</v>
      </c>
      <c r="BD168" s="170">
        <v>240</v>
      </c>
      <c r="BE168" s="170">
        <v>80</v>
      </c>
      <c r="BF168" s="170"/>
      <c r="BG168" s="170">
        <v>400</v>
      </c>
      <c r="BH168" s="170">
        <v>80</v>
      </c>
      <c r="BI168" s="170"/>
      <c r="BJ168" s="115" t="str">
        <f t="shared" si="166"/>
        <v>0</v>
      </c>
      <c r="BK168" s="115" t="str">
        <f t="shared" si="167"/>
        <v>0</v>
      </c>
      <c r="BL168" s="115" t="str">
        <f t="shared" si="168"/>
        <v>0</v>
      </c>
      <c r="BM168" s="115">
        <f t="shared" si="169"/>
        <v>1</v>
      </c>
      <c r="BN168" s="115">
        <f t="shared" si="170"/>
        <v>3551.35</v>
      </c>
      <c r="BO168" s="115">
        <f t="shared" si="171"/>
        <v>2404.1</v>
      </c>
      <c r="BP168" s="115" t="str">
        <f t="shared" si="172"/>
        <v>0</v>
      </c>
      <c r="BQ168" s="115" t="str">
        <f t="shared" si="173"/>
        <v>0</v>
      </c>
      <c r="BR168" s="115" t="str">
        <f t="shared" si="174"/>
        <v>0</v>
      </c>
      <c r="BS168" s="209"/>
      <c r="BT168" s="209">
        <v>2</v>
      </c>
      <c r="BU168" s="115">
        <f>BA168</f>
        <v>888</v>
      </c>
      <c r="BV168" s="209">
        <v>3195</v>
      </c>
      <c r="BW168" s="115"/>
      <c r="BX168" s="115"/>
      <c r="BY168" s="253">
        <v>1163.0999999999999</v>
      </c>
      <c r="BZ168" s="253">
        <v>274.8</v>
      </c>
      <c r="CA168" s="205">
        <v>2494</v>
      </c>
      <c r="CB168" s="282">
        <f t="shared" si="175"/>
        <v>1584</v>
      </c>
      <c r="CC168" s="209" t="str">
        <f t="shared" si="153"/>
        <v>0</v>
      </c>
      <c r="CD168" s="235">
        <f t="shared" si="154"/>
        <v>0</v>
      </c>
      <c r="CE168" s="209">
        <f t="shared" si="159"/>
        <v>1</v>
      </c>
      <c r="CF168" s="235">
        <f t="shared" si="155"/>
        <v>3540</v>
      </c>
      <c r="CG168" s="235">
        <f t="shared" si="156"/>
        <v>1</v>
      </c>
      <c r="CH168" s="235">
        <f t="shared" si="157"/>
        <v>3540</v>
      </c>
      <c r="CI168" s="156">
        <v>54</v>
      </c>
      <c r="CJ168" s="284" t="str">
        <f>IF(AND((X168+AA168)/R168*100&gt;=50), G168, "0")</f>
        <v>0</v>
      </c>
      <c r="CK168" s="284" t="str">
        <f>IF(AND((X168+AA168)/R168*100&gt;=50), R168, "0")</f>
        <v>0</v>
      </c>
      <c r="CL168" s="243">
        <f>(X168+AA168)/R168*100</f>
        <v>16.497951483238769</v>
      </c>
      <c r="CM168" s="216" t="str">
        <f>IF(AND((X168+AD168)/AI168*100&gt;=50), G168, "0")</f>
        <v>0</v>
      </c>
      <c r="CN168" s="216" t="str">
        <f>IF(AND((X168+AD168)/AI168*100&gt;=50), AI168, "0")</f>
        <v>0</v>
      </c>
      <c r="CO168" s="243">
        <f t="shared" si="176"/>
        <v>16.497951483238769</v>
      </c>
      <c r="CP168" s="306">
        <v>1</v>
      </c>
      <c r="CQ168" s="306">
        <v>0</v>
      </c>
      <c r="CR168" s="306">
        <v>0</v>
      </c>
      <c r="CS168" s="306">
        <v>0</v>
      </c>
      <c r="CT168" s="306">
        <v>1</v>
      </c>
      <c r="CU168" s="306">
        <v>0</v>
      </c>
      <c r="CV168" s="306">
        <v>0</v>
      </c>
      <c r="CW168" s="306">
        <v>0</v>
      </c>
      <c r="CX168" s="306">
        <v>0</v>
      </c>
      <c r="CY168" s="306">
        <v>80</v>
      </c>
      <c r="CZ168" s="306">
        <f t="shared" si="158"/>
        <v>69</v>
      </c>
      <c r="DA168" s="306">
        <v>11</v>
      </c>
      <c r="DB168" s="306">
        <v>67</v>
      </c>
      <c r="DC168" s="306">
        <v>33</v>
      </c>
      <c r="DD168" s="306">
        <v>47</v>
      </c>
      <c r="DE168" s="306">
        <v>33</v>
      </c>
      <c r="DF168" s="306">
        <v>33</v>
      </c>
      <c r="DG168" s="306">
        <v>47</v>
      </c>
      <c r="DH168" s="306">
        <v>33</v>
      </c>
      <c r="DI168" s="306">
        <v>8</v>
      </c>
      <c r="DJ168" s="306">
        <v>1</v>
      </c>
      <c r="DK168" s="306">
        <v>12</v>
      </c>
      <c r="DL168" s="306">
        <v>1</v>
      </c>
      <c r="DM168" s="306">
        <v>1</v>
      </c>
      <c r="DN168" s="306">
        <v>12</v>
      </c>
      <c r="DO168" s="306">
        <v>1</v>
      </c>
      <c r="DP168" s="306">
        <v>80</v>
      </c>
      <c r="DQ168" s="306">
        <v>80</v>
      </c>
    </row>
    <row r="169" spans="1:121" x14ac:dyDescent="0.2">
      <c r="A169" s="12" t="s">
        <v>142</v>
      </c>
      <c r="B169" s="169">
        <v>163</v>
      </c>
      <c r="C169" s="12" t="s">
        <v>94</v>
      </c>
      <c r="D169" s="13">
        <v>1969</v>
      </c>
      <c r="E169" s="11"/>
      <c r="F169" s="169" t="s">
        <v>20</v>
      </c>
      <c r="G169" s="35">
        <v>1</v>
      </c>
      <c r="H169" s="45">
        <v>5</v>
      </c>
      <c r="I169" s="1" t="s">
        <v>22</v>
      </c>
      <c r="J169" s="122">
        <v>12530</v>
      </c>
      <c r="K169" s="122">
        <v>915</v>
      </c>
      <c r="L169" s="122">
        <v>1056</v>
      </c>
      <c r="M169" s="122"/>
      <c r="N169" s="122">
        <v>78</v>
      </c>
      <c r="O169" s="122">
        <v>157</v>
      </c>
      <c r="P169" s="122">
        <v>78</v>
      </c>
      <c r="Q169" s="122">
        <v>126</v>
      </c>
      <c r="R169" s="179">
        <v>3488.93</v>
      </c>
      <c r="S169" s="121">
        <v>2350.8000000000002</v>
      </c>
      <c r="T169" s="122">
        <f t="shared" si="160"/>
        <v>64</v>
      </c>
      <c r="U169" s="180">
        <f t="shared" si="161"/>
        <v>2850.79</v>
      </c>
      <c r="V169" s="180">
        <f t="shared" si="162"/>
        <v>1918.8300000000002</v>
      </c>
      <c r="W169" s="122">
        <v>14</v>
      </c>
      <c r="X169" s="180">
        <v>638.14</v>
      </c>
      <c r="Y169" s="180">
        <v>431.97</v>
      </c>
      <c r="Z169" s="122"/>
      <c r="AA169" s="180"/>
      <c r="AB169" s="180"/>
      <c r="AC169" s="180">
        <f t="shared" si="163"/>
        <v>74.099999999999994</v>
      </c>
      <c r="AD169" s="179">
        <f t="shared" si="164"/>
        <v>0</v>
      </c>
      <c r="AE169" s="271"/>
      <c r="AF169" s="179"/>
      <c r="AG169" s="180">
        <v>74.099999999999994</v>
      </c>
      <c r="AH169" s="180"/>
      <c r="AI169" s="180">
        <f t="shared" si="165"/>
        <v>3563.0299999999997</v>
      </c>
      <c r="AJ169" s="122"/>
      <c r="AK169" s="122"/>
      <c r="AL169" s="122">
        <v>4</v>
      </c>
      <c r="AM169" s="122"/>
      <c r="AN169" s="122"/>
      <c r="AO169" s="122">
        <v>1</v>
      </c>
      <c r="AP169" s="122">
        <v>2407</v>
      </c>
      <c r="AQ169" s="35"/>
      <c r="AR169" s="122">
        <f>201+136+140</f>
        <v>477</v>
      </c>
      <c r="AS169" s="122">
        <v>236</v>
      </c>
      <c r="AT169" s="122">
        <v>51</v>
      </c>
      <c r="AU169" s="122">
        <f t="shared" si="152"/>
        <v>2923</v>
      </c>
      <c r="AV169" s="122"/>
      <c r="AW169" s="122">
        <v>2923</v>
      </c>
      <c r="AX169" s="122">
        <v>1850</v>
      </c>
      <c r="AY169" s="122">
        <v>135</v>
      </c>
      <c r="AZ169" s="122">
        <v>887</v>
      </c>
      <c r="BA169" s="122">
        <v>887</v>
      </c>
      <c r="BB169" s="122">
        <v>20</v>
      </c>
      <c r="BC169" s="122">
        <v>13</v>
      </c>
      <c r="BD169" s="122">
        <f>240-2</f>
        <v>238</v>
      </c>
      <c r="BE169" s="122">
        <f>80-1</f>
        <v>79</v>
      </c>
      <c r="BF169" s="122">
        <v>1</v>
      </c>
      <c r="BG169" s="122">
        <v>15032</v>
      </c>
      <c r="BH169" s="122">
        <v>292</v>
      </c>
      <c r="BI169" s="122"/>
      <c r="BJ169" s="115" t="str">
        <f t="shared" si="166"/>
        <v>0</v>
      </c>
      <c r="BK169" s="115" t="str">
        <f t="shared" si="167"/>
        <v>0</v>
      </c>
      <c r="BL169" s="115" t="str">
        <f t="shared" si="168"/>
        <v>0</v>
      </c>
      <c r="BM169" s="115">
        <f t="shared" si="169"/>
        <v>1</v>
      </c>
      <c r="BN169" s="115">
        <f t="shared" si="170"/>
        <v>3488.93</v>
      </c>
      <c r="BO169" s="115">
        <f t="shared" si="171"/>
        <v>2350.8000000000002</v>
      </c>
      <c r="BP169" s="115" t="str">
        <f t="shared" si="172"/>
        <v>0</v>
      </c>
      <c r="BQ169" s="115" t="str">
        <f t="shared" si="173"/>
        <v>0</v>
      </c>
      <c r="BR169" s="115" t="str">
        <f t="shared" si="174"/>
        <v>0</v>
      </c>
      <c r="BS169" s="115"/>
      <c r="BT169" s="115">
        <v>2</v>
      </c>
      <c r="BU169" s="122"/>
      <c r="BV169" s="115"/>
      <c r="BW169" s="115"/>
      <c r="BX169" s="115"/>
      <c r="BY169" s="275">
        <v>1163.0999999999999</v>
      </c>
      <c r="BZ169" s="253">
        <v>274.5</v>
      </c>
      <c r="CA169" s="157">
        <v>2308</v>
      </c>
      <c r="CB169" s="275">
        <f t="shared" si="175"/>
        <v>1393</v>
      </c>
      <c r="CC169" s="209" t="str">
        <f t="shared" si="153"/>
        <v>0</v>
      </c>
      <c r="CD169" s="235">
        <f t="shared" si="154"/>
        <v>0</v>
      </c>
      <c r="CE169" s="209">
        <f t="shared" si="159"/>
        <v>1</v>
      </c>
      <c r="CF169" s="235">
        <f t="shared" si="155"/>
        <v>2923</v>
      </c>
      <c r="CG169" s="235">
        <f t="shared" si="156"/>
        <v>1</v>
      </c>
      <c r="CH169" s="235">
        <f t="shared" si="157"/>
        <v>2923</v>
      </c>
      <c r="CI169" s="14">
        <v>53</v>
      </c>
      <c r="CJ169" s="284" t="str">
        <f t="shared" ref="CJ169:CJ187" si="177">IF((X169/R169*100&gt;=50), G169, "0")</f>
        <v>0</v>
      </c>
      <c r="CK169" s="284" t="str">
        <f t="shared" ref="CK169:CK187" si="178">IF((X169/R169*100&gt;=50), R169, "0")</f>
        <v>0</v>
      </c>
      <c r="CL169" s="243">
        <f t="shared" ref="CL169:CL187" si="179">X169/R169*100</f>
        <v>18.29042141860112</v>
      </c>
      <c r="CM169" s="216" t="str">
        <f t="shared" ref="CM169:CM187" si="180">IF(((X169+AD169)/AI169*100&gt;=50), G169, "0")</f>
        <v>0</v>
      </c>
      <c r="CN169" s="216" t="str">
        <f t="shared" ref="CN169:CN187" si="181">IF(((X169+AD169)/AI169*100&gt;=50), AI169, "0")</f>
        <v>0</v>
      </c>
      <c r="CO169" s="243">
        <f t="shared" si="176"/>
        <v>17.910037243582007</v>
      </c>
      <c r="CP169" s="305">
        <v>1</v>
      </c>
      <c r="CQ169" s="305">
        <v>0</v>
      </c>
      <c r="CR169" s="305">
        <v>0</v>
      </c>
      <c r="CS169" s="305">
        <v>0</v>
      </c>
      <c r="CT169" s="305">
        <v>1</v>
      </c>
      <c r="CU169" s="305">
        <v>0</v>
      </c>
      <c r="CV169" s="305">
        <v>0</v>
      </c>
      <c r="CW169" s="305">
        <v>0</v>
      </c>
      <c r="CX169" s="306">
        <v>0</v>
      </c>
      <c r="CY169" s="306">
        <v>78</v>
      </c>
      <c r="CZ169" s="306">
        <f t="shared" si="158"/>
        <v>65</v>
      </c>
      <c r="DA169" s="306">
        <v>13</v>
      </c>
      <c r="DB169" s="306">
        <v>49</v>
      </c>
      <c r="DC169" s="306">
        <v>31</v>
      </c>
      <c r="DD169" s="306">
        <v>47</v>
      </c>
      <c r="DE169" s="306">
        <v>31</v>
      </c>
      <c r="DF169" s="306">
        <v>32</v>
      </c>
      <c r="DG169" s="306">
        <v>46</v>
      </c>
      <c r="DH169" s="306">
        <v>32</v>
      </c>
      <c r="DI169" s="306">
        <v>6</v>
      </c>
      <c r="DJ169" s="306">
        <v>6</v>
      </c>
      <c r="DK169" s="306">
        <v>8</v>
      </c>
      <c r="DL169" s="306">
        <v>6</v>
      </c>
      <c r="DM169" s="306">
        <v>6</v>
      </c>
      <c r="DN169" s="306">
        <v>8</v>
      </c>
      <c r="DO169" s="306">
        <v>6</v>
      </c>
      <c r="DP169" s="306">
        <v>78</v>
      </c>
      <c r="DQ169" s="306">
        <v>78</v>
      </c>
    </row>
    <row r="170" spans="1:121" x14ac:dyDescent="0.2">
      <c r="A170" s="12" t="s">
        <v>142</v>
      </c>
      <c r="B170" s="169">
        <v>164</v>
      </c>
      <c r="C170" s="12" t="s">
        <v>185</v>
      </c>
      <c r="D170" s="13">
        <v>1972</v>
      </c>
      <c r="E170" s="11"/>
      <c r="F170" s="169" t="s">
        <v>20</v>
      </c>
      <c r="G170" s="35">
        <v>1</v>
      </c>
      <c r="H170" s="45">
        <v>5</v>
      </c>
      <c r="I170" s="1" t="s">
        <v>22</v>
      </c>
      <c r="J170" s="122">
        <v>13246</v>
      </c>
      <c r="K170" s="122">
        <v>978</v>
      </c>
      <c r="L170" s="122">
        <v>1069</v>
      </c>
      <c r="M170" s="122"/>
      <c r="N170" s="122">
        <v>64</v>
      </c>
      <c r="O170" s="122">
        <v>128</v>
      </c>
      <c r="P170" s="122">
        <v>64</v>
      </c>
      <c r="Q170" s="122">
        <v>123</v>
      </c>
      <c r="R170" s="179">
        <v>2810.12</v>
      </c>
      <c r="S170" s="121">
        <v>1886</v>
      </c>
      <c r="T170" s="122">
        <f t="shared" si="160"/>
        <v>58</v>
      </c>
      <c r="U170" s="180">
        <f t="shared" si="161"/>
        <v>2509.69</v>
      </c>
      <c r="V170" s="180">
        <f t="shared" si="162"/>
        <v>1680.79</v>
      </c>
      <c r="W170" s="122">
        <v>6</v>
      </c>
      <c r="X170" s="180">
        <v>300.43</v>
      </c>
      <c r="Y170" s="180">
        <v>205.21</v>
      </c>
      <c r="Z170" s="122"/>
      <c r="AA170" s="180"/>
      <c r="AB170" s="180"/>
      <c r="AC170" s="180">
        <f t="shared" si="163"/>
        <v>775.2</v>
      </c>
      <c r="AD170" s="179">
        <f t="shared" si="164"/>
        <v>0</v>
      </c>
      <c r="AE170" s="271"/>
      <c r="AF170" s="179"/>
      <c r="AG170" s="180">
        <v>775.2</v>
      </c>
      <c r="AH170" s="180"/>
      <c r="AI170" s="180">
        <f t="shared" si="165"/>
        <v>3585.3199999999997</v>
      </c>
      <c r="AJ170" s="122"/>
      <c r="AK170" s="122"/>
      <c r="AL170" s="122">
        <v>4</v>
      </c>
      <c r="AM170" s="122"/>
      <c r="AN170" s="122"/>
      <c r="AO170" s="122">
        <v>1</v>
      </c>
      <c r="AP170" s="122">
        <v>2398</v>
      </c>
      <c r="AQ170" s="35"/>
      <c r="AR170" s="122">
        <f>159+63+183</f>
        <v>405</v>
      </c>
      <c r="AS170" s="122">
        <v>170</v>
      </c>
      <c r="AT170" s="122">
        <v>51</v>
      </c>
      <c r="AU170" s="122">
        <f t="shared" si="152"/>
        <v>2923</v>
      </c>
      <c r="AV170" s="122"/>
      <c r="AW170" s="122">
        <v>2923</v>
      </c>
      <c r="AX170" s="122">
        <v>1800</v>
      </c>
      <c r="AY170" s="122">
        <v>171</v>
      </c>
      <c r="AZ170" s="122">
        <v>895</v>
      </c>
      <c r="BA170" s="122">
        <v>895</v>
      </c>
      <c r="BB170" s="122">
        <v>20</v>
      </c>
      <c r="BC170" s="122">
        <v>13</v>
      </c>
      <c r="BD170" s="122">
        <v>240</v>
      </c>
      <c r="BE170" s="122">
        <v>64</v>
      </c>
      <c r="BF170" s="122">
        <v>1</v>
      </c>
      <c r="BG170" s="122">
        <v>15032</v>
      </c>
      <c r="BH170" s="122">
        <v>292</v>
      </c>
      <c r="BI170" s="122"/>
      <c r="BJ170" s="115" t="str">
        <f t="shared" si="166"/>
        <v>0</v>
      </c>
      <c r="BK170" s="115" t="str">
        <f t="shared" si="167"/>
        <v>0</v>
      </c>
      <c r="BL170" s="115" t="str">
        <f t="shared" si="168"/>
        <v>0</v>
      </c>
      <c r="BM170" s="115">
        <f t="shared" si="169"/>
        <v>1</v>
      </c>
      <c r="BN170" s="115">
        <f t="shared" si="170"/>
        <v>2810.12</v>
      </c>
      <c r="BO170" s="115">
        <f t="shared" si="171"/>
        <v>1886</v>
      </c>
      <c r="BP170" s="115" t="str">
        <f t="shared" si="172"/>
        <v>0</v>
      </c>
      <c r="BQ170" s="115" t="str">
        <f t="shared" si="173"/>
        <v>0</v>
      </c>
      <c r="BR170" s="115" t="str">
        <f t="shared" si="174"/>
        <v>0</v>
      </c>
      <c r="BS170" s="115">
        <v>1</v>
      </c>
      <c r="BT170" s="115"/>
      <c r="BU170" s="122"/>
      <c r="BV170" s="115"/>
      <c r="BW170" s="115"/>
      <c r="BX170" s="115"/>
      <c r="BY170" s="275">
        <v>1169.27</v>
      </c>
      <c r="BZ170" s="253">
        <v>274.27</v>
      </c>
      <c r="CA170" s="157">
        <v>2354</v>
      </c>
      <c r="CB170" s="275">
        <f t="shared" si="175"/>
        <v>1376</v>
      </c>
      <c r="CC170" s="209" t="str">
        <f t="shared" si="153"/>
        <v>0</v>
      </c>
      <c r="CD170" s="235">
        <f t="shared" si="154"/>
        <v>0</v>
      </c>
      <c r="CE170" s="209">
        <f t="shared" si="159"/>
        <v>1</v>
      </c>
      <c r="CF170" s="235">
        <f t="shared" si="155"/>
        <v>2923</v>
      </c>
      <c r="CG170" s="235">
        <f t="shared" si="156"/>
        <v>1</v>
      </c>
      <c r="CH170" s="235">
        <f t="shared" si="157"/>
        <v>2923</v>
      </c>
      <c r="CI170" s="14">
        <v>52</v>
      </c>
      <c r="CJ170" s="284" t="str">
        <f t="shared" si="177"/>
        <v>0</v>
      </c>
      <c r="CK170" s="284" t="str">
        <f t="shared" si="178"/>
        <v>0</v>
      </c>
      <c r="CL170" s="243">
        <f t="shared" si="179"/>
        <v>10.691002519465362</v>
      </c>
      <c r="CM170" s="216" t="str">
        <f t="shared" si="180"/>
        <v>0</v>
      </c>
      <c r="CN170" s="216" t="str">
        <f t="shared" si="181"/>
        <v>0</v>
      </c>
      <c r="CO170" s="243">
        <f t="shared" si="176"/>
        <v>8.3794473017750164</v>
      </c>
      <c r="CP170" s="305">
        <v>1</v>
      </c>
      <c r="CQ170" s="305">
        <v>0</v>
      </c>
      <c r="CR170" s="305">
        <v>0</v>
      </c>
      <c r="CS170" s="305">
        <v>0</v>
      </c>
      <c r="CT170" s="305">
        <v>1</v>
      </c>
      <c r="CU170" s="305">
        <v>0</v>
      </c>
      <c r="CV170" s="305">
        <v>0</v>
      </c>
      <c r="CW170" s="305">
        <v>0</v>
      </c>
      <c r="CX170" s="306">
        <v>0</v>
      </c>
      <c r="CY170" s="306">
        <v>64</v>
      </c>
      <c r="CZ170" s="306">
        <f t="shared" si="158"/>
        <v>57</v>
      </c>
      <c r="DA170" s="306">
        <v>7</v>
      </c>
      <c r="DB170" s="306">
        <v>46</v>
      </c>
      <c r="DC170" s="306">
        <v>29</v>
      </c>
      <c r="DD170" s="306">
        <v>35</v>
      </c>
      <c r="DE170" s="306">
        <v>29</v>
      </c>
      <c r="DF170" s="306">
        <v>30</v>
      </c>
      <c r="DG170" s="306">
        <v>34</v>
      </c>
      <c r="DH170" s="306">
        <v>30</v>
      </c>
      <c r="DI170" s="306">
        <v>6</v>
      </c>
      <c r="DJ170" s="306">
        <v>2</v>
      </c>
      <c r="DK170" s="306">
        <v>4</v>
      </c>
      <c r="DL170" s="306">
        <v>2</v>
      </c>
      <c r="DM170" s="306">
        <v>2</v>
      </c>
      <c r="DN170" s="306">
        <v>4</v>
      </c>
      <c r="DO170" s="306">
        <v>2</v>
      </c>
      <c r="DP170" s="306">
        <v>64</v>
      </c>
      <c r="DQ170" s="306">
        <v>64</v>
      </c>
    </row>
    <row r="171" spans="1:121" x14ac:dyDescent="0.2">
      <c r="A171" s="12" t="s">
        <v>142</v>
      </c>
      <c r="B171" s="169">
        <v>165</v>
      </c>
      <c r="C171" s="12" t="s">
        <v>95</v>
      </c>
      <c r="D171" s="13">
        <v>1973</v>
      </c>
      <c r="E171" s="11"/>
      <c r="F171" s="169" t="s">
        <v>21</v>
      </c>
      <c r="G171" s="35">
        <v>1</v>
      </c>
      <c r="H171" s="45">
        <v>9</v>
      </c>
      <c r="I171" s="1" t="s">
        <v>19</v>
      </c>
      <c r="J171" s="122">
        <v>38516</v>
      </c>
      <c r="K171" s="122">
        <v>1571</v>
      </c>
      <c r="L171" s="122">
        <v>1637</v>
      </c>
      <c r="M171" s="122"/>
      <c r="N171" s="122">
        <f>127+1</f>
        <v>128</v>
      </c>
      <c r="O171" s="122">
        <v>322</v>
      </c>
      <c r="P171" s="122">
        <v>128</v>
      </c>
      <c r="Q171" s="122">
        <v>288</v>
      </c>
      <c r="R171" s="179">
        <f>6834.2+63.2</f>
        <v>6897.4</v>
      </c>
      <c r="S171" s="121">
        <v>4386</v>
      </c>
      <c r="T171" s="122">
        <f t="shared" si="160"/>
        <v>122</v>
      </c>
      <c r="U171" s="180">
        <f t="shared" si="161"/>
        <v>6594.9</v>
      </c>
      <c r="V171" s="180">
        <f t="shared" si="162"/>
        <v>4198.45</v>
      </c>
      <c r="W171" s="122">
        <v>6</v>
      </c>
      <c r="X171" s="180">
        <v>302.5</v>
      </c>
      <c r="Y171" s="180">
        <v>187.55</v>
      </c>
      <c r="Z171" s="122"/>
      <c r="AA171" s="180"/>
      <c r="AB171" s="180"/>
      <c r="AC171" s="180">
        <f t="shared" si="163"/>
        <v>1045.2</v>
      </c>
      <c r="AD171" s="179">
        <f t="shared" si="164"/>
        <v>0</v>
      </c>
      <c r="AE171" s="271"/>
      <c r="AF171" s="273"/>
      <c r="AG171" s="273">
        <v>1045.2</v>
      </c>
      <c r="AH171" s="273"/>
      <c r="AI171" s="180">
        <f t="shared" si="165"/>
        <v>7942.5999999999995</v>
      </c>
      <c r="AJ171" s="122"/>
      <c r="AK171" s="122">
        <v>4</v>
      </c>
      <c r="AL171" s="122">
        <v>4</v>
      </c>
      <c r="AM171" s="122">
        <v>4</v>
      </c>
      <c r="AN171" s="122">
        <v>1</v>
      </c>
      <c r="AO171" s="122">
        <v>1</v>
      </c>
      <c r="AP171" s="122">
        <v>5990</v>
      </c>
      <c r="AQ171" s="35">
        <v>862.125</v>
      </c>
      <c r="AR171" s="122">
        <f>252+126+192</f>
        <v>570</v>
      </c>
      <c r="AS171" s="122">
        <v>324</v>
      </c>
      <c r="AT171" s="122">
        <v>160</v>
      </c>
      <c r="AU171" s="122">
        <f t="shared" si="152"/>
        <v>7469</v>
      </c>
      <c r="AV171" s="122">
        <v>6664</v>
      </c>
      <c r="AW171" s="122">
        <v>805</v>
      </c>
      <c r="AX171" s="122"/>
      <c r="AY171" s="122">
        <v>308</v>
      </c>
      <c r="AZ171" s="122">
        <v>1401</v>
      </c>
      <c r="BA171" s="122">
        <v>1401</v>
      </c>
      <c r="BB171" s="122">
        <v>36</v>
      </c>
      <c r="BC171" s="122">
        <v>16</v>
      </c>
      <c r="BD171" s="122">
        <v>448</v>
      </c>
      <c r="BE171" s="122">
        <v>128</v>
      </c>
      <c r="BF171" s="122"/>
      <c r="BG171" s="122">
        <v>29650</v>
      </c>
      <c r="BH171" s="122">
        <v>2088</v>
      </c>
      <c r="BI171" s="122">
        <v>648</v>
      </c>
      <c r="BJ171" s="115">
        <f t="shared" si="166"/>
        <v>1</v>
      </c>
      <c r="BK171" s="115">
        <f t="shared" si="167"/>
        <v>6897.4</v>
      </c>
      <c r="BL171" s="115">
        <f t="shared" si="168"/>
        <v>4386</v>
      </c>
      <c r="BM171" s="115" t="str">
        <f t="shared" si="169"/>
        <v>0</v>
      </c>
      <c r="BN171" s="115" t="str">
        <f t="shared" si="170"/>
        <v>0</v>
      </c>
      <c r="BO171" s="115" t="str">
        <f t="shared" si="171"/>
        <v>0</v>
      </c>
      <c r="BP171" s="115" t="str">
        <f t="shared" si="172"/>
        <v>0</v>
      </c>
      <c r="BQ171" s="115" t="str">
        <f t="shared" si="173"/>
        <v>0</v>
      </c>
      <c r="BR171" s="115" t="str">
        <f t="shared" si="174"/>
        <v>0</v>
      </c>
      <c r="BS171" s="115"/>
      <c r="BT171" s="115">
        <v>2</v>
      </c>
      <c r="BU171" s="122">
        <v>1401</v>
      </c>
      <c r="BV171" s="115">
        <v>360</v>
      </c>
      <c r="BW171" s="115"/>
      <c r="BX171" s="115">
        <f>AP171</f>
        <v>5990</v>
      </c>
      <c r="BY171" s="275">
        <v>2776.1</v>
      </c>
      <c r="BZ171" s="253">
        <v>1249</v>
      </c>
      <c r="CA171" s="157">
        <v>3244</v>
      </c>
      <c r="CB171" s="275">
        <f t="shared" si="175"/>
        <v>1673</v>
      </c>
      <c r="CC171" s="209">
        <f t="shared" si="153"/>
        <v>1</v>
      </c>
      <c r="CD171" s="235">
        <f t="shared" si="154"/>
        <v>6664</v>
      </c>
      <c r="CE171" s="209"/>
      <c r="CF171" s="235">
        <f t="shared" si="155"/>
        <v>805</v>
      </c>
      <c r="CG171" s="235">
        <f t="shared" si="156"/>
        <v>1</v>
      </c>
      <c r="CH171" s="235">
        <f t="shared" si="157"/>
        <v>7469</v>
      </c>
      <c r="CI171" s="14">
        <v>67</v>
      </c>
      <c r="CJ171" s="284" t="str">
        <f t="shared" si="177"/>
        <v>0</v>
      </c>
      <c r="CK171" s="284" t="str">
        <f t="shared" si="178"/>
        <v>0</v>
      </c>
      <c r="CL171" s="243">
        <f t="shared" si="179"/>
        <v>4.3857105576014153</v>
      </c>
      <c r="CM171" s="216" t="str">
        <f t="shared" si="180"/>
        <v>0</v>
      </c>
      <c r="CN171" s="216" t="str">
        <f t="shared" si="181"/>
        <v>0</v>
      </c>
      <c r="CO171" s="243">
        <f t="shared" si="176"/>
        <v>3.8085765366504676</v>
      </c>
      <c r="CP171" s="305">
        <v>1</v>
      </c>
      <c r="CQ171" s="305">
        <v>0</v>
      </c>
      <c r="CR171" s="305">
        <v>0</v>
      </c>
      <c r="CS171" s="305">
        <v>0</v>
      </c>
      <c r="CT171" s="305">
        <v>2</v>
      </c>
      <c r="CU171" s="305">
        <v>0</v>
      </c>
      <c r="CV171" s="305">
        <v>0</v>
      </c>
      <c r="CW171" s="305">
        <v>0</v>
      </c>
      <c r="CX171" s="306">
        <v>0</v>
      </c>
      <c r="CY171" s="306">
        <v>128</v>
      </c>
      <c r="CZ171" s="306">
        <f t="shared" si="158"/>
        <v>118</v>
      </c>
      <c r="DA171" s="306">
        <v>10</v>
      </c>
      <c r="DB171" s="306">
        <v>94</v>
      </c>
      <c r="DC171" s="306">
        <v>69</v>
      </c>
      <c r="DD171" s="306">
        <v>123</v>
      </c>
      <c r="DE171" s="306">
        <v>69</v>
      </c>
      <c r="DF171" s="306">
        <v>73</v>
      </c>
      <c r="DG171" s="306">
        <v>119</v>
      </c>
      <c r="DH171" s="306">
        <v>73</v>
      </c>
      <c r="DI171" s="306">
        <v>7</v>
      </c>
      <c r="DJ171" s="306">
        <v>4</v>
      </c>
      <c r="DK171" s="306">
        <v>9</v>
      </c>
      <c r="DL171" s="306">
        <v>4</v>
      </c>
      <c r="DM171" s="306">
        <v>4</v>
      </c>
      <c r="DN171" s="306">
        <v>9</v>
      </c>
      <c r="DO171" s="306">
        <v>4</v>
      </c>
      <c r="DP171" s="306">
        <v>128</v>
      </c>
      <c r="DQ171" s="306">
        <v>128</v>
      </c>
    </row>
    <row r="172" spans="1:121" x14ac:dyDescent="0.2">
      <c r="A172" s="12" t="s">
        <v>142</v>
      </c>
      <c r="B172" s="169">
        <v>166</v>
      </c>
      <c r="C172" s="12" t="s">
        <v>96</v>
      </c>
      <c r="D172" s="13">
        <v>1970</v>
      </c>
      <c r="E172" s="11"/>
      <c r="F172" s="169" t="s">
        <v>20</v>
      </c>
      <c r="G172" s="35">
        <v>1</v>
      </c>
      <c r="H172" s="45">
        <v>5</v>
      </c>
      <c r="I172" s="1" t="s">
        <v>22</v>
      </c>
      <c r="J172" s="122">
        <v>12216</v>
      </c>
      <c r="K172" s="122">
        <v>916</v>
      </c>
      <c r="L172" s="122">
        <v>1016</v>
      </c>
      <c r="M172" s="122"/>
      <c r="N172" s="122">
        <v>76</v>
      </c>
      <c r="O172" s="122">
        <v>148</v>
      </c>
      <c r="P172" s="122">
        <v>76</v>
      </c>
      <c r="Q172" s="122">
        <v>164</v>
      </c>
      <c r="R172" s="179">
        <v>3324</v>
      </c>
      <c r="S172" s="121">
        <v>2363.6</v>
      </c>
      <c r="T172" s="122">
        <f t="shared" si="160"/>
        <v>68</v>
      </c>
      <c r="U172" s="180">
        <f t="shared" si="161"/>
        <v>3013.2</v>
      </c>
      <c r="V172" s="180">
        <f t="shared" si="162"/>
        <v>2154.94</v>
      </c>
      <c r="W172" s="122">
        <v>8</v>
      </c>
      <c r="X172" s="180">
        <v>310.8</v>
      </c>
      <c r="Y172" s="180">
        <v>208.66</v>
      </c>
      <c r="Z172" s="122"/>
      <c r="AA172" s="180"/>
      <c r="AB172" s="180"/>
      <c r="AC172" s="180">
        <f t="shared" si="163"/>
        <v>232.1</v>
      </c>
      <c r="AD172" s="179">
        <f t="shared" si="164"/>
        <v>0</v>
      </c>
      <c r="AE172" s="271"/>
      <c r="AF172" s="179"/>
      <c r="AG172" s="180">
        <v>232.1</v>
      </c>
      <c r="AH172" s="180"/>
      <c r="AI172" s="180">
        <f t="shared" si="165"/>
        <v>3556.1</v>
      </c>
      <c r="AJ172" s="122"/>
      <c r="AK172" s="122"/>
      <c r="AL172" s="122">
        <v>4</v>
      </c>
      <c r="AM172" s="122"/>
      <c r="AN172" s="122">
        <v>1</v>
      </c>
      <c r="AO172" s="122">
        <v>1</v>
      </c>
      <c r="AP172" s="122">
        <v>2349</v>
      </c>
      <c r="AQ172" s="35"/>
      <c r="AR172" s="122">
        <f>79+40+140</f>
        <v>259</v>
      </c>
      <c r="AS172" s="122">
        <v>254</v>
      </c>
      <c r="AT172" s="122">
        <v>51</v>
      </c>
      <c r="AU172" s="122">
        <f t="shared" si="152"/>
        <v>2938</v>
      </c>
      <c r="AV172" s="122"/>
      <c r="AW172" s="122">
        <v>2938</v>
      </c>
      <c r="AX172" s="122">
        <v>1850</v>
      </c>
      <c r="AY172" s="122">
        <v>135</v>
      </c>
      <c r="AZ172" s="122">
        <v>885</v>
      </c>
      <c r="BA172" s="122">
        <v>885</v>
      </c>
      <c r="BB172" s="122">
        <v>20</v>
      </c>
      <c r="BC172" s="122">
        <v>13</v>
      </c>
      <c r="BD172" s="122">
        <v>240</v>
      </c>
      <c r="BE172" s="122">
        <v>78</v>
      </c>
      <c r="BF172" s="122">
        <v>1</v>
      </c>
      <c r="BG172" s="122">
        <v>15032</v>
      </c>
      <c r="BH172" s="122">
        <v>292</v>
      </c>
      <c r="BI172" s="122"/>
      <c r="BJ172" s="115" t="str">
        <f t="shared" si="166"/>
        <v>0</v>
      </c>
      <c r="BK172" s="115" t="str">
        <f t="shared" si="167"/>
        <v>0</v>
      </c>
      <c r="BL172" s="115" t="str">
        <f t="shared" si="168"/>
        <v>0</v>
      </c>
      <c r="BM172" s="115">
        <f t="shared" si="169"/>
        <v>1</v>
      </c>
      <c r="BN172" s="115">
        <f t="shared" si="170"/>
        <v>3324</v>
      </c>
      <c r="BO172" s="115">
        <f t="shared" si="171"/>
        <v>2363.6</v>
      </c>
      <c r="BP172" s="115" t="str">
        <f t="shared" si="172"/>
        <v>0</v>
      </c>
      <c r="BQ172" s="115" t="str">
        <f t="shared" si="173"/>
        <v>0</v>
      </c>
      <c r="BR172" s="115" t="str">
        <f t="shared" si="174"/>
        <v>0</v>
      </c>
      <c r="BS172" s="115">
        <v>1</v>
      </c>
      <c r="BT172" s="115">
        <v>1</v>
      </c>
      <c r="BU172" s="122"/>
      <c r="BV172" s="115"/>
      <c r="BW172" s="115"/>
      <c r="BX172" s="115"/>
      <c r="BY172" s="275">
        <v>1159.5</v>
      </c>
      <c r="BZ172" s="253">
        <v>274.3</v>
      </c>
      <c r="CA172" s="157">
        <v>2461</v>
      </c>
      <c r="CB172" s="275">
        <f t="shared" si="175"/>
        <v>1545</v>
      </c>
      <c r="CC172" s="209" t="str">
        <f t="shared" si="153"/>
        <v>0</v>
      </c>
      <c r="CD172" s="235">
        <f t="shared" si="154"/>
        <v>0</v>
      </c>
      <c r="CE172" s="209">
        <f>IF(CF172&gt;0,G172,"0")</f>
        <v>1</v>
      </c>
      <c r="CF172" s="235">
        <f t="shared" si="155"/>
        <v>2938</v>
      </c>
      <c r="CG172" s="235">
        <f t="shared" si="156"/>
        <v>1</v>
      </c>
      <c r="CH172" s="235">
        <f t="shared" si="157"/>
        <v>2938</v>
      </c>
      <c r="CI172" s="14">
        <v>52</v>
      </c>
      <c r="CJ172" s="284" t="str">
        <f t="shared" si="177"/>
        <v>0</v>
      </c>
      <c r="CK172" s="284" t="str">
        <f t="shared" si="178"/>
        <v>0</v>
      </c>
      <c r="CL172" s="243">
        <f t="shared" si="179"/>
        <v>9.3501805054151639</v>
      </c>
      <c r="CM172" s="216" t="str">
        <f t="shared" si="180"/>
        <v>0</v>
      </c>
      <c r="CN172" s="216" t="str">
        <f t="shared" si="181"/>
        <v>0</v>
      </c>
      <c r="CO172" s="243">
        <f t="shared" si="176"/>
        <v>8.7399117010207821</v>
      </c>
      <c r="CP172" s="305">
        <v>1</v>
      </c>
      <c r="CQ172" s="305">
        <v>0</v>
      </c>
      <c r="CR172" s="305">
        <v>0</v>
      </c>
      <c r="CS172" s="305">
        <v>0</v>
      </c>
      <c r="CT172" s="305">
        <v>1</v>
      </c>
      <c r="CU172" s="305">
        <v>0</v>
      </c>
      <c r="CV172" s="305">
        <v>0</v>
      </c>
      <c r="CW172" s="305">
        <v>0</v>
      </c>
      <c r="CX172" s="306">
        <v>0</v>
      </c>
      <c r="CY172" s="306">
        <v>78</v>
      </c>
      <c r="CZ172" s="306">
        <f t="shared" si="158"/>
        <v>67</v>
      </c>
      <c r="DA172" s="306">
        <v>11</v>
      </c>
      <c r="DB172" s="306">
        <v>47</v>
      </c>
      <c r="DC172" s="306">
        <v>40</v>
      </c>
      <c r="DD172" s="306">
        <v>38</v>
      </c>
      <c r="DE172" s="306">
        <v>40</v>
      </c>
      <c r="DF172" s="306">
        <v>41</v>
      </c>
      <c r="DG172" s="306">
        <v>37</v>
      </c>
      <c r="DH172" s="306">
        <v>41</v>
      </c>
      <c r="DI172" s="306">
        <v>5</v>
      </c>
      <c r="DJ172" s="306">
        <v>3</v>
      </c>
      <c r="DK172" s="306">
        <v>10</v>
      </c>
      <c r="DL172" s="306">
        <v>3</v>
      </c>
      <c r="DM172" s="306">
        <v>3</v>
      </c>
      <c r="DN172" s="306">
        <v>10</v>
      </c>
      <c r="DO172" s="306">
        <v>3</v>
      </c>
      <c r="DP172" s="306">
        <v>78</v>
      </c>
      <c r="DQ172" s="306">
        <v>78</v>
      </c>
    </row>
    <row r="173" spans="1:121" x14ac:dyDescent="0.2">
      <c r="A173" s="12" t="s">
        <v>142</v>
      </c>
      <c r="B173" s="169">
        <v>167</v>
      </c>
      <c r="C173" s="12" t="s">
        <v>97</v>
      </c>
      <c r="D173" s="13">
        <v>1974</v>
      </c>
      <c r="E173" s="11"/>
      <c r="F173" s="169" t="s">
        <v>21</v>
      </c>
      <c r="G173" s="35">
        <v>1</v>
      </c>
      <c r="H173" s="45">
        <v>9</v>
      </c>
      <c r="I173" s="1" t="s">
        <v>19</v>
      </c>
      <c r="J173" s="122">
        <v>18797</v>
      </c>
      <c r="K173" s="122">
        <v>874</v>
      </c>
      <c r="L173" s="122"/>
      <c r="M173" s="122">
        <v>684</v>
      </c>
      <c r="N173" s="122">
        <v>63</v>
      </c>
      <c r="O173" s="122">
        <v>145</v>
      </c>
      <c r="P173" s="122">
        <v>63</v>
      </c>
      <c r="Q173" s="122">
        <v>115</v>
      </c>
      <c r="R173" s="179">
        <v>3397</v>
      </c>
      <c r="S173" s="121">
        <v>1903.1</v>
      </c>
      <c r="T173" s="122">
        <f t="shared" si="160"/>
        <v>60</v>
      </c>
      <c r="U173" s="180">
        <f t="shared" si="161"/>
        <v>3087.7</v>
      </c>
      <c r="V173" s="180">
        <f t="shared" si="162"/>
        <v>1711.33</v>
      </c>
      <c r="W173" s="122">
        <v>3</v>
      </c>
      <c r="X173" s="180">
        <v>309.3</v>
      </c>
      <c r="Y173" s="180">
        <v>191.77</v>
      </c>
      <c r="Z173" s="122"/>
      <c r="AA173" s="180"/>
      <c r="AB173" s="180"/>
      <c r="AC173" s="180">
        <f t="shared" si="163"/>
        <v>543</v>
      </c>
      <c r="AD173" s="179">
        <f t="shared" si="164"/>
        <v>458.59999999999997</v>
      </c>
      <c r="AE173" s="271"/>
      <c r="AF173" s="179">
        <f>361+93.2+4.4</f>
        <v>458.59999999999997</v>
      </c>
      <c r="AG173" s="180">
        <v>84.4</v>
      </c>
      <c r="AH173" s="180"/>
      <c r="AI173" s="180">
        <f t="shared" si="165"/>
        <v>3940</v>
      </c>
      <c r="AJ173" s="122"/>
      <c r="AK173" s="122">
        <v>2</v>
      </c>
      <c r="AL173" s="122">
        <v>2</v>
      </c>
      <c r="AM173" s="122">
        <v>2</v>
      </c>
      <c r="AN173" s="122"/>
      <c r="AO173" s="122">
        <v>1</v>
      </c>
      <c r="AP173" s="122">
        <v>3181</v>
      </c>
      <c r="AQ173" s="315">
        <v>99.75</v>
      </c>
      <c r="AR173" s="122">
        <f>94+47+91</f>
        <v>232</v>
      </c>
      <c r="AS173" s="122">
        <v>195</v>
      </c>
      <c r="AT173" s="122">
        <v>80</v>
      </c>
      <c r="AU173" s="122">
        <f t="shared" si="152"/>
        <v>3797</v>
      </c>
      <c r="AV173" s="122">
        <v>3192</v>
      </c>
      <c r="AW173" s="122">
        <v>605</v>
      </c>
      <c r="AX173" s="122"/>
      <c r="AY173" s="122">
        <v>189</v>
      </c>
      <c r="AZ173" s="122">
        <v>684</v>
      </c>
      <c r="BA173" s="122">
        <v>684</v>
      </c>
      <c r="BB173" s="122">
        <v>10</v>
      </c>
      <c r="BC173" s="122">
        <v>11</v>
      </c>
      <c r="BD173" s="122">
        <f>248-11</f>
        <v>237</v>
      </c>
      <c r="BE173" s="122">
        <f>64-3</f>
        <v>61</v>
      </c>
      <c r="BF173" s="122"/>
      <c r="BG173" s="122">
        <v>14825</v>
      </c>
      <c r="BH173" s="122">
        <v>1134</v>
      </c>
      <c r="BI173" s="122">
        <v>294</v>
      </c>
      <c r="BJ173" s="115">
        <f t="shared" si="166"/>
        <v>1</v>
      </c>
      <c r="BK173" s="115">
        <f t="shared" si="167"/>
        <v>3397</v>
      </c>
      <c r="BL173" s="115">
        <f t="shared" si="168"/>
        <v>1903.1</v>
      </c>
      <c r="BM173" s="115" t="str">
        <f t="shared" si="169"/>
        <v>0</v>
      </c>
      <c r="BN173" s="115" t="str">
        <f t="shared" si="170"/>
        <v>0</v>
      </c>
      <c r="BO173" s="115" t="str">
        <f t="shared" si="171"/>
        <v>0</v>
      </c>
      <c r="BP173" s="115" t="str">
        <f t="shared" si="172"/>
        <v>0</v>
      </c>
      <c r="BQ173" s="115" t="str">
        <f t="shared" si="173"/>
        <v>0</v>
      </c>
      <c r="BR173" s="115" t="str">
        <f t="shared" si="174"/>
        <v>0</v>
      </c>
      <c r="BS173" s="115">
        <v>1</v>
      </c>
      <c r="BT173" s="115"/>
      <c r="BU173" s="122">
        <v>684</v>
      </c>
      <c r="BV173" s="115">
        <v>189</v>
      </c>
      <c r="BW173" s="115"/>
      <c r="BX173" s="115">
        <f>AP173</f>
        <v>3181</v>
      </c>
      <c r="BY173" s="275">
        <v>1424.78</v>
      </c>
      <c r="BZ173" s="253">
        <v>702.87</v>
      </c>
      <c r="CA173" s="157">
        <v>1632</v>
      </c>
      <c r="CB173" s="275">
        <f t="shared" si="175"/>
        <v>758</v>
      </c>
      <c r="CC173" s="209">
        <f t="shared" si="153"/>
        <v>1</v>
      </c>
      <c r="CD173" s="235">
        <f t="shared" si="154"/>
        <v>3192</v>
      </c>
      <c r="CE173" s="209"/>
      <c r="CF173" s="235">
        <f t="shared" si="155"/>
        <v>605</v>
      </c>
      <c r="CG173" s="235">
        <f t="shared" si="156"/>
        <v>1</v>
      </c>
      <c r="CH173" s="235">
        <f t="shared" si="157"/>
        <v>3797</v>
      </c>
      <c r="CI173" s="14">
        <v>67</v>
      </c>
      <c r="CJ173" s="284" t="str">
        <f t="shared" si="177"/>
        <v>0</v>
      </c>
      <c r="CK173" s="284" t="str">
        <f t="shared" si="178"/>
        <v>0</v>
      </c>
      <c r="CL173" s="243">
        <f t="shared" si="179"/>
        <v>9.1050927288784216</v>
      </c>
      <c r="CM173" s="216" t="str">
        <f t="shared" si="180"/>
        <v>0</v>
      </c>
      <c r="CN173" s="216" t="str">
        <f t="shared" si="181"/>
        <v>0</v>
      </c>
      <c r="CO173" s="243">
        <f t="shared" si="176"/>
        <v>19.48984771573604</v>
      </c>
      <c r="CP173" s="305">
        <v>1</v>
      </c>
      <c r="CQ173" s="305">
        <v>0</v>
      </c>
      <c r="CR173" s="305">
        <v>0</v>
      </c>
      <c r="CS173" s="305">
        <v>0</v>
      </c>
      <c r="CT173" s="305">
        <v>2</v>
      </c>
      <c r="CU173" s="305">
        <v>0</v>
      </c>
      <c r="CV173" s="305">
        <v>0</v>
      </c>
      <c r="CW173" s="305">
        <v>0</v>
      </c>
      <c r="CX173" s="306">
        <v>0</v>
      </c>
      <c r="CY173" s="306">
        <v>60</v>
      </c>
      <c r="CZ173" s="306">
        <f t="shared" si="158"/>
        <v>56</v>
      </c>
      <c r="DA173" s="306">
        <v>4</v>
      </c>
      <c r="DB173" s="306">
        <v>42</v>
      </c>
      <c r="DC173" s="306">
        <v>27</v>
      </c>
      <c r="DD173" s="306">
        <v>49</v>
      </c>
      <c r="DE173" s="306">
        <v>45</v>
      </c>
      <c r="DF173" s="306">
        <v>27</v>
      </c>
      <c r="DG173" s="306">
        <v>47</v>
      </c>
      <c r="DH173" s="306">
        <v>47</v>
      </c>
      <c r="DI173" s="306">
        <v>0</v>
      </c>
      <c r="DJ173" s="306">
        <v>0</v>
      </c>
      <c r="DK173" s="306">
        <v>6</v>
      </c>
      <c r="DL173" s="306">
        <v>0</v>
      </c>
      <c r="DM173" s="306">
        <v>0</v>
      </c>
      <c r="DN173" s="306">
        <v>6</v>
      </c>
      <c r="DO173" s="306">
        <v>0</v>
      </c>
      <c r="DP173" s="306">
        <v>60</v>
      </c>
      <c r="DQ173" s="306">
        <v>60</v>
      </c>
    </row>
    <row r="174" spans="1:121" x14ac:dyDescent="0.2">
      <c r="A174" s="12" t="s">
        <v>142</v>
      </c>
      <c r="B174" s="169">
        <v>168</v>
      </c>
      <c r="C174" s="12" t="s">
        <v>98</v>
      </c>
      <c r="D174" s="13">
        <v>1994</v>
      </c>
      <c r="E174" s="11"/>
      <c r="F174" s="169">
        <v>84</v>
      </c>
      <c r="G174" s="35">
        <v>1</v>
      </c>
      <c r="H174" s="45">
        <v>9</v>
      </c>
      <c r="I174" s="1" t="s">
        <v>22</v>
      </c>
      <c r="J174" s="122">
        <v>12215</v>
      </c>
      <c r="K174" s="122">
        <v>1687</v>
      </c>
      <c r="L174" s="122"/>
      <c r="M174" s="122">
        <v>356</v>
      </c>
      <c r="N174" s="122">
        <v>32</v>
      </c>
      <c r="O174" s="122">
        <v>80</v>
      </c>
      <c r="P174" s="122">
        <v>32</v>
      </c>
      <c r="Q174" s="122">
        <v>84</v>
      </c>
      <c r="R174" s="179">
        <v>2155.9</v>
      </c>
      <c r="S174" s="121">
        <v>1225</v>
      </c>
      <c r="T174" s="122">
        <f t="shared" si="160"/>
        <v>32</v>
      </c>
      <c r="U174" s="180">
        <f t="shared" si="161"/>
        <v>2155.9</v>
      </c>
      <c r="V174" s="180">
        <f t="shared" si="162"/>
        <v>1225</v>
      </c>
      <c r="W174" s="122">
        <v>0</v>
      </c>
      <c r="X174" s="180">
        <v>0</v>
      </c>
      <c r="Y174" s="180">
        <v>0</v>
      </c>
      <c r="Z174" s="122"/>
      <c r="AA174" s="180"/>
      <c r="AB174" s="180"/>
      <c r="AC174" s="180">
        <f t="shared" si="163"/>
        <v>933.7</v>
      </c>
      <c r="AD174" s="179">
        <f t="shared" si="164"/>
        <v>0</v>
      </c>
      <c r="AE174" s="271"/>
      <c r="AF174" s="179"/>
      <c r="AG174" s="179">
        <v>933.7</v>
      </c>
      <c r="AH174" s="179"/>
      <c r="AI174" s="180">
        <f t="shared" si="165"/>
        <v>3089.6000000000004</v>
      </c>
      <c r="AJ174" s="122"/>
      <c r="AK174" s="122">
        <v>1</v>
      </c>
      <c r="AL174" s="122">
        <v>1</v>
      </c>
      <c r="AM174" s="122">
        <v>1</v>
      </c>
      <c r="AN174" s="122"/>
      <c r="AO174" s="122">
        <v>1</v>
      </c>
      <c r="AP174" s="122">
        <v>1776</v>
      </c>
      <c r="AQ174" s="35"/>
      <c r="AR174" s="122">
        <f>159+80+120</f>
        <v>359</v>
      </c>
      <c r="AS174" s="122">
        <v>91</v>
      </c>
      <c r="AT174" s="122">
        <v>54</v>
      </c>
      <c r="AU174" s="122">
        <f t="shared" si="152"/>
        <v>2741</v>
      </c>
      <c r="AV174" s="122">
        <v>2479</v>
      </c>
      <c r="AW174" s="122">
        <v>262</v>
      </c>
      <c r="AX174" s="122">
        <v>1210</v>
      </c>
      <c r="AY174" s="122">
        <v>212</v>
      </c>
      <c r="AZ174" s="122">
        <v>356</v>
      </c>
      <c r="BA174" s="122">
        <v>356</v>
      </c>
      <c r="BB174" s="122">
        <v>16</v>
      </c>
      <c r="BC174" s="122">
        <v>7</v>
      </c>
      <c r="BD174" s="122">
        <v>114</v>
      </c>
      <c r="BE174" s="122">
        <v>32</v>
      </c>
      <c r="BF174" s="122">
        <v>1</v>
      </c>
      <c r="BG174" s="122">
        <v>1806</v>
      </c>
      <c r="BH174" s="122">
        <v>472</v>
      </c>
      <c r="BI174" s="122">
        <v>132</v>
      </c>
      <c r="BJ174" s="115" t="str">
        <f t="shared" si="166"/>
        <v>0</v>
      </c>
      <c r="BK174" s="115" t="str">
        <f t="shared" si="167"/>
        <v>0</v>
      </c>
      <c r="BL174" s="115" t="str">
        <f t="shared" si="168"/>
        <v>0</v>
      </c>
      <c r="BM174" s="115">
        <f t="shared" si="169"/>
        <v>1</v>
      </c>
      <c r="BN174" s="115">
        <f t="shared" si="170"/>
        <v>2155.9</v>
      </c>
      <c r="BO174" s="115">
        <f t="shared" si="171"/>
        <v>1225</v>
      </c>
      <c r="BP174" s="115" t="str">
        <f t="shared" si="172"/>
        <v>0</v>
      </c>
      <c r="BQ174" s="115" t="str">
        <f t="shared" si="173"/>
        <v>0</v>
      </c>
      <c r="BR174" s="115" t="str">
        <f t="shared" si="174"/>
        <v>0</v>
      </c>
      <c r="BS174" s="115"/>
      <c r="BT174" s="115">
        <v>1</v>
      </c>
      <c r="BU174" s="122">
        <v>356</v>
      </c>
      <c r="BV174" s="115">
        <v>94</v>
      </c>
      <c r="BW174" s="115"/>
      <c r="BX174" s="115"/>
      <c r="BY174" s="275">
        <v>679.92</v>
      </c>
      <c r="BZ174" s="253">
        <v>275.5</v>
      </c>
      <c r="CA174" s="157">
        <v>2213</v>
      </c>
      <c r="CB174" s="275">
        <f t="shared" si="175"/>
        <v>526</v>
      </c>
      <c r="CC174" s="209">
        <f t="shared" si="153"/>
        <v>1</v>
      </c>
      <c r="CD174" s="235">
        <f t="shared" si="154"/>
        <v>2479</v>
      </c>
      <c r="CE174" s="209"/>
      <c r="CF174" s="235">
        <f t="shared" si="155"/>
        <v>262</v>
      </c>
      <c r="CG174" s="235">
        <f t="shared" si="156"/>
        <v>1</v>
      </c>
      <c r="CH174" s="235">
        <f t="shared" si="157"/>
        <v>2741</v>
      </c>
      <c r="CI174" s="14">
        <v>69</v>
      </c>
      <c r="CJ174" s="284" t="str">
        <f t="shared" si="177"/>
        <v>0</v>
      </c>
      <c r="CK174" s="284" t="str">
        <f t="shared" si="178"/>
        <v>0</v>
      </c>
      <c r="CL174" s="243">
        <f t="shared" si="179"/>
        <v>0</v>
      </c>
      <c r="CM174" s="216" t="str">
        <f t="shared" si="180"/>
        <v>0</v>
      </c>
      <c r="CN174" s="216" t="str">
        <f t="shared" si="181"/>
        <v>0</v>
      </c>
      <c r="CO174" s="243">
        <f t="shared" si="176"/>
        <v>0</v>
      </c>
      <c r="CP174" s="305">
        <v>1</v>
      </c>
      <c r="CQ174" s="305">
        <v>0</v>
      </c>
      <c r="CR174" s="305">
        <v>0</v>
      </c>
      <c r="CS174" s="305">
        <v>0</v>
      </c>
      <c r="CT174" s="305">
        <v>2</v>
      </c>
      <c r="CU174" s="305">
        <v>0</v>
      </c>
      <c r="CV174" s="305">
        <v>0</v>
      </c>
      <c r="CW174" s="305">
        <v>0</v>
      </c>
      <c r="CX174" s="306">
        <v>0</v>
      </c>
      <c r="CY174" s="306">
        <v>32</v>
      </c>
      <c r="CZ174" s="306">
        <f t="shared" si="158"/>
        <v>32</v>
      </c>
      <c r="DA174" s="306">
        <v>0</v>
      </c>
      <c r="DB174" s="306">
        <v>24</v>
      </c>
      <c r="DC174" s="306">
        <v>21</v>
      </c>
      <c r="DD174" s="306">
        <v>16</v>
      </c>
      <c r="DE174" s="306">
        <v>32</v>
      </c>
      <c r="DF174" s="306">
        <v>21</v>
      </c>
      <c r="DG174" s="306">
        <v>16</v>
      </c>
      <c r="DH174" s="306">
        <v>32</v>
      </c>
      <c r="DI174" s="306">
        <v>0</v>
      </c>
      <c r="DJ174" s="306">
        <v>0</v>
      </c>
      <c r="DK174" s="306">
        <v>0</v>
      </c>
      <c r="DL174" s="306">
        <v>0</v>
      </c>
      <c r="DM174" s="306">
        <v>0</v>
      </c>
      <c r="DN174" s="306">
        <v>0</v>
      </c>
      <c r="DO174" s="306">
        <v>0</v>
      </c>
      <c r="DP174" s="306">
        <v>32</v>
      </c>
      <c r="DQ174" s="306">
        <v>32</v>
      </c>
    </row>
    <row r="175" spans="1:121" x14ac:dyDescent="0.2">
      <c r="A175" s="12" t="s">
        <v>142</v>
      </c>
      <c r="B175" s="169">
        <v>169</v>
      </c>
      <c r="C175" s="12" t="s">
        <v>99</v>
      </c>
      <c r="D175" s="13">
        <v>1985</v>
      </c>
      <c r="E175" s="11"/>
      <c r="F175" s="169" t="s">
        <v>24</v>
      </c>
      <c r="G175" s="35">
        <v>1</v>
      </c>
      <c r="H175" s="45">
        <v>9</v>
      </c>
      <c r="I175" s="1" t="s">
        <v>22</v>
      </c>
      <c r="J175" s="122">
        <v>19600</v>
      </c>
      <c r="K175" s="122">
        <v>778</v>
      </c>
      <c r="L175" s="122"/>
      <c r="M175" s="122">
        <v>718</v>
      </c>
      <c r="N175" s="122">
        <v>69</v>
      </c>
      <c r="O175" s="122">
        <v>192</v>
      </c>
      <c r="P175" s="122">
        <v>70</v>
      </c>
      <c r="Q175" s="122">
        <v>166</v>
      </c>
      <c r="R175" s="179">
        <v>4473.3999999999996</v>
      </c>
      <c r="S175" s="121">
        <v>2817</v>
      </c>
      <c r="T175" s="122">
        <f t="shared" si="160"/>
        <v>65</v>
      </c>
      <c r="U175" s="180">
        <f t="shared" si="161"/>
        <v>4224.0999999999995</v>
      </c>
      <c r="V175" s="180">
        <f t="shared" si="162"/>
        <v>2652.46</v>
      </c>
      <c r="W175" s="122">
        <v>4</v>
      </c>
      <c r="X175" s="180">
        <v>249.3</v>
      </c>
      <c r="Y175" s="180">
        <v>164.54</v>
      </c>
      <c r="Z175" s="122"/>
      <c r="AA175" s="180"/>
      <c r="AB175" s="180"/>
      <c r="AC175" s="180">
        <f t="shared" si="163"/>
        <v>83.5</v>
      </c>
      <c r="AD175" s="179">
        <f t="shared" si="164"/>
        <v>0</v>
      </c>
      <c r="AE175" s="271"/>
      <c r="AF175" s="179"/>
      <c r="AG175" s="180">
        <v>83.5</v>
      </c>
      <c r="AH175" s="180"/>
      <c r="AI175" s="180">
        <f t="shared" si="165"/>
        <v>4556.8999999999996</v>
      </c>
      <c r="AJ175" s="122"/>
      <c r="AK175" s="122">
        <v>2</v>
      </c>
      <c r="AL175" s="122">
        <v>2</v>
      </c>
      <c r="AM175" s="122">
        <v>2</v>
      </c>
      <c r="AN175" s="122"/>
      <c r="AO175" s="122">
        <v>2</v>
      </c>
      <c r="AP175" s="122">
        <v>3532</v>
      </c>
      <c r="AQ175" s="35"/>
      <c r="AR175" s="122">
        <f>56+28+91</f>
        <v>175</v>
      </c>
      <c r="AS175" s="122">
        <v>280</v>
      </c>
      <c r="AT175" s="122">
        <v>108</v>
      </c>
      <c r="AU175" s="122">
        <f t="shared" si="152"/>
        <v>4326</v>
      </c>
      <c r="AV175" s="122">
        <v>3430</v>
      </c>
      <c r="AW175" s="122">
        <v>896</v>
      </c>
      <c r="AX175" s="122">
        <v>2480</v>
      </c>
      <c r="AY175" s="122">
        <v>175</v>
      </c>
      <c r="AZ175" s="122">
        <v>718</v>
      </c>
      <c r="BA175" s="122">
        <v>718</v>
      </c>
      <c r="BB175" s="122">
        <v>36</v>
      </c>
      <c r="BC175" s="122">
        <v>48</v>
      </c>
      <c r="BD175" s="122">
        <v>268</v>
      </c>
      <c r="BE175" s="122">
        <v>70</v>
      </c>
      <c r="BF175" s="122">
        <v>1</v>
      </c>
      <c r="BG175" s="122">
        <v>11588</v>
      </c>
      <c r="BH175" s="122">
        <v>944</v>
      </c>
      <c r="BI175" s="122">
        <v>294</v>
      </c>
      <c r="BJ175" s="115" t="str">
        <f t="shared" si="166"/>
        <v>0</v>
      </c>
      <c r="BK175" s="115" t="str">
        <f t="shared" si="167"/>
        <v>0</v>
      </c>
      <c r="BL175" s="115" t="str">
        <f t="shared" si="168"/>
        <v>0</v>
      </c>
      <c r="BM175" s="115">
        <f t="shared" si="169"/>
        <v>1</v>
      </c>
      <c r="BN175" s="115">
        <f t="shared" si="170"/>
        <v>4473.3999999999996</v>
      </c>
      <c r="BO175" s="115">
        <f t="shared" si="171"/>
        <v>2817</v>
      </c>
      <c r="BP175" s="115" t="str">
        <f t="shared" si="172"/>
        <v>0</v>
      </c>
      <c r="BQ175" s="115" t="str">
        <f t="shared" si="173"/>
        <v>0</v>
      </c>
      <c r="BR175" s="115" t="str">
        <f t="shared" si="174"/>
        <v>0</v>
      </c>
      <c r="BS175" s="115"/>
      <c r="BT175" s="115"/>
      <c r="BU175" s="122">
        <v>718</v>
      </c>
      <c r="BV175" s="115">
        <v>36</v>
      </c>
      <c r="BW175" s="115"/>
      <c r="BX175" s="115"/>
      <c r="BY175" s="275">
        <v>1518.5</v>
      </c>
      <c r="BZ175" s="253">
        <v>761</v>
      </c>
      <c r="CA175" s="157">
        <v>2142</v>
      </c>
      <c r="CB175" s="275">
        <f t="shared" si="175"/>
        <v>1364</v>
      </c>
      <c r="CC175" s="209">
        <f t="shared" si="153"/>
        <v>1</v>
      </c>
      <c r="CD175" s="235">
        <f t="shared" si="154"/>
        <v>3430</v>
      </c>
      <c r="CE175" s="209"/>
      <c r="CF175" s="235">
        <f t="shared" si="155"/>
        <v>896</v>
      </c>
      <c r="CG175" s="235">
        <f t="shared" si="156"/>
        <v>1</v>
      </c>
      <c r="CH175" s="235">
        <f t="shared" si="157"/>
        <v>4326</v>
      </c>
      <c r="CI175" s="14">
        <v>61</v>
      </c>
      <c r="CJ175" s="284" t="str">
        <f t="shared" si="177"/>
        <v>0</v>
      </c>
      <c r="CK175" s="284" t="str">
        <f t="shared" si="178"/>
        <v>0</v>
      </c>
      <c r="CL175" s="243">
        <f t="shared" si="179"/>
        <v>5.5729422810390314</v>
      </c>
      <c r="CM175" s="216" t="str">
        <f t="shared" si="180"/>
        <v>0</v>
      </c>
      <c r="CN175" s="216" t="str">
        <f t="shared" si="181"/>
        <v>0</v>
      </c>
      <c r="CO175" s="243">
        <f t="shared" si="176"/>
        <v>5.4708244639996497</v>
      </c>
      <c r="CP175" s="305">
        <v>1</v>
      </c>
      <c r="CQ175" s="305">
        <v>0</v>
      </c>
      <c r="CR175" s="305">
        <v>0</v>
      </c>
      <c r="CS175" s="305">
        <v>0</v>
      </c>
      <c r="CT175" s="305">
        <v>2</v>
      </c>
      <c r="CU175" s="305">
        <v>0</v>
      </c>
      <c r="CV175" s="305">
        <v>0</v>
      </c>
      <c r="CW175" s="305">
        <v>0</v>
      </c>
      <c r="CX175" s="306">
        <v>0</v>
      </c>
      <c r="CY175" s="306">
        <v>69</v>
      </c>
      <c r="CZ175" s="306">
        <f t="shared" si="158"/>
        <v>61</v>
      </c>
      <c r="DA175" s="306">
        <v>8</v>
      </c>
      <c r="DB175" s="306">
        <v>53</v>
      </c>
      <c r="DC175" s="306">
        <v>35</v>
      </c>
      <c r="DD175" s="306">
        <v>40</v>
      </c>
      <c r="DE175" s="306">
        <v>46</v>
      </c>
      <c r="DF175" s="306">
        <v>38</v>
      </c>
      <c r="DG175" s="306">
        <v>36</v>
      </c>
      <c r="DH175" s="306">
        <v>50</v>
      </c>
      <c r="DI175" s="306">
        <v>6</v>
      </c>
      <c r="DJ175" s="306">
        <v>3</v>
      </c>
      <c r="DK175" s="306">
        <v>5</v>
      </c>
      <c r="DL175" s="306">
        <v>3</v>
      </c>
      <c r="DM175" s="306">
        <v>3</v>
      </c>
      <c r="DN175" s="306">
        <v>5</v>
      </c>
      <c r="DO175" s="306">
        <v>3</v>
      </c>
      <c r="DP175" s="306">
        <v>69</v>
      </c>
      <c r="DQ175" s="306">
        <v>69</v>
      </c>
    </row>
    <row r="176" spans="1:121" x14ac:dyDescent="0.2">
      <c r="A176" s="12" t="s">
        <v>142</v>
      </c>
      <c r="B176" s="169">
        <v>170</v>
      </c>
      <c r="C176" s="12" t="s">
        <v>164</v>
      </c>
      <c r="D176" s="13">
        <v>1970</v>
      </c>
      <c r="E176" s="11"/>
      <c r="F176" s="169" t="s">
        <v>13</v>
      </c>
      <c r="G176" s="35">
        <v>1</v>
      </c>
      <c r="H176" s="45">
        <v>5</v>
      </c>
      <c r="I176" s="1" t="s">
        <v>173</v>
      </c>
      <c r="J176" s="122">
        <f>12670+12351</f>
        <v>25021</v>
      </c>
      <c r="K176" s="122">
        <f>951+920</f>
        <v>1871</v>
      </c>
      <c r="L176" s="122">
        <f>1053+1062</f>
        <v>2115</v>
      </c>
      <c r="M176" s="122"/>
      <c r="N176" s="122">
        <v>143</v>
      </c>
      <c r="O176" s="122">
        <v>270</v>
      </c>
      <c r="P176" s="122">
        <v>144</v>
      </c>
      <c r="Q176" s="122">
        <v>252</v>
      </c>
      <c r="R176" s="179">
        <f>6027.69-0.02</f>
        <v>6027.6699999999992</v>
      </c>
      <c r="S176" s="121">
        <v>4022.87</v>
      </c>
      <c r="T176" s="122">
        <f t="shared" si="160"/>
        <v>127</v>
      </c>
      <c r="U176" s="179">
        <f t="shared" si="161"/>
        <v>5371.8199999999988</v>
      </c>
      <c r="V176" s="180">
        <f t="shared" si="162"/>
        <v>3609.68</v>
      </c>
      <c r="W176" s="122">
        <v>16</v>
      </c>
      <c r="X176" s="180">
        <v>655.85</v>
      </c>
      <c r="Y176" s="180">
        <v>413.19</v>
      </c>
      <c r="Z176" s="122"/>
      <c r="AA176" s="180"/>
      <c r="AB176" s="180"/>
      <c r="AC176" s="180">
        <f t="shared" si="163"/>
        <v>605</v>
      </c>
      <c r="AD176" s="179">
        <f t="shared" si="164"/>
        <v>478.3</v>
      </c>
      <c r="AE176" s="271"/>
      <c r="AF176" s="179">
        <f>605.01-0.01-126.7</f>
        <v>478.3</v>
      </c>
      <c r="AG176" s="180">
        <v>126.7</v>
      </c>
      <c r="AH176" s="180"/>
      <c r="AI176" s="180">
        <f t="shared" si="165"/>
        <v>6632.6699999999992</v>
      </c>
      <c r="AJ176" s="122"/>
      <c r="AK176" s="122"/>
      <c r="AL176" s="122">
        <f>4+4</f>
        <v>8</v>
      </c>
      <c r="AM176" s="122"/>
      <c r="AN176" s="122"/>
      <c r="AO176" s="122">
        <f>1+1</f>
        <v>2</v>
      </c>
      <c r="AP176" s="122">
        <f>2333+2363</f>
        <v>4696</v>
      </c>
      <c r="AQ176" s="35"/>
      <c r="AR176" s="122">
        <f>320+338</f>
        <v>658</v>
      </c>
      <c r="AS176" s="122">
        <f>228+187</f>
        <v>415</v>
      </c>
      <c r="AT176" s="122">
        <f>51+51</f>
        <v>102</v>
      </c>
      <c r="AU176" s="122">
        <f t="shared" si="152"/>
        <v>5876</v>
      </c>
      <c r="AV176" s="122"/>
      <c r="AW176" s="122">
        <f>2938+2938</f>
        <v>5876</v>
      </c>
      <c r="AX176" s="122">
        <f>0+1850</f>
        <v>1850</v>
      </c>
      <c r="AY176" s="122">
        <f>120+148</f>
        <v>268</v>
      </c>
      <c r="AZ176" s="122">
        <f>886+892</f>
        <v>1778</v>
      </c>
      <c r="BA176" s="122">
        <f>886+892</f>
        <v>1778</v>
      </c>
      <c r="BB176" s="122">
        <f>20+20</f>
        <v>40</v>
      </c>
      <c r="BC176" s="122">
        <f>13+13</f>
        <v>26</v>
      </c>
      <c r="BD176" s="122">
        <f>176+238</f>
        <v>414</v>
      </c>
      <c r="BE176" s="122">
        <f>64+79</f>
        <v>143</v>
      </c>
      <c r="BF176" s="122">
        <f>4+1</f>
        <v>5</v>
      </c>
      <c r="BG176" s="122">
        <f>14872+11274</f>
        <v>26146</v>
      </c>
      <c r="BH176" s="122">
        <f>492+292</f>
        <v>784</v>
      </c>
      <c r="BI176" s="122"/>
      <c r="BJ176" s="115" t="str">
        <f t="shared" si="166"/>
        <v>0</v>
      </c>
      <c r="BK176" s="115" t="str">
        <f t="shared" si="167"/>
        <v>0</v>
      </c>
      <c r="BL176" s="115" t="str">
        <f t="shared" si="168"/>
        <v>0</v>
      </c>
      <c r="BM176" s="115" t="str">
        <f t="shared" si="169"/>
        <v>0</v>
      </c>
      <c r="BN176" s="115" t="str">
        <f t="shared" si="170"/>
        <v>0</v>
      </c>
      <c r="BO176" s="115" t="str">
        <f t="shared" si="171"/>
        <v>0</v>
      </c>
      <c r="BP176" s="115">
        <f t="shared" si="172"/>
        <v>1</v>
      </c>
      <c r="BQ176" s="115">
        <f t="shared" si="173"/>
        <v>6027.6699999999992</v>
      </c>
      <c r="BR176" s="115">
        <f t="shared" si="174"/>
        <v>4022.87</v>
      </c>
      <c r="BS176" s="115"/>
      <c r="BT176" s="115">
        <f>2+2</f>
        <v>4</v>
      </c>
      <c r="BU176" s="122">
        <f>886+892</f>
        <v>1778</v>
      </c>
      <c r="BV176" s="36">
        <f>95+95</f>
        <v>190</v>
      </c>
      <c r="BW176" s="115"/>
      <c r="BX176" s="115">
        <f>AP176</f>
        <v>4696</v>
      </c>
      <c r="BY176" s="275">
        <v>2344.94</v>
      </c>
      <c r="BZ176" s="253">
        <v>536.41999999999996</v>
      </c>
      <c r="CA176" s="157">
        <f>2375+2704</f>
        <v>5079</v>
      </c>
      <c r="CB176" s="275">
        <f t="shared" si="175"/>
        <v>3208</v>
      </c>
      <c r="CC176" s="209" t="str">
        <f t="shared" si="153"/>
        <v>0</v>
      </c>
      <c r="CD176" s="235">
        <f t="shared" si="154"/>
        <v>0</v>
      </c>
      <c r="CE176" s="209">
        <f>IF(CF176&gt;0,G176,"0")</f>
        <v>1</v>
      </c>
      <c r="CF176" s="235">
        <f t="shared" si="155"/>
        <v>5876</v>
      </c>
      <c r="CG176" s="235">
        <f t="shared" si="156"/>
        <v>1</v>
      </c>
      <c r="CH176" s="235">
        <f t="shared" si="157"/>
        <v>5876</v>
      </c>
      <c r="CI176" s="156">
        <v>45</v>
      </c>
      <c r="CJ176" s="284" t="str">
        <f t="shared" si="177"/>
        <v>0</v>
      </c>
      <c r="CK176" s="284" t="str">
        <f t="shared" si="178"/>
        <v>0</v>
      </c>
      <c r="CL176" s="243">
        <f t="shared" si="179"/>
        <v>10.880655377616891</v>
      </c>
      <c r="CM176" s="216" t="str">
        <f t="shared" si="180"/>
        <v>0</v>
      </c>
      <c r="CN176" s="216" t="str">
        <f t="shared" si="181"/>
        <v>0</v>
      </c>
      <c r="CO176" s="243">
        <f t="shared" si="176"/>
        <v>17.099448638331175</v>
      </c>
      <c r="CP176" s="305">
        <v>1</v>
      </c>
      <c r="CQ176" s="305">
        <v>0</v>
      </c>
      <c r="CR176" s="305">
        <v>0</v>
      </c>
      <c r="CS176" s="305">
        <v>0</v>
      </c>
      <c r="CT176" s="305">
        <v>2</v>
      </c>
      <c r="CU176" s="305">
        <v>0</v>
      </c>
      <c r="CV176" s="305">
        <v>0</v>
      </c>
      <c r="CW176" s="305">
        <v>0</v>
      </c>
      <c r="CX176" s="306">
        <v>0</v>
      </c>
      <c r="CY176" s="306">
        <v>142</v>
      </c>
      <c r="CZ176" s="306">
        <f t="shared" si="158"/>
        <v>127</v>
      </c>
      <c r="DA176" s="306">
        <v>15</v>
      </c>
      <c r="DB176" s="306">
        <v>95</v>
      </c>
      <c r="DC176" s="306">
        <v>66</v>
      </c>
      <c r="DD176" s="306">
        <v>77</v>
      </c>
      <c r="DE176" s="306">
        <v>66</v>
      </c>
      <c r="DF176" s="306">
        <v>68</v>
      </c>
      <c r="DG176" s="306">
        <v>75</v>
      </c>
      <c r="DH176" s="306">
        <v>68</v>
      </c>
      <c r="DI176" s="306">
        <v>7</v>
      </c>
      <c r="DJ176" s="306">
        <v>7</v>
      </c>
      <c r="DK176" s="306">
        <v>4</v>
      </c>
      <c r="DL176" s="306">
        <v>7</v>
      </c>
      <c r="DM176" s="306">
        <v>7</v>
      </c>
      <c r="DN176" s="306">
        <v>4</v>
      </c>
      <c r="DO176" s="306">
        <v>7</v>
      </c>
      <c r="DP176" s="306">
        <v>142</v>
      </c>
      <c r="DQ176" s="306">
        <v>142</v>
      </c>
    </row>
    <row r="177" spans="1:126" x14ac:dyDescent="0.2">
      <c r="A177" s="12" t="s">
        <v>142</v>
      </c>
      <c r="B177" s="169">
        <v>171</v>
      </c>
      <c r="C177" s="12" t="s">
        <v>100</v>
      </c>
      <c r="D177" s="13">
        <v>1974</v>
      </c>
      <c r="E177" s="11"/>
      <c r="F177" s="169" t="s">
        <v>21</v>
      </c>
      <c r="G177" s="35">
        <v>1</v>
      </c>
      <c r="H177" s="45">
        <v>9</v>
      </c>
      <c r="I177" s="1" t="s">
        <v>19</v>
      </c>
      <c r="J177" s="122">
        <v>18358</v>
      </c>
      <c r="K177" s="122">
        <v>705</v>
      </c>
      <c r="L177" s="122"/>
      <c r="M177" s="122">
        <v>670</v>
      </c>
      <c r="N177" s="122">
        <v>65</v>
      </c>
      <c r="O177" s="122">
        <v>150</v>
      </c>
      <c r="P177" s="122">
        <v>65</v>
      </c>
      <c r="Q177" s="122">
        <v>113</v>
      </c>
      <c r="R177" s="179">
        <f>3441.22+1.88</f>
        <v>3443.1</v>
      </c>
      <c r="S177" s="121">
        <v>2030.44</v>
      </c>
      <c r="T177" s="122">
        <f t="shared" si="160"/>
        <v>62</v>
      </c>
      <c r="U177" s="180">
        <f t="shared" si="161"/>
        <v>3299.4</v>
      </c>
      <c r="V177" s="180">
        <f t="shared" si="162"/>
        <v>1947.0900000000001</v>
      </c>
      <c r="W177" s="122">
        <v>3</v>
      </c>
      <c r="X177" s="180">
        <v>143.69999999999999</v>
      </c>
      <c r="Y177" s="180">
        <v>83.35</v>
      </c>
      <c r="Z177" s="122"/>
      <c r="AA177" s="180"/>
      <c r="AB177" s="180"/>
      <c r="AC177" s="180">
        <f t="shared" si="163"/>
        <v>242.3</v>
      </c>
      <c r="AD177" s="179">
        <f t="shared" si="164"/>
        <v>195.8</v>
      </c>
      <c r="AE177" s="271"/>
      <c r="AF177" s="179">
        <v>195.8</v>
      </c>
      <c r="AG177" s="180">
        <v>46.5</v>
      </c>
      <c r="AH177" s="180"/>
      <c r="AI177" s="180">
        <f t="shared" si="165"/>
        <v>3685.4</v>
      </c>
      <c r="AJ177" s="122"/>
      <c r="AK177" s="122">
        <v>2</v>
      </c>
      <c r="AL177" s="122">
        <v>2</v>
      </c>
      <c r="AM177" s="122">
        <v>2</v>
      </c>
      <c r="AN177" s="122"/>
      <c r="AO177" s="122">
        <v>1</v>
      </c>
      <c r="AP177" s="122">
        <v>3178</v>
      </c>
      <c r="AQ177" s="35"/>
      <c r="AR177" s="122">
        <f>64+32+91</f>
        <v>187</v>
      </c>
      <c r="AS177" s="122">
        <v>215</v>
      </c>
      <c r="AT177" s="122">
        <v>80</v>
      </c>
      <c r="AU177" s="122">
        <f t="shared" si="152"/>
        <v>4437</v>
      </c>
      <c r="AV177" s="122">
        <v>3555</v>
      </c>
      <c r="AW177" s="122">
        <v>882</v>
      </c>
      <c r="AX177" s="122"/>
      <c r="AY177" s="122">
        <v>151</v>
      </c>
      <c r="AZ177" s="122">
        <v>670</v>
      </c>
      <c r="BA177" s="122">
        <v>670</v>
      </c>
      <c r="BB177" s="122">
        <v>36</v>
      </c>
      <c r="BC177" s="122">
        <v>10</v>
      </c>
      <c r="BD177" s="122">
        <v>257</v>
      </c>
      <c r="BE177" s="122">
        <v>66</v>
      </c>
      <c r="BF177" s="122">
        <v>1</v>
      </c>
      <c r="BG177" s="122">
        <v>14825</v>
      </c>
      <c r="BH177" s="122">
        <v>1134</v>
      </c>
      <c r="BI177" s="122">
        <v>294</v>
      </c>
      <c r="BJ177" s="115">
        <f t="shared" si="166"/>
        <v>1</v>
      </c>
      <c r="BK177" s="115">
        <f t="shared" si="167"/>
        <v>3443.1</v>
      </c>
      <c r="BL177" s="115">
        <f t="shared" si="168"/>
        <v>2030.44</v>
      </c>
      <c r="BM177" s="115" t="str">
        <f t="shared" si="169"/>
        <v>0</v>
      </c>
      <c r="BN177" s="115" t="str">
        <f t="shared" si="170"/>
        <v>0</v>
      </c>
      <c r="BO177" s="115" t="str">
        <f t="shared" si="171"/>
        <v>0</v>
      </c>
      <c r="BP177" s="115" t="str">
        <f t="shared" si="172"/>
        <v>0</v>
      </c>
      <c r="BQ177" s="115" t="str">
        <f t="shared" si="173"/>
        <v>0</v>
      </c>
      <c r="BR177" s="115" t="str">
        <f t="shared" si="174"/>
        <v>0</v>
      </c>
      <c r="BS177" s="115"/>
      <c r="BT177" s="115">
        <v>1</v>
      </c>
      <c r="BU177" s="122">
        <v>670</v>
      </c>
      <c r="BV177" s="115">
        <v>189</v>
      </c>
      <c r="BW177" s="115"/>
      <c r="BX177" s="115">
        <f>AP177</f>
        <v>3178</v>
      </c>
      <c r="BY177" s="275">
        <v>1519.6</v>
      </c>
      <c r="BZ177" s="253">
        <v>769.9</v>
      </c>
      <c r="CA177" s="157">
        <v>1648</v>
      </c>
      <c r="CB177" s="275">
        <f t="shared" si="175"/>
        <v>943</v>
      </c>
      <c r="CC177" s="209">
        <f t="shared" si="153"/>
        <v>1</v>
      </c>
      <c r="CD177" s="235">
        <f t="shared" si="154"/>
        <v>3555</v>
      </c>
      <c r="CE177" s="209"/>
      <c r="CF177" s="235">
        <f t="shared" si="155"/>
        <v>882</v>
      </c>
      <c r="CG177" s="235">
        <f t="shared" si="156"/>
        <v>1</v>
      </c>
      <c r="CH177" s="235">
        <f t="shared" si="157"/>
        <v>4437</v>
      </c>
      <c r="CI177" s="14">
        <v>66</v>
      </c>
      <c r="CJ177" s="284" t="str">
        <f t="shared" si="177"/>
        <v>0</v>
      </c>
      <c r="CK177" s="284" t="str">
        <f t="shared" si="178"/>
        <v>0</v>
      </c>
      <c r="CL177" s="243">
        <f t="shared" si="179"/>
        <v>4.173564520345038</v>
      </c>
      <c r="CM177" s="216" t="str">
        <f t="shared" si="180"/>
        <v>0</v>
      </c>
      <c r="CN177" s="216" t="str">
        <f t="shared" si="181"/>
        <v>0</v>
      </c>
      <c r="CO177" s="243">
        <f t="shared" si="176"/>
        <v>9.2120258316600641</v>
      </c>
      <c r="CP177" s="305">
        <v>1</v>
      </c>
      <c r="CQ177" s="305">
        <v>0</v>
      </c>
      <c r="CR177" s="305">
        <v>0</v>
      </c>
      <c r="CS177" s="305">
        <v>0</v>
      </c>
      <c r="CT177" s="305">
        <v>2</v>
      </c>
      <c r="CU177" s="305">
        <v>0</v>
      </c>
      <c r="CV177" s="305">
        <v>0</v>
      </c>
      <c r="CW177" s="305">
        <v>0</v>
      </c>
      <c r="CX177" s="306">
        <v>0</v>
      </c>
      <c r="CY177" s="306">
        <v>66</v>
      </c>
      <c r="CZ177" s="306">
        <f t="shared" si="158"/>
        <v>61</v>
      </c>
      <c r="DA177" s="306">
        <v>5</v>
      </c>
      <c r="DB177" s="306">
        <v>42</v>
      </c>
      <c r="DC177" s="306">
        <v>28</v>
      </c>
      <c r="DD177" s="306">
        <v>54</v>
      </c>
      <c r="DE177" s="306">
        <v>44</v>
      </c>
      <c r="DF177" s="306">
        <v>28</v>
      </c>
      <c r="DG177" s="306">
        <v>54</v>
      </c>
      <c r="DH177" s="306">
        <v>44</v>
      </c>
      <c r="DI177" s="306">
        <v>3</v>
      </c>
      <c r="DJ177" s="306">
        <v>2</v>
      </c>
      <c r="DK177" s="306">
        <v>7</v>
      </c>
      <c r="DL177" s="306">
        <v>2</v>
      </c>
      <c r="DM177" s="306">
        <v>2</v>
      </c>
      <c r="DN177" s="306">
        <v>7</v>
      </c>
      <c r="DO177" s="306">
        <v>2</v>
      </c>
      <c r="DP177" s="306">
        <v>66</v>
      </c>
      <c r="DQ177" s="306">
        <v>66</v>
      </c>
    </row>
    <row r="178" spans="1:126" x14ac:dyDescent="0.2">
      <c r="A178" s="12" t="s">
        <v>142</v>
      </c>
      <c r="B178" s="169">
        <v>172</v>
      </c>
      <c r="C178" s="12" t="s">
        <v>101</v>
      </c>
      <c r="D178" s="13">
        <v>1973</v>
      </c>
      <c r="E178" s="11"/>
      <c r="F178" s="169" t="s">
        <v>21</v>
      </c>
      <c r="G178" s="35">
        <v>1</v>
      </c>
      <c r="H178" s="45">
        <v>9</v>
      </c>
      <c r="I178" s="1" t="s">
        <v>19</v>
      </c>
      <c r="J178" s="122">
        <v>38406</v>
      </c>
      <c r="K178" s="122">
        <v>1466</v>
      </c>
      <c r="L178" s="122">
        <v>1650</v>
      </c>
      <c r="M178" s="122"/>
      <c r="N178" s="122">
        <v>127</v>
      </c>
      <c r="O178" s="122">
        <v>320</v>
      </c>
      <c r="P178" s="122">
        <v>127</v>
      </c>
      <c r="Q178" s="122">
        <v>290</v>
      </c>
      <c r="R178" s="179">
        <v>6902.01</v>
      </c>
      <c r="S178" s="121">
        <v>4375.37</v>
      </c>
      <c r="T178" s="122">
        <f t="shared" si="160"/>
        <v>120</v>
      </c>
      <c r="U178" s="180">
        <f t="shared" si="161"/>
        <v>6500.21</v>
      </c>
      <c r="V178" s="180">
        <f t="shared" si="162"/>
        <v>4110.18</v>
      </c>
      <c r="W178" s="122">
        <v>7</v>
      </c>
      <c r="X178" s="180">
        <v>401.8</v>
      </c>
      <c r="Y178" s="180">
        <v>265.19</v>
      </c>
      <c r="Z178" s="122"/>
      <c r="AA178" s="180"/>
      <c r="AB178" s="180"/>
      <c r="AC178" s="180">
        <f t="shared" si="163"/>
        <v>1071.5999999999999</v>
      </c>
      <c r="AD178" s="179">
        <f t="shared" si="164"/>
        <v>0</v>
      </c>
      <c r="AE178" s="271"/>
      <c r="AF178" s="179"/>
      <c r="AG178" s="180">
        <v>1071.5999999999999</v>
      </c>
      <c r="AH178" s="180"/>
      <c r="AI178" s="180">
        <f t="shared" si="165"/>
        <v>7973.6100000000006</v>
      </c>
      <c r="AJ178" s="122"/>
      <c r="AK178" s="122">
        <v>4</v>
      </c>
      <c r="AL178" s="122">
        <v>4</v>
      </c>
      <c r="AM178" s="122">
        <v>4</v>
      </c>
      <c r="AN178" s="122">
        <v>1</v>
      </c>
      <c r="AO178" s="122">
        <v>1</v>
      </c>
      <c r="AP178" s="122">
        <v>5993</v>
      </c>
      <c r="AQ178" s="35"/>
      <c r="AR178" s="122">
        <f>252+126+196</f>
        <v>574</v>
      </c>
      <c r="AS178" s="122">
        <v>262</v>
      </c>
      <c r="AT178" s="122">
        <v>160</v>
      </c>
      <c r="AU178" s="122">
        <f t="shared" si="152"/>
        <v>7452</v>
      </c>
      <c r="AV178" s="122">
        <v>6664</v>
      </c>
      <c r="AW178" s="122">
        <v>788</v>
      </c>
      <c r="AX178" s="122"/>
      <c r="AY178" s="122">
        <v>299</v>
      </c>
      <c r="AZ178" s="122">
        <v>1397</v>
      </c>
      <c r="BA178" s="122">
        <v>1397</v>
      </c>
      <c r="BB178" s="122">
        <v>20</v>
      </c>
      <c r="BC178" s="122">
        <v>17</v>
      </c>
      <c r="BD178" s="122">
        <v>448</v>
      </c>
      <c r="BE178" s="122">
        <v>128</v>
      </c>
      <c r="BF178" s="122">
        <v>1</v>
      </c>
      <c r="BG178" s="122">
        <v>29650</v>
      </c>
      <c r="BH178" s="122">
        <v>2088</v>
      </c>
      <c r="BI178" s="122">
        <v>648</v>
      </c>
      <c r="BJ178" s="115">
        <f t="shared" si="166"/>
        <v>1</v>
      </c>
      <c r="BK178" s="115">
        <f t="shared" si="167"/>
        <v>6902.01</v>
      </c>
      <c r="BL178" s="115">
        <f t="shared" si="168"/>
        <v>4375.37</v>
      </c>
      <c r="BM178" s="115" t="str">
        <f t="shared" si="169"/>
        <v>0</v>
      </c>
      <c r="BN178" s="115" t="str">
        <f t="shared" si="170"/>
        <v>0</v>
      </c>
      <c r="BO178" s="115" t="str">
        <f t="shared" si="171"/>
        <v>0</v>
      </c>
      <c r="BP178" s="115" t="str">
        <f t="shared" si="172"/>
        <v>0</v>
      </c>
      <c r="BQ178" s="115" t="str">
        <f t="shared" si="173"/>
        <v>0</v>
      </c>
      <c r="BR178" s="115" t="str">
        <f t="shared" si="174"/>
        <v>0</v>
      </c>
      <c r="BS178" s="115"/>
      <c r="BT178" s="115">
        <v>1</v>
      </c>
      <c r="BU178" s="122">
        <v>1397</v>
      </c>
      <c r="BV178" s="115">
        <v>370</v>
      </c>
      <c r="BW178" s="115"/>
      <c r="BX178" s="115">
        <f>AP178</f>
        <v>5993</v>
      </c>
      <c r="BY178" s="275">
        <v>2643.32</v>
      </c>
      <c r="BZ178" s="253">
        <v>1255.94</v>
      </c>
      <c r="CA178" s="157">
        <v>3261</v>
      </c>
      <c r="CB178" s="275">
        <f t="shared" si="175"/>
        <v>1795</v>
      </c>
      <c r="CC178" s="209">
        <f t="shared" si="153"/>
        <v>1</v>
      </c>
      <c r="CD178" s="235">
        <f t="shared" si="154"/>
        <v>6664</v>
      </c>
      <c r="CE178" s="209"/>
      <c r="CF178" s="235">
        <f t="shared" si="155"/>
        <v>788</v>
      </c>
      <c r="CG178" s="235">
        <f t="shared" si="156"/>
        <v>1</v>
      </c>
      <c r="CH178" s="235">
        <f t="shared" si="157"/>
        <v>7452</v>
      </c>
      <c r="CI178" s="14">
        <v>68</v>
      </c>
      <c r="CJ178" s="284" t="str">
        <f t="shared" si="177"/>
        <v>0</v>
      </c>
      <c r="CK178" s="284" t="str">
        <f t="shared" si="178"/>
        <v>0</v>
      </c>
      <c r="CL178" s="243">
        <f t="shared" si="179"/>
        <v>5.8214925796977983</v>
      </c>
      <c r="CM178" s="216" t="str">
        <f t="shared" si="180"/>
        <v>0</v>
      </c>
      <c r="CN178" s="216" t="str">
        <f t="shared" si="181"/>
        <v>0</v>
      </c>
      <c r="CO178" s="243">
        <f t="shared" si="176"/>
        <v>5.0391228063574722</v>
      </c>
      <c r="CP178" s="305">
        <v>1</v>
      </c>
      <c r="CQ178" s="305">
        <v>0</v>
      </c>
      <c r="CR178" s="305">
        <v>0</v>
      </c>
      <c r="CS178" s="305">
        <v>0</v>
      </c>
      <c r="CT178" s="305">
        <v>2</v>
      </c>
      <c r="CU178" s="305">
        <v>0</v>
      </c>
      <c r="CV178" s="305">
        <v>0</v>
      </c>
      <c r="CW178" s="305">
        <v>0</v>
      </c>
      <c r="CX178" s="306">
        <v>0</v>
      </c>
      <c r="CY178" s="306">
        <v>128</v>
      </c>
      <c r="CZ178" s="306">
        <f t="shared" si="158"/>
        <v>120</v>
      </c>
      <c r="DA178" s="306">
        <v>8</v>
      </c>
      <c r="DB178" s="306">
        <v>95</v>
      </c>
      <c r="DC178" s="306">
        <v>77</v>
      </c>
      <c r="DD178" s="306">
        <v>51</v>
      </c>
      <c r="DE178" s="306">
        <v>77</v>
      </c>
      <c r="DF178" s="306">
        <v>77</v>
      </c>
      <c r="DG178" s="306">
        <v>51</v>
      </c>
      <c r="DH178" s="306">
        <v>77</v>
      </c>
      <c r="DI178" s="306">
        <v>6</v>
      </c>
      <c r="DJ178" s="306">
        <v>3</v>
      </c>
      <c r="DK178" s="306">
        <v>2</v>
      </c>
      <c r="DL178" s="306">
        <v>3</v>
      </c>
      <c r="DM178" s="306">
        <v>3</v>
      </c>
      <c r="DN178" s="306">
        <v>2</v>
      </c>
      <c r="DO178" s="306">
        <v>3</v>
      </c>
      <c r="DP178" s="306">
        <v>128</v>
      </c>
      <c r="DQ178" s="306">
        <v>128</v>
      </c>
    </row>
    <row r="179" spans="1:126" x14ac:dyDescent="0.2">
      <c r="A179" s="12" t="s">
        <v>142</v>
      </c>
      <c r="B179" s="169">
        <v>173</v>
      </c>
      <c r="C179" s="12" t="s">
        <v>165</v>
      </c>
      <c r="D179" s="13">
        <v>1970</v>
      </c>
      <c r="E179" s="11"/>
      <c r="F179" s="169" t="s">
        <v>13</v>
      </c>
      <c r="G179" s="35">
        <v>1</v>
      </c>
      <c r="H179" s="45">
        <v>5</v>
      </c>
      <c r="I179" s="1" t="s">
        <v>173</v>
      </c>
      <c r="J179" s="122">
        <f>12756+12318</f>
        <v>25074</v>
      </c>
      <c r="K179" s="122">
        <f>947+917</f>
        <v>1864</v>
      </c>
      <c r="L179" s="122">
        <f>1057+1062</f>
        <v>2119</v>
      </c>
      <c r="M179" s="122"/>
      <c r="N179" s="122">
        <v>142</v>
      </c>
      <c r="O179" s="122">
        <v>269</v>
      </c>
      <c r="P179" s="122">
        <v>142</v>
      </c>
      <c r="Q179" s="122">
        <v>264</v>
      </c>
      <c r="R179" s="179">
        <f>5994.61+0.22</f>
        <v>5994.83</v>
      </c>
      <c r="S179" s="121">
        <v>4113</v>
      </c>
      <c r="T179" s="122">
        <f t="shared" si="160"/>
        <v>126</v>
      </c>
      <c r="U179" s="179">
        <f t="shared" si="161"/>
        <v>5331.07</v>
      </c>
      <c r="V179" s="180">
        <f t="shared" si="162"/>
        <v>3661.64</v>
      </c>
      <c r="W179" s="122">
        <v>16</v>
      </c>
      <c r="X179" s="180">
        <v>663.76</v>
      </c>
      <c r="Y179" s="180">
        <v>451.36</v>
      </c>
      <c r="Z179" s="122"/>
      <c r="AA179" s="180"/>
      <c r="AB179" s="180"/>
      <c r="AC179" s="180">
        <f t="shared" si="163"/>
        <v>680.4</v>
      </c>
      <c r="AD179" s="179">
        <f t="shared" si="164"/>
        <v>360.4</v>
      </c>
      <c r="AE179" s="271"/>
      <c r="AF179" s="180">
        <v>360.4</v>
      </c>
      <c r="AG179" s="180">
        <v>320</v>
      </c>
      <c r="AH179" s="180"/>
      <c r="AI179" s="180">
        <f t="shared" si="165"/>
        <v>6675.23</v>
      </c>
      <c r="AJ179" s="122"/>
      <c r="AK179" s="122"/>
      <c r="AL179" s="122">
        <f>4+4</f>
        <v>8</v>
      </c>
      <c r="AM179" s="122"/>
      <c r="AN179" s="122">
        <v>1</v>
      </c>
      <c r="AO179" s="122">
        <f>1+1</f>
        <v>2</v>
      </c>
      <c r="AP179" s="122">
        <f>2341+2367</f>
        <v>4708</v>
      </c>
      <c r="AQ179" s="35"/>
      <c r="AR179" s="122">
        <f>320+338</f>
        <v>658</v>
      </c>
      <c r="AS179" s="122">
        <f>245+256</f>
        <v>501</v>
      </c>
      <c r="AT179" s="122">
        <f>51+51</f>
        <v>102</v>
      </c>
      <c r="AU179" s="122">
        <f t="shared" si="152"/>
        <v>5861</v>
      </c>
      <c r="AV179" s="122"/>
      <c r="AW179" s="122">
        <f>2938+2923</f>
        <v>5861</v>
      </c>
      <c r="AX179" s="122">
        <f>0+1850</f>
        <v>1850</v>
      </c>
      <c r="AY179" s="122">
        <f>133+139</f>
        <v>272</v>
      </c>
      <c r="AZ179" s="122">
        <f>889+889</f>
        <v>1778</v>
      </c>
      <c r="BA179" s="122">
        <f>889+889</f>
        <v>1778</v>
      </c>
      <c r="BB179" s="122">
        <f>20+20</f>
        <v>40</v>
      </c>
      <c r="BC179" s="122">
        <f>13+13</f>
        <v>26</v>
      </c>
      <c r="BD179" s="122">
        <f>176+238</f>
        <v>414</v>
      </c>
      <c r="BE179" s="122">
        <f>64+79</f>
        <v>143</v>
      </c>
      <c r="BF179" s="122">
        <f>4+1</f>
        <v>5</v>
      </c>
      <c r="BG179" s="122">
        <f>14872+15032</f>
        <v>29904</v>
      </c>
      <c r="BH179" s="122">
        <f>492+292</f>
        <v>784</v>
      </c>
      <c r="BI179" s="122"/>
      <c r="BJ179" s="115" t="str">
        <f t="shared" si="166"/>
        <v>0</v>
      </c>
      <c r="BK179" s="115" t="str">
        <f t="shared" si="167"/>
        <v>0</v>
      </c>
      <c r="BL179" s="115" t="str">
        <f t="shared" si="168"/>
        <v>0</v>
      </c>
      <c r="BM179" s="115" t="str">
        <f t="shared" si="169"/>
        <v>0</v>
      </c>
      <c r="BN179" s="115" t="str">
        <f t="shared" si="170"/>
        <v>0</v>
      </c>
      <c r="BO179" s="115" t="str">
        <f t="shared" si="171"/>
        <v>0</v>
      </c>
      <c r="BP179" s="115">
        <f t="shared" si="172"/>
        <v>1</v>
      </c>
      <c r="BQ179" s="115">
        <f t="shared" si="173"/>
        <v>5994.83</v>
      </c>
      <c r="BR179" s="115">
        <f t="shared" si="174"/>
        <v>4113</v>
      </c>
      <c r="BS179" s="115">
        <v>2</v>
      </c>
      <c r="BT179" s="115">
        <f>0+2</f>
        <v>2</v>
      </c>
      <c r="BU179" s="122">
        <f>889+889</f>
        <v>1778</v>
      </c>
      <c r="BV179" s="36">
        <f>96+96</f>
        <v>192</v>
      </c>
      <c r="BW179" s="115"/>
      <c r="BX179" s="115">
        <f>AP179</f>
        <v>4708</v>
      </c>
      <c r="BY179" s="275">
        <v>2350.0100000000002</v>
      </c>
      <c r="BZ179" s="253">
        <v>517.61</v>
      </c>
      <c r="CA179" s="157">
        <f>1960+2634</f>
        <v>4594</v>
      </c>
      <c r="CB179" s="275">
        <f t="shared" si="175"/>
        <v>2730</v>
      </c>
      <c r="CC179" s="209" t="str">
        <f t="shared" si="153"/>
        <v>0</v>
      </c>
      <c r="CD179" s="235">
        <f t="shared" si="154"/>
        <v>0</v>
      </c>
      <c r="CE179" s="209">
        <f>IF(CF179&gt;0,G179,"0")</f>
        <v>1</v>
      </c>
      <c r="CF179" s="235">
        <f t="shared" si="155"/>
        <v>5861</v>
      </c>
      <c r="CG179" s="235">
        <f t="shared" si="156"/>
        <v>1</v>
      </c>
      <c r="CH179" s="235">
        <f t="shared" si="157"/>
        <v>5861</v>
      </c>
      <c r="CI179" s="156">
        <v>48</v>
      </c>
      <c r="CJ179" s="284" t="str">
        <f t="shared" si="177"/>
        <v>0</v>
      </c>
      <c r="CK179" s="284" t="str">
        <f t="shared" si="178"/>
        <v>0</v>
      </c>
      <c r="CL179" s="243">
        <f t="shared" si="179"/>
        <v>11.07220721855332</v>
      </c>
      <c r="CM179" s="216" t="str">
        <f t="shared" si="180"/>
        <v>0</v>
      </c>
      <c r="CN179" s="216" t="str">
        <f t="shared" si="181"/>
        <v>0</v>
      </c>
      <c r="CO179" s="243">
        <f t="shared" si="176"/>
        <v>15.342692311725587</v>
      </c>
      <c r="CP179" s="305">
        <v>1</v>
      </c>
      <c r="CQ179" s="305">
        <v>0</v>
      </c>
      <c r="CR179" s="305">
        <v>0</v>
      </c>
      <c r="CS179" s="305">
        <v>0</v>
      </c>
      <c r="CT179" s="305">
        <v>2</v>
      </c>
      <c r="CU179" s="305">
        <v>0</v>
      </c>
      <c r="CV179" s="305">
        <v>0</v>
      </c>
      <c r="CW179" s="305">
        <v>0</v>
      </c>
      <c r="CX179" s="306">
        <v>0</v>
      </c>
      <c r="CY179" s="306">
        <v>143</v>
      </c>
      <c r="CZ179" s="306">
        <f t="shared" si="158"/>
        <v>125</v>
      </c>
      <c r="DA179" s="306">
        <v>18</v>
      </c>
      <c r="DB179" s="306">
        <v>105</v>
      </c>
      <c r="DC179" s="306">
        <v>63</v>
      </c>
      <c r="DD179" s="306">
        <v>79</v>
      </c>
      <c r="DE179" s="306">
        <v>63</v>
      </c>
      <c r="DF179" s="306">
        <v>67</v>
      </c>
      <c r="DG179" s="306">
        <v>75</v>
      </c>
      <c r="DH179" s="306">
        <v>67</v>
      </c>
      <c r="DI179" s="306">
        <v>12</v>
      </c>
      <c r="DJ179" s="306">
        <v>5</v>
      </c>
      <c r="DK179" s="306">
        <v>9</v>
      </c>
      <c r="DL179" s="306">
        <v>5</v>
      </c>
      <c r="DM179" s="306">
        <v>5</v>
      </c>
      <c r="DN179" s="306">
        <v>9</v>
      </c>
      <c r="DO179" s="306">
        <v>5</v>
      </c>
      <c r="DP179" s="306">
        <v>143</v>
      </c>
      <c r="DQ179" s="306">
        <v>143</v>
      </c>
    </row>
    <row r="180" spans="1:126" x14ac:dyDescent="0.2">
      <c r="A180" s="12" t="s">
        <v>142</v>
      </c>
      <c r="B180" s="169">
        <v>174</v>
      </c>
      <c r="C180" s="12" t="s">
        <v>102</v>
      </c>
      <c r="D180" s="13">
        <v>1996</v>
      </c>
      <c r="E180" s="11"/>
      <c r="F180" s="169">
        <v>84</v>
      </c>
      <c r="G180" s="35">
        <v>1</v>
      </c>
      <c r="H180" s="45">
        <v>9</v>
      </c>
      <c r="I180" s="1" t="s">
        <v>22</v>
      </c>
      <c r="J180" s="122">
        <v>8281</v>
      </c>
      <c r="K180" s="122">
        <v>360</v>
      </c>
      <c r="L180" s="122"/>
      <c r="M180" s="122">
        <v>360</v>
      </c>
      <c r="N180" s="122">
        <v>32</v>
      </c>
      <c r="O180" s="122">
        <v>80</v>
      </c>
      <c r="P180" s="122">
        <v>32</v>
      </c>
      <c r="Q180" s="122">
        <v>83</v>
      </c>
      <c r="R180" s="179">
        <v>2184.6999999999998</v>
      </c>
      <c r="S180" s="121">
        <v>1235</v>
      </c>
      <c r="T180" s="122">
        <f t="shared" si="160"/>
        <v>31</v>
      </c>
      <c r="U180" s="180">
        <f t="shared" si="161"/>
        <v>2128.6999999999998</v>
      </c>
      <c r="V180" s="180">
        <f t="shared" si="162"/>
        <v>1204.4000000000001</v>
      </c>
      <c r="W180" s="122">
        <v>1</v>
      </c>
      <c r="X180" s="180">
        <v>56</v>
      </c>
      <c r="Y180" s="180">
        <v>30.6</v>
      </c>
      <c r="Z180" s="122"/>
      <c r="AA180" s="180"/>
      <c r="AB180" s="180"/>
      <c r="AC180" s="180">
        <f t="shared" si="163"/>
        <v>940.9</v>
      </c>
      <c r="AD180" s="179">
        <f t="shared" si="164"/>
        <v>0</v>
      </c>
      <c r="AE180" s="271"/>
      <c r="AF180" s="179"/>
      <c r="AG180" s="180">
        <v>940.9</v>
      </c>
      <c r="AH180" s="180"/>
      <c r="AI180" s="180">
        <f t="shared" si="165"/>
        <v>3125.6</v>
      </c>
      <c r="AJ180" s="122"/>
      <c r="AK180" s="122">
        <v>1</v>
      </c>
      <c r="AL180" s="122">
        <v>1</v>
      </c>
      <c r="AM180" s="122">
        <v>1</v>
      </c>
      <c r="AN180" s="122"/>
      <c r="AO180" s="122">
        <v>1</v>
      </c>
      <c r="AP180" s="122">
        <v>1863</v>
      </c>
      <c r="AQ180" s="35"/>
      <c r="AR180" s="122">
        <f>159+80+102</f>
        <v>341</v>
      </c>
      <c r="AS180" s="122">
        <v>47</v>
      </c>
      <c r="AT180" s="122">
        <v>54</v>
      </c>
      <c r="AU180" s="122">
        <f t="shared" si="152"/>
        <v>2734</v>
      </c>
      <c r="AV180" s="122">
        <v>2479</v>
      </c>
      <c r="AW180" s="122">
        <v>255</v>
      </c>
      <c r="AX180" s="122">
        <v>2480</v>
      </c>
      <c r="AY180" s="122">
        <v>197</v>
      </c>
      <c r="AZ180" s="122">
        <v>352</v>
      </c>
      <c r="BA180" s="122">
        <v>352</v>
      </c>
      <c r="BB180" s="122">
        <v>16</v>
      </c>
      <c r="BC180" s="122">
        <v>7</v>
      </c>
      <c r="BD180" s="122">
        <v>112</v>
      </c>
      <c r="BE180" s="122">
        <v>32</v>
      </c>
      <c r="BF180" s="122">
        <v>1</v>
      </c>
      <c r="BG180" s="122">
        <v>1806</v>
      </c>
      <c r="BH180" s="122">
        <v>472</v>
      </c>
      <c r="BI180" s="122">
        <v>132</v>
      </c>
      <c r="BJ180" s="115" t="str">
        <f t="shared" si="166"/>
        <v>0</v>
      </c>
      <c r="BK180" s="115" t="str">
        <f t="shared" si="167"/>
        <v>0</v>
      </c>
      <c r="BL180" s="115" t="str">
        <f t="shared" si="168"/>
        <v>0</v>
      </c>
      <c r="BM180" s="115">
        <f t="shared" si="169"/>
        <v>1</v>
      </c>
      <c r="BN180" s="115">
        <f t="shared" si="170"/>
        <v>2184.6999999999998</v>
      </c>
      <c r="BO180" s="115">
        <f t="shared" si="171"/>
        <v>1235</v>
      </c>
      <c r="BP180" s="115" t="str">
        <f t="shared" si="172"/>
        <v>0</v>
      </c>
      <c r="BQ180" s="115" t="str">
        <f t="shared" si="173"/>
        <v>0</v>
      </c>
      <c r="BR180" s="115" t="str">
        <f t="shared" si="174"/>
        <v>0</v>
      </c>
      <c r="BS180" s="115">
        <v>1</v>
      </c>
      <c r="BT180" s="115"/>
      <c r="BU180" s="122">
        <v>352</v>
      </c>
      <c r="BV180" s="115">
        <v>96</v>
      </c>
      <c r="BW180" s="115"/>
      <c r="BX180" s="115"/>
      <c r="BY180" s="275">
        <v>600.6</v>
      </c>
      <c r="BZ180" s="253">
        <v>280.10000000000002</v>
      </c>
      <c r="CA180" s="157">
        <v>1728</v>
      </c>
      <c r="CB180" s="275">
        <f t="shared" si="175"/>
        <v>1368</v>
      </c>
      <c r="CC180" s="209">
        <f t="shared" si="153"/>
        <v>1</v>
      </c>
      <c r="CD180" s="235">
        <f t="shared" si="154"/>
        <v>2479</v>
      </c>
      <c r="CE180" s="209"/>
      <c r="CF180" s="235">
        <f t="shared" si="155"/>
        <v>255</v>
      </c>
      <c r="CG180" s="235">
        <f t="shared" si="156"/>
        <v>1</v>
      </c>
      <c r="CH180" s="235">
        <f t="shared" si="157"/>
        <v>2734</v>
      </c>
      <c r="CI180" s="14">
        <v>55</v>
      </c>
      <c r="CJ180" s="284" t="str">
        <f t="shared" si="177"/>
        <v>0</v>
      </c>
      <c r="CK180" s="284" t="str">
        <f t="shared" si="178"/>
        <v>0</v>
      </c>
      <c r="CL180" s="243">
        <f t="shared" si="179"/>
        <v>2.5632809996795904</v>
      </c>
      <c r="CM180" s="216" t="str">
        <f t="shared" si="180"/>
        <v>0</v>
      </c>
      <c r="CN180" s="216" t="str">
        <f t="shared" si="181"/>
        <v>0</v>
      </c>
      <c r="CO180" s="243">
        <f t="shared" si="176"/>
        <v>1.7916560020476071</v>
      </c>
      <c r="CP180" s="305">
        <v>1</v>
      </c>
      <c r="CQ180" s="305">
        <v>0</v>
      </c>
      <c r="CR180" s="305">
        <v>0</v>
      </c>
      <c r="CS180" s="305">
        <v>1</v>
      </c>
      <c r="CT180" s="305">
        <v>2</v>
      </c>
      <c r="CU180" s="305">
        <v>0</v>
      </c>
      <c r="CV180" s="305">
        <v>0</v>
      </c>
      <c r="CW180" s="305">
        <v>1</v>
      </c>
      <c r="CX180" s="306">
        <v>0</v>
      </c>
      <c r="CY180" s="306">
        <v>32</v>
      </c>
      <c r="CZ180" s="306">
        <f t="shared" si="158"/>
        <v>31</v>
      </c>
      <c r="DA180" s="306">
        <v>1</v>
      </c>
      <c r="DB180" s="306">
        <v>24</v>
      </c>
      <c r="DC180" s="306">
        <v>19</v>
      </c>
      <c r="DD180" s="306">
        <v>20</v>
      </c>
      <c r="DE180" s="306">
        <v>28</v>
      </c>
      <c r="DF180" s="306">
        <v>20</v>
      </c>
      <c r="DG180" s="306">
        <v>18</v>
      </c>
      <c r="DH180" s="306">
        <v>30</v>
      </c>
      <c r="DI180" s="306">
        <v>0</v>
      </c>
      <c r="DJ180" s="306">
        <v>0</v>
      </c>
      <c r="DK180" s="306">
        <v>3</v>
      </c>
      <c r="DL180" s="306">
        <v>0</v>
      </c>
      <c r="DM180" s="306">
        <v>0</v>
      </c>
      <c r="DN180" s="306">
        <v>3</v>
      </c>
      <c r="DO180" s="306">
        <v>0</v>
      </c>
      <c r="DP180" s="306">
        <v>32</v>
      </c>
      <c r="DQ180" s="306">
        <v>32</v>
      </c>
    </row>
    <row r="181" spans="1:126" x14ac:dyDescent="0.2">
      <c r="A181" s="27" t="s">
        <v>142</v>
      </c>
      <c r="B181" s="169">
        <v>175</v>
      </c>
      <c r="C181" s="12" t="s">
        <v>103</v>
      </c>
      <c r="D181" s="13">
        <v>1969</v>
      </c>
      <c r="E181" s="11"/>
      <c r="F181" s="169" t="s">
        <v>20</v>
      </c>
      <c r="G181" s="35">
        <v>1</v>
      </c>
      <c r="H181" s="45">
        <v>5</v>
      </c>
      <c r="I181" s="1" t="s">
        <v>22</v>
      </c>
      <c r="J181" s="122">
        <v>12231</v>
      </c>
      <c r="K181" s="122">
        <v>918</v>
      </c>
      <c r="L181" s="122">
        <v>1059</v>
      </c>
      <c r="M181" s="122"/>
      <c r="N181" s="122">
        <v>79</v>
      </c>
      <c r="O181" s="122">
        <v>158</v>
      </c>
      <c r="P181" s="122">
        <v>80</v>
      </c>
      <c r="Q181" s="122">
        <v>130</v>
      </c>
      <c r="R181" s="179">
        <v>3490.57</v>
      </c>
      <c r="S181" s="121">
        <v>2398</v>
      </c>
      <c r="T181" s="122">
        <f t="shared" si="160"/>
        <v>75</v>
      </c>
      <c r="U181" s="180">
        <f t="shared" si="161"/>
        <v>3326.4100000000003</v>
      </c>
      <c r="V181" s="180">
        <f t="shared" si="162"/>
        <v>2288.8000000000002</v>
      </c>
      <c r="W181" s="122">
        <v>4</v>
      </c>
      <c r="X181" s="180">
        <v>164.16</v>
      </c>
      <c r="Y181" s="180">
        <v>109.2</v>
      </c>
      <c r="Z181" s="122"/>
      <c r="AA181" s="180"/>
      <c r="AB181" s="180"/>
      <c r="AC181" s="180">
        <f t="shared" si="163"/>
        <v>0</v>
      </c>
      <c r="AD181" s="179">
        <f t="shared" si="164"/>
        <v>0</v>
      </c>
      <c r="AE181" s="271"/>
      <c r="AF181" s="179"/>
      <c r="AG181" s="180"/>
      <c r="AH181" s="180"/>
      <c r="AI181" s="180">
        <f t="shared" si="165"/>
        <v>3490.57</v>
      </c>
      <c r="AJ181" s="122"/>
      <c r="AK181" s="122"/>
      <c r="AL181" s="122">
        <v>4</v>
      </c>
      <c r="AM181" s="122"/>
      <c r="AN181" s="122">
        <v>1</v>
      </c>
      <c r="AO181" s="122">
        <v>1</v>
      </c>
      <c r="AP181" s="122">
        <v>2353</v>
      </c>
      <c r="AQ181" s="35"/>
      <c r="AR181" s="122">
        <f>159+85+143</f>
        <v>387</v>
      </c>
      <c r="AS181" s="122">
        <v>180</v>
      </c>
      <c r="AT181" s="122">
        <v>51</v>
      </c>
      <c r="AU181" s="122">
        <f t="shared" ref="AU181:AU187" si="182">AV181+AW181</f>
        <v>2923</v>
      </c>
      <c r="AV181" s="122"/>
      <c r="AW181" s="122">
        <v>2923</v>
      </c>
      <c r="AX181" s="122">
        <v>1850</v>
      </c>
      <c r="AY181" s="122">
        <v>139</v>
      </c>
      <c r="AZ181" s="122">
        <v>886</v>
      </c>
      <c r="BA181" s="122">
        <v>886</v>
      </c>
      <c r="BB181" s="122">
        <v>20</v>
      </c>
      <c r="BC181" s="122">
        <v>13</v>
      </c>
      <c r="BD181" s="122">
        <v>240</v>
      </c>
      <c r="BE181" s="122">
        <v>79</v>
      </c>
      <c r="BF181" s="122">
        <v>1</v>
      </c>
      <c r="BG181" s="122">
        <v>15032</v>
      </c>
      <c r="BH181" s="122">
        <v>292</v>
      </c>
      <c r="BI181" s="122"/>
      <c r="BJ181" s="115" t="str">
        <f t="shared" si="166"/>
        <v>0</v>
      </c>
      <c r="BK181" s="115" t="str">
        <f t="shared" si="167"/>
        <v>0</v>
      </c>
      <c r="BL181" s="115" t="str">
        <f t="shared" si="168"/>
        <v>0</v>
      </c>
      <c r="BM181" s="115">
        <f t="shared" si="169"/>
        <v>1</v>
      </c>
      <c r="BN181" s="115">
        <f t="shared" si="170"/>
        <v>3490.57</v>
      </c>
      <c r="BO181" s="115">
        <f t="shared" si="171"/>
        <v>2398</v>
      </c>
      <c r="BP181" s="115" t="str">
        <f t="shared" si="172"/>
        <v>0</v>
      </c>
      <c r="BQ181" s="115" t="str">
        <f t="shared" si="173"/>
        <v>0</v>
      </c>
      <c r="BR181" s="115" t="str">
        <f t="shared" si="174"/>
        <v>0</v>
      </c>
      <c r="BS181" s="115">
        <v>1</v>
      </c>
      <c r="BT181" s="115"/>
      <c r="BU181" s="122"/>
      <c r="BV181" s="115"/>
      <c r="BW181" s="115"/>
      <c r="BX181" s="115"/>
      <c r="BY181" s="275">
        <v>1193.98</v>
      </c>
      <c r="BZ181" s="253">
        <v>270.36</v>
      </c>
      <c r="CA181" s="157">
        <v>2399</v>
      </c>
      <c r="CB181" s="275">
        <f t="shared" si="175"/>
        <v>1481</v>
      </c>
      <c r="CC181" s="209" t="str">
        <f t="shared" ref="CC181:CC187" si="183">IF(CD181&gt;0,G181,"0")</f>
        <v>0</v>
      </c>
      <c r="CD181" s="235">
        <f t="shared" ref="CD181:CD187" si="184">AV181</f>
        <v>0</v>
      </c>
      <c r="CE181" s="209">
        <f t="shared" ref="CE181:CE187" si="185">IF(CF181&gt;0,G181,"0")</f>
        <v>1</v>
      </c>
      <c r="CF181" s="235">
        <f t="shared" ref="CF181:CF187" si="186">AW181</f>
        <v>2923</v>
      </c>
      <c r="CG181" s="235">
        <f t="shared" ref="CG181:CG187" si="187">CC181+CE181</f>
        <v>1</v>
      </c>
      <c r="CH181" s="235">
        <f t="shared" ref="CH181:CH187" si="188">CD181+CF181</f>
        <v>2923</v>
      </c>
      <c r="CI181" s="156">
        <v>52</v>
      </c>
      <c r="CJ181" s="284" t="str">
        <f t="shared" si="177"/>
        <v>0</v>
      </c>
      <c r="CK181" s="284" t="str">
        <f t="shared" si="178"/>
        <v>0</v>
      </c>
      <c r="CL181" s="243">
        <f t="shared" si="179"/>
        <v>4.7029568236706325</v>
      </c>
      <c r="CM181" s="216" t="str">
        <f t="shared" si="180"/>
        <v>0</v>
      </c>
      <c r="CN181" s="216" t="str">
        <f t="shared" si="181"/>
        <v>0</v>
      </c>
      <c r="CO181" s="243">
        <f t="shared" si="176"/>
        <v>4.7029568236706325</v>
      </c>
      <c r="CP181" s="305">
        <v>1</v>
      </c>
      <c r="CQ181" s="305">
        <v>0</v>
      </c>
      <c r="CR181" s="305">
        <v>0</v>
      </c>
      <c r="CS181" s="305">
        <v>0</v>
      </c>
      <c r="CT181" s="305">
        <v>1</v>
      </c>
      <c r="CU181" s="305">
        <v>0</v>
      </c>
      <c r="CV181" s="305">
        <v>0</v>
      </c>
      <c r="CW181" s="305">
        <v>0</v>
      </c>
      <c r="CX181" s="306">
        <v>0</v>
      </c>
      <c r="CY181" s="306">
        <v>79</v>
      </c>
      <c r="CZ181" s="306">
        <f t="shared" ref="CZ181:CZ187" si="189">CY181-DA181</f>
        <v>73</v>
      </c>
      <c r="DA181" s="306">
        <v>6</v>
      </c>
      <c r="DB181" s="306">
        <v>54</v>
      </c>
      <c r="DC181" s="306">
        <v>35</v>
      </c>
      <c r="DD181" s="306">
        <v>44</v>
      </c>
      <c r="DE181" s="306">
        <v>35</v>
      </c>
      <c r="DF181" s="306">
        <v>36</v>
      </c>
      <c r="DG181" s="306">
        <v>43</v>
      </c>
      <c r="DH181" s="306">
        <v>36</v>
      </c>
      <c r="DI181" s="306">
        <v>2</v>
      </c>
      <c r="DJ181" s="306">
        <v>3</v>
      </c>
      <c r="DK181" s="306">
        <v>3</v>
      </c>
      <c r="DL181" s="306">
        <v>3</v>
      </c>
      <c r="DM181" s="306">
        <v>3</v>
      </c>
      <c r="DN181" s="306">
        <v>3</v>
      </c>
      <c r="DO181" s="306">
        <v>3</v>
      </c>
      <c r="DP181" s="306">
        <v>79</v>
      </c>
      <c r="DQ181" s="306">
        <v>79</v>
      </c>
      <c r="DR181" s="52"/>
      <c r="DS181" s="52"/>
      <c r="DT181" s="52"/>
      <c r="DU181" s="52"/>
      <c r="DV181" s="52"/>
    </row>
    <row r="182" spans="1:126" x14ac:dyDescent="0.2">
      <c r="A182" s="12" t="s">
        <v>142</v>
      </c>
      <c r="B182" s="169">
        <v>176</v>
      </c>
      <c r="C182" s="12" t="s">
        <v>104</v>
      </c>
      <c r="D182" s="13">
        <v>1972</v>
      </c>
      <c r="E182" s="11"/>
      <c r="F182" s="169" t="s">
        <v>20</v>
      </c>
      <c r="G182" s="35">
        <v>1</v>
      </c>
      <c r="H182" s="45">
        <v>5</v>
      </c>
      <c r="I182" s="1" t="s">
        <v>22</v>
      </c>
      <c r="J182" s="122">
        <v>17033</v>
      </c>
      <c r="K182" s="122">
        <v>1268</v>
      </c>
      <c r="L182" s="122">
        <v>1459</v>
      </c>
      <c r="M182" s="122"/>
      <c r="N182" s="122">
        <v>120</v>
      </c>
      <c r="O182" s="122">
        <v>210</v>
      </c>
      <c r="P182" s="122">
        <v>120</v>
      </c>
      <c r="Q182" s="122">
        <v>204</v>
      </c>
      <c r="R182" s="179">
        <v>4866.22</v>
      </c>
      <c r="S182" s="121">
        <v>3191</v>
      </c>
      <c r="T182" s="122">
        <f t="shared" si="160"/>
        <v>109</v>
      </c>
      <c r="U182" s="180">
        <f t="shared" si="161"/>
        <v>4426.54</v>
      </c>
      <c r="V182" s="180">
        <f t="shared" si="162"/>
        <v>2904.89</v>
      </c>
      <c r="W182" s="122">
        <v>11</v>
      </c>
      <c r="X182" s="180">
        <v>439.68</v>
      </c>
      <c r="Y182" s="180">
        <v>286.11</v>
      </c>
      <c r="Z182" s="122"/>
      <c r="AA182" s="180"/>
      <c r="AB182" s="180"/>
      <c r="AC182" s="180">
        <f t="shared" si="163"/>
        <v>0</v>
      </c>
      <c r="AD182" s="179">
        <f t="shared" si="164"/>
        <v>0</v>
      </c>
      <c r="AE182" s="271"/>
      <c r="AF182" s="179"/>
      <c r="AG182" s="180"/>
      <c r="AH182" s="180"/>
      <c r="AI182" s="180">
        <f t="shared" si="165"/>
        <v>4866.22</v>
      </c>
      <c r="AJ182" s="122"/>
      <c r="AK182" s="122"/>
      <c r="AL182" s="122">
        <v>6</v>
      </c>
      <c r="AM182" s="122"/>
      <c r="AN182" s="122">
        <v>1</v>
      </c>
      <c r="AO182" s="122">
        <v>1</v>
      </c>
      <c r="AP182" s="122">
        <v>3152</v>
      </c>
      <c r="AQ182" s="35"/>
      <c r="AR182" s="122">
        <f>272+136+150</f>
        <v>558</v>
      </c>
      <c r="AS182" s="122">
        <v>267</v>
      </c>
      <c r="AT182" s="122">
        <v>77</v>
      </c>
      <c r="AU182" s="122">
        <f t="shared" si="182"/>
        <v>4386</v>
      </c>
      <c r="AV182" s="122"/>
      <c r="AW182" s="122">
        <v>4386</v>
      </c>
      <c r="AX182" s="122">
        <v>2700</v>
      </c>
      <c r="AY182" s="122">
        <v>190</v>
      </c>
      <c r="AZ182" s="122">
        <v>1226</v>
      </c>
      <c r="BA182" s="122">
        <v>1226</v>
      </c>
      <c r="BB182" s="122">
        <v>30</v>
      </c>
      <c r="BC182" s="122">
        <v>19</v>
      </c>
      <c r="BD182" s="122">
        <v>340</v>
      </c>
      <c r="BE182" s="122">
        <v>120</v>
      </c>
      <c r="BF182" s="122">
        <v>1</v>
      </c>
      <c r="BG182" s="122">
        <v>22548</v>
      </c>
      <c r="BH182" s="122">
        <v>438</v>
      </c>
      <c r="BI182" s="122"/>
      <c r="BJ182" s="115" t="str">
        <f t="shared" si="166"/>
        <v>0</v>
      </c>
      <c r="BK182" s="115" t="str">
        <f t="shared" si="167"/>
        <v>0</v>
      </c>
      <c r="BL182" s="115" t="str">
        <f t="shared" si="168"/>
        <v>0</v>
      </c>
      <c r="BM182" s="115">
        <f t="shared" si="169"/>
        <v>1</v>
      </c>
      <c r="BN182" s="115">
        <f t="shared" si="170"/>
        <v>4866.22</v>
      </c>
      <c r="BO182" s="115">
        <f t="shared" si="171"/>
        <v>3191</v>
      </c>
      <c r="BP182" s="115" t="str">
        <f t="shared" si="172"/>
        <v>0</v>
      </c>
      <c r="BQ182" s="115" t="str">
        <f t="shared" si="173"/>
        <v>0</v>
      </c>
      <c r="BR182" s="115" t="str">
        <f t="shared" si="174"/>
        <v>0</v>
      </c>
      <c r="BS182" s="115">
        <v>2</v>
      </c>
      <c r="BT182" s="115"/>
      <c r="BU182" s="122"/>
      <c r="BV182" s="115"/>
      <c r="BW182" s="115"/>
      <c r="BX182" s="115"/>
      <c r="BY182" s="275">
        <v>1637.16</v>
      </c>
      <c r="BZ182" s="253">
        <v>410.86</v>
      </c>
      <c r="CA182" s="157">
        <v>3887</v>
      </c>
      <c r="CB182" s="275">
        <f t="shared" si="175"/>
        <v>2619</v>
      </c>
      <c r="CC182" s="209" t="str">
        <f t="shared" si="183"/>
        <v>0</v>
      </c>
      <c r="CD182" s="235">
        <f t="shared" si="184"/>
        <v>0</v>
      </c>
      <c r="CE182" s="209">
        <f t="shared" si="185"/>
        <v>1</v>
      </c>
      <c r="CF182" s="235">
        <f t="shared" si="186"/>
        <v>4386</v>
      </c>
      <c r="CG182" s="235">
        <f t="shared" si="187"/>
        <v>1</v>
      </c>
      <c r="CH182" s="235">
        <f t="shared" si="188"/>
        <v>4386</v>
      </c>
      <c r="CI182" s="14">
        <v>52</v>
      </c>
      <c r="CJ182" s="284" t="str">
        <f t="shared" si="177"/>
        <v>0</v>
      </c>
      <c r="CK182" s="284" t="str">
        <f t="shared" si="178"/>
        <v>0</v>
      </c>
      <c r="CL182" s="243">
        <f t="shared" si="179"/>
        <v>9.0353498197779789</v>
      </c>
      <c r="CM182" s="216" t="str">
        <f t="shared" si="180"/>
        <v>0</v>
      </c>
      <c r="CN182" s="216" t="str">
        <f t="shared" si="181"/>
        <v>0</v>
      </c>
      <c r="CO182" s="243">
        <f t="shared" si="176"/>
        <v>9.0353498197779789</v>
      </c>
      <c r="CP182" s="305">
        <v>1</v>
      </c>
      <c r="CQ182" s="305">
        <v>0</v>
      </c>
      <c r="CR182" s="305">
        <v>0</v>
      </c>
      <c r="CS182" s="305">
        <v>0</v>
      </c>
      <c r="CT182" s="305">
        <v>1</v>
      </c>
      <c r="CU182" s="305">
        <v>0</v>
      </c>
      <c r="CV182" s="305">
        <v>0</v>
      </c>
      <c r="CW182" s="305">
        <v>0</v>
      </c>
      <c r="CX182" s="306">
        <v>0</v>
      </c>
      <c r="CY182" s="306">
        <v>120</v>
      </c>
      <c r="CZ182" s="306">
        <f t="shared" si="189"/>
        <v>111</v>
      </c>
      <c r="DA182" s="306">
        <v>9</v>
      </c>
      <c r="DB182" s="306">
        <v>109</v>
      </c>
      <c r="DC182" s="306">
        <v>52</v>
      </c>
      <c r="DD182" s="306">
        <v>68</v>
      </c>
      <c r="DE182" s="306">
        <v>52</v>
      </c>
      <c r="DF182" s="306">
        <v>53</v>
      </c>
      <c r="DG182" s="306">
        <v>67</v>
      </c>
      <c r="DH182" s="306">
        <v>53</v>
      </c>
      <c r="DI182" s="306">
        <v>8</v>
      </c>
      <c r="DJ182" s="306">
        <v>2</v>
      </c>
      <c r="DK182" s="306">
        <v>5</v>
      </c>
      <c r="DL182" s="306">
        <v>2</v>
      </c>
      <c r="DM182" s="306">
        <v>2</v>
      </c>
      <c r="DN182" s="306">
        <v>5</v>
      </c>
      <c r="DO182" s="306">
        <v>2</v>
      </c>
      <c r="DP182" s="306">
        <v>120</v>
      </c>
      <c r="DQ182" s="306">
        <v>120</v>
      </c>
    </row>
    <row r="183" spans="1:126" x14ac:dyDescent="0.2">
      <c r="A183" s="12" t="s">
        <v>142</v>
      </c>
      <c r="B183" s="169">
        <v>177</v>
      </c>
      <c r="C183" s="12" t="s">
        <v>166</v>
      </c>
      <c r="D183" s="13">
        <v>1970</v>
      </c>
      <c r="E183" s="11"/>
      <c r="F183" s="169" t="s">
        <v>20</v>
      </c>
      <c r="G183" s="35">
        <v>1</v>
      </c>
      <c r="H183" s="45">
        <v>5</v>
      </c>
      <c r="I183" s="1" t="s">
        <v>22</v>
      </c>
      <c r="J183" s="122">
        <f>12423</f>
        <v>12423</v>
      </c>
      <c r="K183" s="122">
        <f>960</f>
        <v>960</v>
      </c>
      <c r="L183" s="122">
        <f>1059</f>
        <v>1059</v>
      </c>
      <c r="M183" s="122"/>
      <c r="N183" s="122">
        <v>64</v>
      </c>
      <c r="O183" s="122">
        <v>128</v>
      </c>
      <c r="P183" s="122">
        <v>65</v>
      </c>
      <c r="Q183" s="122">
        <v>106</v>
      </c>
      <c r="R183" s="179">
        <v>2845.86</v>
      </c>
      <c r="S183" s="121">
        <v>1959.98</v>
      </c>
      <c r="T183" s="122">
        <f t="shared" si="160"/>
        <v>62</v>
      </c>
      <c r="U183" s="179">
        <f t="shared" si="161"/>
        <v>2770.9900000000002</v>
      </c>
      <c r="V183" s="180">
        <f t="shared" si="162"/>
        <v>1913.26</v>
      </c>
      <c r="W183" s="122">
        <v>2</v>
      </c>
      <c r="X183" s="180">
        <v>74.87</v>
      </c>
      <c r="Y183" s="180">
        <v>46.72</v>
      </c>
      <c r="Z183" s="122"/>
      <c r="AA183" s="180"/>
      <c r="AB183" s="180"/>
      <c r="AC183" s="180">
        <f t="shared" si="163"/>
        <v>756.97</v>
      </c>
      <c r="AD183" s="179">
        <f t="shared" si="164"/>
        <v>0</v>
      </c>
      <c r="AE183" s="271"/>
      <c r="AF183" s="179"/>
      <c r="AG183" s="180">
        <v>756.97</v>
      </c>
      <c r="AH183" s="180"/>
      <c r="AI183" s="180">
        <f t="shared" si="165"/>
        <v>3602.83</v>
      </c>
      <c r="AJ183" s="122"/>
      <c r="AK183" s="122"/>
      <c r="AL183" s="122">
        <f>4</f>
        <v>4</v>
      </c>
      <c r="AM183" s="122"/>
      <c r="AN183" s="122">
        <v>1</v>
      </c>
      <c r="AO183" s="122">
        <f>1</f>
        <v>1</v>
      </c>
      <c r="AP183" s="122">
        <f>2429</f>
        <v>2429</v>
      </c>
      <c r="AQ183" s="35"/>
      <c r="AR183" s="122">
        <f>467</f>
        <v>467</v>
      </c>
      <c r="AS183" s="122">
        <f>231</f>
        <v>231</v>
      </c>
      <c r="AT183" s="122">
        <f>51</f>
        <v>51</v>
      </c>
      <c r="AU183" s="122">
        <f t="shared" si="182"/>
        <v>2938</v>
      </c>
      <c r="AV183" s="122"/>
      <c r="AW183" s="122">
        <f>2938</f>
        <v>2938</v>
      </c>
      <c r="AX183" s="122">
        <f>1800</f>
        <v>1800</v>
      </c>
      <c r="AY183" s="122">
        <f>163</f>
        <v>163</v>
      </c>
      <c r="AZ183" s="122">
        <f>886</f>
        <v>886</v>
      </c>
      <c r="BA183" s="122">
        <f>886</f>
        <v>886</v>
      </c>
      <c r="BB183" s="122">
        <f>20</f>
        <v>20</v>
      </c>
      <c r="BC183" s="122">
        <f>13</f>
        <v>13</v>
      </c>
      <c r="BD183" s="122">
        <f>200</f>
        <v>200</v>
      </c>
      <c r="BE183" s="122">
        <f>64</f>
        <v>64</v>
      </c>
      <c r="BF183" s="122">
        <f>1</f>
        <v>1</v>
      </c>
      <c r="BG183" s="122">
        <f>15032</f>
        <v>15032</v>
      </c>
      <c r="BH183" s="122">
        <f>292</f>
        <v>292</v>
      </c>
      <c r="BI183" s="122"/>
      <c r="BJ183" s="115" t="str">
        <f t="shared" si="166"/>
        <v>0</v>
      </c>
      <c r="BK183" s="115" t="str">
        <f t="shared" si="167"/>
        <v>0</v>
      </c>
      <c r="BL183" s="115" t="str">
        <f t="shared" si="168"/>
        <v>0</v>
      </c>
      <c r="BM183" s="115">
        <f t="shared" si="169"/>
        <v>1</v>
      </c>
      <c r="BN183" s="115">
        <f t="shared" si="170"/>
        <v>2845.86</v>
      </c>
      <c r="BO183" s="115">
        <f t="shared" si="171"/>
        <v>1959.98</v>
      </c>
      <c r="BP183" s="115" t="str">
        <f t="shared" si="172"/>
        <v>0</v>
      </c>
      <c r="BQ183" s="115" t="str">
        <f t="shared" si="173"/>
        <v>0</v>
      </c>
      <c r="BR183" s="115" t="str">
        <f t="shared" si="174"/>
        <v>0</v>
      </c>
      <c r="BS183" s="115">
        <f>1</f>
        <v>1</v>
      </c>
      <c r="BT183" s="115">
        <f>1</f>
        <v>1</v>
      </c>
      <c r="BU183" s="122"/>
      <c r="BV183" s="115"/>
      <c r="BW183" s="115"/>
      <c r="BX183" s="115"/>
      <c r="BY183" s="275">
        <v>1159.51</v>
      </c>
      <c r="BZ183" s="253">
        <v>274.11</v>
      </c>
      <c r="CA183" s="157">
        <f>2661</f>
        <v>2661</v>
      </c>
      <c r="CB183" s="275">
        <f t="shared" si="175"/>
        <v>1701</v>
      </c>
      <c r="CC183" s="209" t="str">
        <f t="shared" si="183"/>
        <v>0</v>
      </c>
      <c r="CD183" s="235">
        <f t="shared" si="184"/>
        <v>0</v>
      </c>
      <c r="CE183" s="209">
        <f t="shared" si="185"/>
        <v>1</v>
      </c>
      <c r="CF183" s="235">
        <f t="shared" si="186"/>
        <v>2938</v>
      </c>
      <c r="CG183" s="235">
        <f t="shared" si="187"/>
        <v>1</v>
      </c>
      <c r="CH183" s="235">
        <f t="shared" si="188"/>
        <v>2938</v>
      </c>
      <c r="CI183" s="156">
        <v>55</v>
      </c>
      <c r="CJ183" s="284" t="str">
        <f t="shared" si="177"/>
        <v>0</v>
      </c>
      <c r="CK183" s="284" t="str">
        <f t="shared" si="178"/>
        <v>0</v>
      </c>
      <c r="CL183" s="243">
        <f t="shared" si="179"/>
        <v>2.6308391839373684</v>
      </c>
      <c r="CM183" s="216" t="str">
        <f t="shared" si="180"/>
        <v>0</v>
      </c>
      <c r="CN183" s="216" t="str">
        <f t="shared" si="181"/>
        <v>0</v>
      </c>
      <c r="CO183" s="243">
        <f t="shared" si="176"/>
        <v>2.0780886136731405</v>
      </c>
      <c r="CP183" s="305">
        <v>1</v>
      </c>
      <c r="CQ183" s="305">
        <v>0</v>
      </c>
      <c r="CR183" s="305">
        <v>0</v>
      </c>
      <c r="CS183" s="305">
        <v>0</v>
      </c>
      <c r="CT183" s="305">
        <f>2-1</f>
        <v>1</v>
      </c>
      <c r="CU183" s="305">
        <v>0</v>
      </c>
      <c r="CV183" s="305">
        <v>0</v>
      </c>
      <c r="CW183" s="305">
        <v>0</v>
      </c>
      <c r="CX183" s="306">
        <v>0</v>
      </c>
      <c r="CY183" s="306">
        <f>143-79</f>
        <v>64</v>
      </c>
      <c r="CZ183" s="306">
        <f t="shared" si="189"/>
        <v>57</v>
      </c>
      <c r="DA183" s="306">
        <v>7</v>
      </c>
      <c r="DB183" s="306">
        <v>57</v>
      </c>
      <c r="DC183" s="306">
        <v>28</v>
      </c>
      <c r="DD183" s="306">
        <v>36</v>
      </c>
      <c r="DE183" s="306">
        <v>28</v>
      </c>
      <c r="DF183" s="306">
        <v>29</v>
      </c>
      <c r="DG183" s="306">
        <v>35</v>
      </c>
      <c r="DH183" s="306">
        <v>29</v>
      </c>
      <c r="DI183" s="306">
        <v>6</v>
      </c>
      <c r="DJ183" s="306">
        <v>0</v>
      </c>
      <c r="DK183" s="306">
        <v>14</v>
      </c>
      <c r="DL183" s="306">
        <v>0</v>
      </c>
      <c r="DM183" s="306">
        <v>0</v>
      </c>
      <c r="DN183" s="306">
        <v>14</v>
      </c>
      <c r="DO183" s="306">
        <v>0</v>
      </c>
      <c r="DP183" s="306">
        <f>143-79</f>
        <v>64</v>
      </c>
      <c r="DQ183" s="306">
        <f>143-79</f>
        <v>64</v>
      </c>
    </row>
    <row r="184" spans="1:126" x14ac:dyDescent="0.2">
      <c r="A184" s="27" t="s">
        <v>197</v>
      </c>
      <c r="B184" s="169">
        <v>178</v>
      </c>
      <c r="C184" s="12" t="s">
        <v>293</v>
      </c>
      <c r="D184" s="170">
        <v>1988</v>
      </c>
      <c r="E184" s="11"/>
      <c r="F184" s="206" t="s">
        <v>24</v>
      </c>
      <c r="G184" s="35">
        <v>1</v>
      </c>
      <c r="H184" s="201">
        <v>9</v>
      </c>
      <c r="I184" s="201" t="s">
        <v>22</v>
      </c>
      <c r="J184" s="115">
        <f>38478+29519</f>
        <v>67997</v>
      </c>
      <c r="K184" s="115">
        <f>1541+1226</f>
        <v>2767</v>
      </c>
      <c r="L184" s="157"/>
      <c r="M184" s="115">
        <f>1413+1077</f>
        <v>2490</v>
      </c>
      <c r="N184" s="115">
        <v>239</v>
      </c>
      <c r="O184" s="115">
        <v>643</v>
      </c>
      <c r="P184" s="115">
        <v>240</v>
      </c>
      <c r="Q184" s="115">
        <v>545</v>
      </c>
      <c r="R184" s="228">
        <v>15449.17</v>
      </c>
      <c r="S184" s="230">
        <v>9547.0000000000018</v>
      </c>
      <c r="T184" s="115">
        <f t="shared" si="160"/>
        <v>224</v>
      </c>
      <c r="U184" s="202">
        <f t="shared" si="161"/>
        <v>14472.87</v>
      </c>
      <c r="V184" s="180">
        <f t="shared" si="162"/>
        <v>8941.6900000000023</v>
      </c>
      <c r="W184" s="115">
        <v>15</v>
      </c>
      <c r="X184" s="207">
        <v>976.3</v>
      </c>
      <c r="Y184" s="207">
        <v>605.30999999999995</v>
      </c>
      <c r="Z184" s="204"/>
      <c r="AA184" s="207"/>
      <c r="AB184" s="207"/>
      <c r="AC184" s="207">
        <f t="shared" si="163"/>
        <v>288</v>
      </c>
      <c r="AD184" s="248">
        <f t="shared" si="164"/>
        <v>103.5</v>
      </c>
      <c r="AE184" s="275"/>
      <c r="AF184" s="275">
        <f>99.1-99.1+103.5</f>
        <v>103.5</v>
      </c>
      <c r="AG184" s="207">
        <v>184.5</v>
      </c>
      <c r="AH184" s="207"/>
      <c r="AI184" s="207">
        <f t="shared" si="165"/>
        <v>15737.17</v>
      </c>
      <c r="AJ184" s="170"/>
      <c r="AK184" s="170">
        <f>4+3</f>
        <v>7</v>
      </c>
      <c r="AL184" s="170">
        <f>4+3</f>
        <v>7</v>
      </c>
      <c r="AM184" s="170">
        <f>4+3</f>
        <v>7</v>
      </c>
      <c r="AN184" s="170"/>
      <c r="AO184" s="170">
        <f>4+3</f>
        <v>7</v>
      </c>
      <c r="AP184" s="170">
        <f>11403</f>
        <v>11403</v>
      </c>
      <c r="AQ184" s="170"/>
      <c r="AR184" s="170">
        <f>940</f>
        <v>940</v>
      </c>
      <c r="AS184" s="170">
        <f>830</f>
        <v>830</v>
      </c>
      <c r="AT184" s="170">
        <f>525</f>
        <v>525</v>
      </c>
      <c r="AU184" s="170">
        <f t="shared" si="182"/>
        <v>28450</v>
      </c>
      <c r="AV184" s="170"/>
      <c r="AW184" s="170">
        <f>28450</f>
        <v>28450</v>
      </c>
      <c r="AX184" s="170">
        <f>5880</f>
        <v>5880</v>
      </c>
      <c r="AY184" s="170">
        <f>556</f>
        <v>556</v>
      </c>
      <c r="AZ184" s="170">
        <f>1414+1079</f>
        <v>2493</v>
      </c>
      <c r="BA184" s="170">
        <f>1178+882</f>
        <v>2060</v>
      </c>
      <c r="BB184" s="170">
        <f>118</f>
        <v>118</v>
      </c>
      <c r="BC184" s="170">
        <f>148</f>
        <v>148</v>
      </c>
      <c r="BD184" s="170">
        <f>827-4</f>
        <v>823</v>
      </c>
      <c r="BE184" s="170">
        <f>1627-1</f>
        <v>1626</v>
      </c>
      <c r="BF184" s="170">
        <f>2</f>
        <v>2</v>
      </c>
      <c r="BG184" s="170">
        <v>26600</v>
      </c>
      <c r="BH184" s="170">
        <v>11445</v>
      </c>
      <c r="BI184" s="170">
        <v>315</v>
      </c>
      <c r="BJ184" s="115" t="str">
        <f t="shared" si="166"/>
        <v>0</v>
      </c>
      <c r="BK184" s="115" t="str">
        <f t="shared" si="167"/>
        <v>0</v>
      </c>
      <c r="BL184" s="115" t="str">
        <f t="shared" si="168"/>
        <v>0</v>
      </c>
      <c r="BM184" s="115">
        <f t="shared" si="169"/>
        <v>1</v>
      </c>
      <c r="BN184" s="115">
        <f t="shared" si="170"/>
        <v>15449.17</v>
      </c>
      <c r="BO184" s="115">
        <f t="shared" si="171"/>
        <v>9547.0000000000018</v>
      </c>
      <c r="BP184" s="115" t="str">
        <f t="shared" si="172"/>
        <v>0</v>
      </c>
      <c r="BQ184" s="115" t="str">
        <f t="shared" si="173"/>
        <v>0</v>
      </c>
      <c r="BR184" s="115" t="str">
        <f t="shared" si="174"/>
        <v>0</v>
      </c>
      <c r="BS184" s="115"/>
      <c r="BT184" s="115">
        <f>2+2</f>
        <v>4</v>
      </c>
      <c r="BU184" s="115"/>
      <c r="BV184" s="115"/>
      <c r="BW184" s="115">
        <f>3+10</f>
        <v>13</v>
      </c>
      <c r="BX184" s="115"/>
      <c r="BY184" s="253">
        <v>5207.5</v>
      </c>
      <c r="BZ184" s="253">
        <v>2824.1</v>
      </c>
      <c r="CA184" s="205">
        <f>2458+2294</f>
        <v>4752</v>
      </c>
      <c r="CB184" s="282">
        <f t="shared" si="175"/>
        <v>1985</v>
      </c>
      <c r="CC184" s="209" t="str">
        <f t="shared" si="183"/>
        <v>0</v>
      </c>
      <c r="CD184" s="235">
        <f t="shared" si="184"/>
        <v>0</v>
      </c>
      <c r="CE184" s="209">
        <f t="shared" si="185"/>
        <v>1</v>
      </c>
      <c r="CF184" s="235">
        <f t="shared" si="186"/>
        <v>28450</v>
      </c>
      <c r="CG184" s="235">
        <f t="shared" si="187"/>
        <v>1</v>
      </c>
      <c r="CH184" s="235">
        <f t="shared" si="188"/>
        <v>28450</v>
      </c>
      <c r="CI184" s="156">
        <v>59</v>
      </c>
      <c r="CJ184" s="284" t="str">
        <f t="shared" si="177"/>
        <v>0</v>
      </c>
      <c r="CK184" s="284" t="str">
        <f t="shared" si="178"/>
        <v>0</v>
      </c>
      <c r="CL184" s="243">
        <f t="shared" si="179"/>
        <v>6.3194333417264481</v>
      </c>
      <c r="CM184" s="216" t="str">
        <f t="shared" si="180"/>
        <v>0</v>
      </c>
      <c r="CN184" s="216" t="str">
        <f t="shared" si="181"/>
        <v>0</v>
      </c>
      <c r="CO184" s="243">
        <f t="shared" si="176"/>
        <v>6.8614623849141871</v>
      </c>
      <c r="CP184" s="306">
        <v>1</v>
      </c>
      <c r="CQ184" s="306">
        <v>0</v>
      </c>
      <c r="CR184" s="306">
        <v>0</v>
      </c>
      <c r="CS184" s="306">
        <v>0</v>
      </c>
      <c r="CT184" s="306">
        <v>4</v>
      </c>
      <c r="CU184" s="306">
        <v>0</v>
      </c>
      <c r="CV184" s="306">
        <v>0</v>
      </c>
      <c r="CW184" s="306">
        <v>0</v>
      </c>
      <c r="CX184" s="306">
        <v>0</v>
      </c>
      <c r="CY184" s="306">
        <v>239</v>
      </c>
      <c r="CZ184" s="306">
        <f t="shared" si="189"/>
        <v>224</v>
      </c>
      <c r="DA184" s="306">
        <v>15</v>
      </c>
      <c r="DB184" s="306">
        <v>222</v>
      </c>
      <c r="DC184" s="306">
        <v>143</v>
      </c>
      <c r="DD184" s="306">
        <v>174</v>
      </c>
      <c r="DE184" s="306">
        <v>198</v>
      </c>
      <c r="DF184" s="306">
        <v>143</v>
      </c>
      <c r="DG184" s="306">
        <v>174</v>
      </c>
      <c r="DH184" s="306">
        <v>198</v>
      </c>
      <c r="DI184" s="306">
        <v>14</v>
      </c>
      <c r="DJ184" s="306">
        <v>4</v>
      </c>
      <c r="DK184" s="306">
        <v>12</v>
      </c>
      <c r="DL184" s="306">
        <v>4</v>
      </c>
      <c r="DM184" s="306">
        <v>4</v>
      </c>
      <c r="DN184" s="306">
        <v>12</v>
      </c>
      <c r="DO184" s="306">
        <v>4</v>
      </c>
      <c r="DP184" s="306">
        <v>239</v>
      </c>
      <c r="DQ184" s="306">
        <v>239</v>
      </c>
    </row>
    <row r="185" spans="1:126" x14ac:dyDescent="0.2">
      <c r="A185" s="198" t="s">
        <v>203</v>
      </c>
      <c r="B185" s="169">
        <v>179</v>
      </c>
      <c r="C185" s="12" t="s">
        <v>294</v>
      </c>
      <c r="D185" s="170">
        <v>1983</v>
      </c>
      <c r="E185" s="11"/>
      <c r="F185" s="169">
        <v>84</v>
      </c>
      <c r="G185" s="35">
        <v>1</v>
      </c>
      <c r="H185" s="201">
        <v>9</v>
      </c>
      <c r="I185" s="201" t="s">
        <v>22</v>
      </c>
      <c r="J185" s="115">
        <v>22693</v>
      </c>
      <c r="K185" s="115">
        <v>959</v>
      </c>
      <c r="L185" s="157"/>
      <c r="M185" s="115">
        <v>883</v>
      </c>
      <c r="N185" s="115">
        <v>105</v>
      </c>
      <c r="O185" s="115">
        <v>227</v>
      </c>
      <c r="P185" s="115">
        <v>105</v>
      </c>
      <c r="Q185" s="115">
        <v>234</v>
      </c>
      <c r="R185" s="228">
        <v>5567.7</v>
      </c>
      <c r="S185" s="230">
        <v>3295.1</v>
      </c>
      <c r="T185" s="115">
        <f t="shared" si="160"/>
        <v>100</v>
      </c>
      <c r="U185" s="203">
        <f t="shared" si="161"/>
        <v>5319.8</v>
      </c>
      <c r="V185" s="180">
        <f t="shared" si="162"/>
        <v>3141.41</v>
      </c>
      <c r="W185" s="115">
        <v>5</v>
      </c>
      <c r="X185" s="207">
        <v>247.9</v>
      </c>
      <c r="Y185" s="207">
        <v>153.69</v>
      </c>
      <c r="Z185" s="204"/>
      <c r="AA185" s="207"/>
      <c r="AB185" s="207"/>
      <c r="AC185" s="207">
        <f t="shared" si="163"/>
        <v>153.4</v>
      </c>
      <c r="AD185" s="248">
        <f t="shared" si="164"/>
        <v>39.900000000000006</v>
      </c>
      <c r="AE185" s="275"/>
      <c r="AF185" s="275">
        <f>36.2+3.7</f>
        <v>39.900000000000006</v>
      </c>
      <c r="AG185" s="207">
        <v>113.5</v>
      </c>
      <c r="AH185" s="207"/>
      <c r="AI185" s="207">
        <f t="shared" si="165"/>
        <v>5721.0999999999995</v>
      </c>
      <c r="AJ185" s="170"/>
      <c r="AK185" s="170">
        <v>3</v>
      </c>
      <c r="AL185" s="170">
        <v>3</v>
      </c>
      <c r="AM185" s="170">
        <v>3</v>
      </c>
      <c r="AN185" s="170"/>
      <c r="AO185" s="170">
        <v>4</v>
      </c>
      <c r="AP185" s="170">
        <v>7956</v>
      </c>
      <c r="AQ185" s="170"/>
      <c r="AR185" s="170">
        <v>520</v>
      </c>
      <c r="AS185" s="170">
        <v>348</v>
      </c>
      <c r="AT185" s="170">
        <v>108</v>
      </c>
      <c r="AU185" s="170">
        <f t="shared" si="182"/>
        <v>12730</v>
      </c>
      <c r="AV185" s="170"/>
      <c r="AW185" s="170">
        <v>12730</v>
      </c>
      <c r="AX185" s="170">
        <v>2520</v>
      </c>
      <c r="AY185" s="170">
        <v>295</v>
      </c>
      <c r="AZ185" s="170">
        <v>883</v>
      </c>
      <c r="BA185" s="170">
        <v>883</v>
      </c>
      <c r="BB185" s="170">
        <v>54</v>
      </c>
      <c r="BC185" s="170">
        <v>6</v>
      </c>
      <c r="BD185" s="170">
        <f>321-3</f>
        <v>318</v>
      </c>
      <c r="BE185" s="170">
        <f>510-1</f>
        <v>509</v>
      </c>
      <c r="BF185" s="170">
        <v>1</v>
      </c>
      <c r="BG185" s="170">
        <v>10710</v>
      </c>
      <c r="BH185" s="170">
        <v>4905</v>
      </c>
      <c r="BI185" s="170">
        <v>135</v>
      </c>
      <c r="BJ185" s="115" t="str">
        <f t="shared" si="166"/>
        <v>0</v>
      </c>
      <c r="BK185" s="115" t="str">
        <f t="shared" si="167"/>
        <v>0</v>
      </c>
      <c r="BL185" s="115" t="str">
        <f t="shared" si="168"/>
        <v>0</v>
      </c>
      <c r="BM185" s="115">
        <f t="shared" si="169"/>
        <v>1</v>
      </c>
      <c r="BN185" s="115">
        <f t="shared" si="170"/>
        <v>5567.7</v>
      </c>
      <c r="BO185" s="115">
        <f t="shared" si="171"/>
        <v>3295.1</v>
      </c>
      <c r="BP185" s="115" t="str">
        <f t="shared" si="172"/>
        <v>0</v>
      </c>
      <c r="BQ185" s="115" t="str">
        <f t="shared" si="173"/>
        <v>0</v>
      </c>
      <c r="BR185" s="115" t="str">
        <f t="shared" si="174"/>
        <v>0</v>
      </c>
      <c r="BS185" s="115"/>
      <c r="BT185" s="115">
        <v>2</v>
      </c>
      <c r="BU185" s="115">
        <f>BA185</f>
        <v>883</v>
      </c>
      <c r="BV185" s="115">
        <v>4964</v>
      </c>
      <c r="BW185" s="115"/>
      <c r="BX185" s="115"/>
      <c r="BY185" s="253">
        <v>1605.5</v>
      </c>
      <c r="BZ185" s="253">
        <v>812.7</v>
      </c>
      <c r="CA185" s="205">
        <v>2497</v>
      </c>
      <c r="CB185" s="282">
        <f t="shared" si="175"/>
        <v>1538</v>
      </c>
      <c r="CC185" s="209" t="str">
        <f t="shared" si="183"/>
        <v>0</v>
      </c>
      <c r="CD185" s="235">
        <f t="shared" si="184"/>
        <v>0</v>
      </c>
      <c r="CE185" s="209">
        <f t="shared" si="185"/>
        <v>1</v>
      </c>
      <c r="CF185" s="235">
        <f t="shared" si="186"/>
        <v>12730</v>
      </c>
      <c r="CG185" s="235">
        <f t="shared" si="187"/>
        <v>1</v>
      </c>
      <c r="CH185" s="235">
        <f t="shared" si="188"/>
        <v>12730</v>
      </c>
      <c r="CI185" s="156">
        <v>77</v>
      </c>
      <c r="CJ185" s="284" t="str">
        <f t="shared" si="177"/>
        <v>0</v>
      </c>
      <c r="CK185" s="284" t="str">
        <f t="shared" si="178"/>
        <v>0</v>
      </c>
      <c r="CL185" s="243">
        <f t="shared" si="179"/>
        <v>4.4524669073405541</v>
      </c>
      <c r="CM185" s="216" t="str">
        <f t="shared" si="180"/>
        <v>0</v>
      </c>
      <c r="CN185" s="216" t="str">
        <f t="shared" si="181"/>
        <v>0</v>
      </c>
      <c r="CO185" s="243">
        <f t="shared" si="176"/>
        <v>5.0305011274055698</v>
      </c>
      <c r="CP185" s="306">
        <v>1</v>
      </c>
      <c r="CQ185" s="306">
        <v>0</v>
      </c>
      <c r="CR185" s="306">
        <v>0</v>
      </c>
      <c r="CS185" s="306">
        <v>0</v>
      </c>
      <c r="CT185" s="306">
        <v>2</v>
      </c>
      <c r="CU185" s="306">
        <v>0</v>
      </c>
      <c r="CV185" s="306">
        <v>0</v>
      </c>
      <c r="CW185" s="306">
        <v>0</v>
      </c>
      <c r="CX185" s="306">
        <v>0</v>
      </c>
      <c r="CY185" s="306">
        <v>105</v>
      </c>
      <c r="CZ185" s="306">
        <f t="shared" si="189"/>
        <v>98</v>
      </c>
      <c r="DA185" s="306">
        <v>7</v>
      </c>
      <c r="DB185" s="306">
        <v>96</v>
      </c>
      <c r="DC185" s="306">
        <v>52</v>
      </c>
      <c r="DD185" s="306">
        <v>71</v>
      </c>
      <c r="DE185" s="306">
        <v>71</v>
      </c>
      <c r="DF185" s="306">
        <v>52</v>
      </c>
      <c r="DG185" s="306">
        <v>71</v>
      </c>
      <c r="DH185" s="306">
        <v>71</v>
      </c>
      <c r="DI185" s="306">
        <v>6</v>
      </c>
      <c r="DJ185" s="306">
        <v>1</v>
      </c>
      <c r="DK185" s="306">
        <v>6</v>
      </c>
      <c r="DL185" s="306">
        <v>2</v>
      </c>
      <c r="DM185" s="306">
        <v>1</v>
      </c>
      <c r="DN185" s="306">
        <v>6</v>
      </c>
      <c r="DO185" s="306">
        <v>2</v>
      </c>
      <c r="DP185" s="306">
        <v>105</v>
      </c>
      <c r="DQ185" s="306">
        <v>105</v>
      </c>
    </row>
    <row r="186" spans="1:126" x14ac:dyDescent="0.2">
      <c r="A186" s="27" t="s">
        <v>197</v>
      </c>
      <c r="B186" s="169">
        <v>180</v>
      </c>
      <c r="C186" s="12" t="s">
        <v>295</v>
      </c>
      <c r="D186" s="169">
        <v>1989</v>
      </c>
      <c r="E186" s="11"/>
      <c r="F186" s="206" t="s">
        <v>24</v>
      </c>
      <c r="G186" s="35">
        <v>1</v>
      </c>
      <c r="H186" s="201">
        <v>9</v>
      </c>
      <c r="I186" s="201" t="s">
        <v>173</v>
      </c>
      <c r="J186" s="115">
        <f>19364+19550+13600</f>
        <v>52514</v>
      </c>
      <c r="K186" s="115">
        <f>774+794+539</f>
        <v>2107</v>
      </c>
      <c r="L186" s="157"/>
      <c r="M186" s="115">
        <f>709+714+518</f>
        <v>1941</v>
      </c>
      <c r="N186" s="115">
        <v>190</v>
      </c>
      <c r="O186" s="115">
        <v>452</v>
      </c>
      <c r="P186" s="115">
        <v>192</v>
      </c>
      <c r="Q186" s="115">
        <v>385</v>
      </c>
      <c r="R186" s="228">
        <f>11476.6+2.2</f>
        <v>11478.800000000001</v>
      </c>
      <c r="S186" s="230">
        <v>6855.6</v>
      </c>
      <c r="T186" s="115">
        <f t="shared" si="160"/>
        <v>174</v>
      </c>
      <c r="U186" s="202">
        <f t="shared" si="161"/>
        <v>10494.990000000002</v>
      </c>
      <c r="V186" s="180">
        <f t="shared" si="162"/>
        <v>6324.5</v>
      </c>
      <c r="W186" s="115">
        <v>16</v>
      </c>
      <c r="X186" s="207">
        <v>983.81</v>
      </c>
      <c r="Y186" s="207">
        <v>531.1</v>
      </c>
      <c r="Z186" s="204"/>
      <c r="AA186" s="207"/>
      <c r="AB186" s="207"/>
      <c r="AC186" s="207">
        <f t="shared" si="163"/>
        <v>237.7</v>
      </c>
      <c r="AD186" s="248">
        <f t="shared" si="164"/>
        <v>237.7</v>
      </c>
      <c r="AE186" s="248"/>
      <c r="AF186" s="275">
        <f>237.7-205+205</f>
        <v>237.7</v>
      </c>
      <c r="AG186" s="207"/>
      <c r="AH186" s="207"/>
      <c r="AI186" s="207">
        <f t="shared" si="165"/>
        <v>11716.500000000002</v>
      </c>
      <c r="AJ186" s="170"/>
      <c r="AK186" s="170">
        <v>5</v>
      </c>
      <c r="AL186" s="170">
        <v>5</v>
      </c>
      <c r="AM186" s="170">
        <v>5</v>
      </c>
      <c r="AN186" s="170"/>
      <c r="AO186" s="170">
        <v>5</v>
      </c>
      <c r="AP186" s="170">
        <f>1860+1860+1382</f>
        <v>5102</v>
      </c>
      <c r="AQ186" s="170"/>
      <c r="AR186" s="170">
        <f>327+328+120</f>
        <v>775</v>
      </c>
      <c r="AS186" s="170">
        <f>280+280+148</f>
        <v>708</v>
      </c>
      <c r="AT186" s="170">
        <f>150+150+75</f>
        <v>375</v>
      </c>
      <c r="AU186" s="170">
        <f t="shared" si="182"/>
        <v>20050</v>
      </c>
      <c r="AV186" s="170"/>
      <c r="AW186" s="170">
        <f>10025+10025</f>
        <v>20050</v>
      </c>
      <c r="AX186" s="170">
        <f>1680+1680</f>
        <v>3360</v>
      </c>
      <c r="AY186" s="170">
        <f>195+195+140</f>
        <v>530</v>
      </c>
      <c r="AZ186" s="170">
        <f>709+713+518</f>
        <v>1940</v>
      </c>
      <c r="BA186" s="170">
        <f>595+590+390</f>
        <v>1575</v>
      </c>
      <c r="BB186" s="170">
        <f>17+17+17</f>
        <v>51</v>
      </c>
      <c r="BC186" s="170">
        <f>20+20+24</f>
        <v>64</v>
      </c>
      <c r="BD186" s="170">
        <f>129+128+141</f>
        <v>398</v>
      </c>
      <c r="BE186" s="170">
        <f>232+232+264</f>
        <v>728</v>
      </c>
      <c r="BF186" s="170">
        <v>3</v>
      </c>
      <c r="BG186" s="170">
        <v>19000</v>
      </c>
      <c r="BH186" s="170">
        <v>8175</v>
      </c>
      <c r="BI186" s="170">
        <v>225</v>
      </c>
      <c r="BJ186" s="115" t="str">
        <f t="shared" si="166"/>
        <v>0</v>
      </c>
      <c r="BK186" s="115" t="str">
        <f t="shared" si="167"/>
        <v>0</v>
      </c>
      <c r="BL186" s="115" t="str">
        <f t="shared" si="168"/>
        <v>0</v>
      </c>
      <c r="BM186" s="115" t="str">
        <f t="shared" si="169"/>
        <v>0</v>
      </c>
      <c r="BN186" s="115" t="str">
        <f t="shared" si="170"/>
        <v>0</v>
      </c>
      <c r="BO186" s="115" t="str">
        <f t="shared" si="171"/>
        <v>0</v>
      </c>
      <c r="BP186" s="115">
        <f t="shared" si="172"/>
        <v>1</v>
      </c>
      <c r="BQ186" s="115">
        <f t="shared" si="173"/>
        <v>11478.800000000001</v>
      </c>
      <c r="BR186" s="115">
        <f t="shared" si="174"/>
        <v>6855.6</v>
      </c>
      <c r="BS186" s="115"/>
      <c r="BT186" s="115">
        <f>2+1+1</f>
        <v>4</v>
      </c>
      <c r="BU186" s="115"/>
      <c r="BV186" s="115"/>
      <c r="BW186" s="115"/>
      <c r="BX186" s="115">
        <v>1382</v>
      </c>
      <c r="BY186" s="253">
        <v>3907.8</v>
      </c>
      <c r="BZ186" s="253">
        <v>2142.4</v>
      </c>
      <c r="CA186" s="205">
        <v>3807</v>
      </c>
      <c r="CB186" s="282">
        <f t="shared" si="175"/>
        <v>1700</v>
      </c>
      <c r="CC186" s="209" t="str">
        <f t="shared" si="183"/>
        <v>0</v>
      </c>
      <c r="CD186" s="235">
        <f t="shared" si="184"/>
        <v>0</v>
      </c>
      <c r="CE186" s="209">
        <f t="shared" si="185"/>
        <v>1</v>
      </c>
      <c r="CF186" s="235">
        <f t="shared" si="186"/>
        <v>20050</v>
      </c>
      <c r="CG186" s="235">
        <f t="shared" si="187"/>
        <v>1</v>
      </c>
      <c r="CH186" s="235">
        <f t="shared" si="188"/>
        <v>20050</v>
      </c>
      <c r="CI186" s="156">
        <v>45</v>
      </c>
      <c r="CJ186" s="284" t="str">
        <f t="shared" si="177"/>
        <v>0</v>
      </c>
      <c r="CK186" s="284" t="str">
        <f t="shared" si="178"/>
        <v>0</v>
      </c>
      <c r="CL186" s="243">
        <f t="shared" si="179"/>
        <v>8.5706694079520496</v>
      </c>
      <c r="CM186" s="216" t="str">
        <f t="shared" si="180"/>
        <v>0</v>
      </c>
      <c r="CN186" s="216" t="str">
        <f t="shared" si="181"/>
        <v>0</v>
      </c>
      <c r="CO186" s="243">
        <f t="shared" si="176"/>
        <v>10.425553706311611</v>
      </c>
      <c r="CP186" s="306">
        <v>1</v>
      </c>
      <c r="CQ186" s="306">
        <v>0</v>
      </c>
      <c r="CR186" s="306">
        <v>0</v>
      </c>
      <c r="CS186" s="306">
        <v>0</v>
      </c>
      <c r="CT186" s="306">
        <v>4</v>
      </c>
      <c r="CU186" s="306">
        <v>0</v>
      </c>
      <c r="CV186" s="306">
        <v>0</v>
      </c>
      <c r="CW186" s="306">
        <v>0</v>
      </c>
      <c r="CX186" s="306">
        <v>0</v>
      </c>
      <c r="CY186" s="306">
        <v>190</v>
      </c>
      <c r="CZ186" s="306">
        <f t="shared" si="189"/>
        <v>179</v>
      </c>
      <c r="DA186" s="306">
        <v>11</v>
      </c>
      <c r="DB186" s="306">
        <v>174</v>
      </c>
      <c r="DC186" s="306">
        <v>108</v>
      </c>
      <c r="DD186" s="306">
        <v>105</v>
      </c>
      <c r="DE186" s="306">
        <v>139</v>
      </c>
      <c r="DF186" s="306">
        <v>108</v>
      </c>
      <c r="DG186" s="306">
        <v>105</v>
      </c>
      <c r="DH186" s="306">
        <v>139</v>
      </c>
      <c r="DI186" s="306">
        <v>10</v>
      </c>
      <c r="DJ186" s="306">
        <v>5</v>
      </c>
      <c r="DK186" s="306">
        <v>0</v>
      </c>
      <c r="DL186" s="306">
        <v>7</v>
      </c>
      <c r="DM186" s="306">
        <v>5</v>
      </c>
      <c r="DN186" s="306">
        <v>0</v>
      </c>
      <c r="DO186" s="306">
        <v>7</v>
      </c>
      <c r="DP186" s="306">
        <v>190</v>
      </c>
      <c r="DQ186" s="306">
        <v>190</v>
      </c>
    </row>
    <row r="187" spans="1:126" x14ac:dyDescent="0.2">
      <c r="A187" s="198" t="s">
        <v>203</v>
      </c>
      <c r="B187" s="169">
        <v>181</v>
      </c>
      <c r="C187" s="12" t="s">
        <v>296</v>
      </c>
      <c r="D187" s="170">
        <v>1983</v>
      </c>
      <c r="E187" s="11"/>
      <c r="F187" s="169">
        <v>84</v>
      </c>
      <c r="G187" s="35">
        <v>1</v>
      </c>
      <c r="H187" s="201">
        <v>9</v>
      </c>
      <c r="I187" s="201" t="s">
        <v>22</v>
      </c>
      <c r="J187" s="115">
        <v>14569</v>
      </c>
      <c r="K187" s="115">
        <v>620</v>
      </c>
      <c r="L187" s="157"/>
      <c r="M187" s="115">
        <v>569</v>
      </c>
      <c r="N187" s="115">
        <v>72</v>
      </c>
      <c r="O187" s="115">
        <v>142</v>
      </c>
      <c r="P187" s="115">
        <v>72</v>
      </c>
      <c r="Q187" s="115">
        <v>130</v>
      </c>
      <c r="R187" s="228">
        <v>3647.16</v>
      </c>
      <c r="S187" s="230">
        <v>2143.1</v>
      </c>
      <c r="T187" s="115">
        <f t="shared" si="160"/>
        <v>71</v>
      </c>
      <c r="U187" s="203">
        <f t="shared" si="161"/>
        <v>3610.8599999999997</v>
      </c>
      <c r="V187" s="180">
        <f t="shared" si="162"/>
        <v>2120.5899999999997</v>
      </c>
      <c r="W187" s="115">
        <v>1</v>
      </c>
      <c r="X187" s="207">
        <v>36.299999999999997</v>
      </c>
      <c r="Y187" s="207">
        <v>22.51</v>
      </c>
      <c r="Z187" s="204"/>
      <c r="AA187" s="207"/>
      <c r="AB187" s="207"/>
      <c r="AC187" s="207">
        <f t="shared" si="163"/>
        <v>0</v>
      </c>
      <c r="AD187" s="248">
        <f t="shared" si="164"/>
        <v>0</v>
      </c>
      <c r="AE187" s="275"/>
      <c r="AF187" s="275"/>
      <c r="AG187" s="207"/>
      <c r="AH187" s="207"/>
      <c r="AI187" s="207">
        <f t="shared" si="165"/>
        <v>3647.16</v>
      </c>
      <c r="AJ187" s="170"/>
      <c r="AK187" s="170">
        <v>2</v>
      </c>
      <c r="AL187" s="170">
        <v>2</v>
      </c>
      <c r="AM187" s="170">
        <v>2</v>
      </c>
      <c r="AN187" s="170"/>
      <c r="AO187" s="170">
        <v>3</v>
      </c>
      <c r="AP187" s="170">
        <v>4059</v>
      </c>
      <c r="AQ187" s="170"/>
      <c r="AR187" s="170">
        <v>395</v>
      </c>
      <c r="AS187" s="170">
        <v>236</v>
      </c>
      <c r="AT187" s="170">
        <v>72</v>
      </c>
      <c r="AU187" s="170">
        <f t="shared" si="182"/>
        <v>8450</v>
      </c>
      <c r="AV187" s="170"/>
      <c r="AW187" s="170">
        <v>8450</v>
      </c>
      <c r="AX187" s="170">
        <v>1680</v>
      </c>
      <c r="AY187" s="170">
        <v>185</v>
      </c>
      <c r="AZ187" s="170">
        <v>569</v>
      </c>
      <c r="BA187" s="170">
        <v>459</v>
      </c>
      <c r="BB187" s="170">
        <v>32</v>
      </c>
      <c r="BC187" s="170">
        <v>41</v>
      </c>
      <c r="BD187" s="170">
        <v>244</v>
      </c>
      <c r="BE187" s="170">
        <v>454</v>
      </c>
      <c r="BF187" s="170">
        <v>1</v>
      </c>
      <c r="BG187" s="170">
        <v>7140</v>
      </c>
      <c r="BH187" s="170">
        <v>3270</v>
      </c>
      <c r="BI187" s="170">
        <v>90</v>
      </c>
      <c r="BJ187" s="115" t="str">
        <f t="shared" si="166"/>
        <v>0</v>
      </c>
      <c r="BK187" s="115" t="str">
        <f t="shared" si="167"/>
        <v>0</v>
      </c>
      <c r="BL187" s="115" t="str">
        <f t="shared" si="168"/>
        <v>0</v>
      </c>
      <c r="BM187" s="115">
        <f t="shared" si="169"/>
        <v>1</v>
      </c>
      <c r="BN187" s="115">
        <f t="shared" si="170"/>
        <v>3647.16</v>
      </c>
      <c r="BO187" s="115">
        <f t="shared" si="171"/>
        <v>2143.1</v>
      </c>
      <c r="BP187" s="115" t="str">
        <f t="shared" si="172"/>
        <v>0</v>
      </c>
      <c r="BQ187" s="115" t="str">
        <f t="shared" si="173"/>
        <v>0</v>
      </c>
      <c r="BR187" s="115" t="str">
        <f t="shared" si="174"/>
        <v>0</v>
      </c>
      <c r="BS187" s="115"/>
      <c r="BT187" s="115">
        <v>1</v>
      </c>
      <c r="BU187" s="115">
        <f>BA187</f>
        <v>459</v>
      </c>
      <c r="BV187" s="115">
        <v>3236</v>
      </c>
      <c r="BW187" s="115"/>
      <c r="BX187" s="115"/>
      <c r="BY187" s="253">
        <v>1054.8</v>
      </c>
      <c r="BZ187" s="253">
        <v>543.20000000000005</v>
      </c>
      <c r="CA187" s="205">
        <v>1621</v>
      </c>
      <c r="CB187" s="282">
        <f t="shared" si="175"/>
        <v>1001</v>
      </c>
      <c r="CC187" s="209" t="str">
        <f t="shared" si="183"/>
        <v>0</v>
      </c>
      <c r="CD187" s="235">
        <f t="shared" si="184"/>
        <v>0</v>
      </c>
      <c r="CE187" s="209">
        <f t="shared" si="185"/>
        <v>1</v>
      </c>
      <c r="CF187" s="235">
        <f t="shared" si="186"/>
        <v>8450</v>
      </c>
      <c r="CG187" s="235">
        <f t="shared" si="187"/>
        <v>1</v>
      </c>
      <c r="CH187" s="235">
        <f t="shared" si="188"/>
        <v>8450</v>
      </c>
      <c r="CI187" s="156">
        <v>46</v>
      </c>
      <c r="CJ187" s="284" t="str">
        <f t="shared" si="177"/>
        <v>0</v>
      </c>
      <c r="CK187" s="284" t="str">
        <f t="shared" si="178"/>
        <v>0</v>
      </c>
      <c r="CL187" s="243">
        <f t="shared" si="179"/>
        <v>0.9952949692363372</v>
      </c>
      <c r="CM187" s="216" t="str">
        <f t="shared" si="180"/>
        <v>0</v>
      </c>
      <c r="CN187" s="216" t="str">
        <f t="shared" si="181"/>
        <v>0</v>
      </c>
      <c r="CO187" s="243">
        <f t="shared" si="176"/>
        <v>0.9952949692363372</v>
      </c>
      <c r="CP187" s="306">
        <v>1</v>
      </c>
      <c r="CQ187" s="306">
        <v>0</v>
      </c>
      <c r="CR187" s="306">
        <v>0</v>
      </c>
      <c r="CS187" s="306">
        <v>1</v>
      </c>
      <c r="CT187" s="306">
        <v>2</v>
      </c>
      <c r="CU187" s="306">
        <v>0</v>
      </c>
      <c r="CV187" s="306">
        <v>0</v>
      </c>
      <c r="CW187" s="306">
        <v>1</v>
      </c>
      <c r="CX187" s="306">
        <v>0</v>
      </c>
      <c r="CY187" s="306">
        <v>72</v>
      </c>
      <c r="CZ187" s="306">
        <f t="shared" si="189"/>
        <v>71</v>
      </c>
      <c r="DA187" s="306">
        <v>1</v>
      </c>
      <c r="DB187" s="306">
        <v>71</v>
      </c>
      <c r="DC187" s="306">
        <v>35</v>
      </c>
      <c r="DD187" s="306">
        <v>45</v>
      </c>
      <c r="DE187" s="306">
        <v>43</v>
      </c>
      <c r="DF187" s="306">
        <v>34</v>
      </c>
      <c r="DG187" s="306">
        <v>46</v>
      </c>
      <c r="DH187" s="306">
        <v>42</v>
      </c>
      <c r="DI187" s="306">
        <v>0</v>
      </c>
      <c r="DJ187" s="306">
        <v>0</v>
      </c>
      <c r="DK187" s="306">
        <v>2</v>
      </c>
      <c r="DL187" s="306">
        <v>0</v>
      </c>
      <c r="DM187" s="306">
        <v>0</v>
      </c>
      <c r="DN187" s="306">
        <v>2</v>
      </c>
      <c r="DO187" s="306">
        <v>0</v>
      </c>
      <c r="DP187" s="306">
        <v>72</v>
      </c>
      <c r="DQ187" s="306">
        <v>72</v>
      </c>
    </row>
    <row r="188" spans="1:126" s="7" customFormat="1" hidden="1" outlineLevel="1" x14ac:dyDescent="0.2">
      <c r="A188" s="12"/>
      <c r="B188" s="169"/>
      <c r="C188" s="12"/>
      <c r="D188" s="13"/>
      <c r="E188" s="11"/>
      <c r="F188" s="169"/>
      <c r="G188" s="35"/>
      <c r="H188" s="1"/>
      <c r="I188" s="1"/>
      <c r="J188" s="122"/>
      <c r="K188" s="122"/>
      <c r="L188" s="122"/>
      <c r="M188" s="122"/>
      <c r="N188" s="122"/>
      <c r="O188" s="122"/>
      <c r="P188" s="122"/>
      <c r="Q188" s="122"/>
      <c r="R188" s="121"/>
      <c r="S188" s="121"/>
      <c r="T188" s="122"/>
      <c r="U188" s="122"/>
      <c r="V188" s="122"/>
      <c r="W188" s="122"/>
      <c r="X188" s="180"/>
      <c r="Y188" s="180"/>
      <c r="Z188" s="122"/>
      <c r="AA188" s="180"/>
      <c r="AB188" s="180"/>
      <c r="AC188" s="180"/>
      <c r="AD188" s="179"/>
      <c r="AE188" s="271"/>
      <c r="AF188" s="180"/>
      <c r="AG188" s="180"/>
      <c r="AH188" s="180"/>
      <c r="AI188" s="180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22"/>
      <c r="BV188" s="115"/>
      <c r="BW188" s="115"/>
      <c r="BX188" s="115"/>
      <c r="BY188" s="183"/>
      <c r="BZ188" s="183"/>
      <c r="CA188" s="174"/>
      <c r="CB188" s="174"/>
      <c r="CI188" s="14"/>
      <c r="CJ188" s="39"/>
      <c r="CK188" s="39"/>
      <c r="CL188" s="222"/>
      <c r="CM188" s="222"/>
      <c r="CN188" s="222"/>
      <c r="CO188" s="222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</row>
    <row r="189" spans="1:126" s="7" customFormat="1" hidden="1" outlineLevel="1" x14ac:dyDescent="0.2">
      <c r="A189" s="12"/>
      <c r="B189" s="169"/>
      <c r="C189" s="12"/>
      <c r="D189" s="13"/>
      <c r="E189" s="11"/>
      <c r="F189" s="169"/>
      <c r="G189" s="35"/>
      <c r="H189" s="1"/>
      <c r="I189" s="1"/>
      <c r="J189" s="122"/>
      <c r="K189" s="122"/>
      <c r="L189" s="122"/>
      <c r="M189" s="122"/>
      <c r="N189" s="122"/>
      <c r="O189" s="122"/>
      <c r="P189" s="122"/>
      <c r="Q189" s="122"/>
      <c r="R189" s="121"/>
      <c r="S189" s="121"/>
      <c r="T189" s="122"/>
      <c r="U189" s="122"/>
      <c r="V189" s="122"/>
      <c r="W189" s="122"/>
      <c r="X189" s="180"/>
      <c r="Y189" s="180"/>
      <c r="Z189" s="122"/>
      <c r="AA189" s="180"/>
      <c r="AB189" s="180"/>
      <c r="AC189" s="180"/>
      <c r="AD189" s="179"/>
      <c r="AE189" s="271"/>
      <c r="AF189" s="180"/>
      <c r="AG189" s="180"/>
      <c r="AH189" s="180"/>
      <c r="AI189" s="180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22"/>
      <c r="BV189" s="115"/>
      <c r="BW189" s="115"/>
      <c r="BX189" s="115"/>
      <c r="BY189" s="183"/>
      <c r="BZ189" s="183"/>
      <c r="CA189" s="174"/>
      <c r="CB189" s="174"/>
      <c r="CI189" s="14"/>
      <c r="CJ189" s="39"/>
      <c r="CK189" s="39"/>
      <c r="CL189" s="222"/>
      <c r="CM189" s="222"/>
      <c r="CN189" s="222"/>
      <c r="CO189" s="222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</row>
    <row r="190" spans="1:126" s="7" customFormat="1" hidden="1" outlineLevel="1" x14ac:dyDescent="0.2">
      <c r="A190" s="12"/>
      <c r="B190" s="169"/>
      <c r="C190" s="12"/>
      <c r="D190" s="13"/>
      <c r="E190" s="11"/>
      <c r="F190" s="169"/>
      <c r="G190" s="35"/>
      <c r="H190" s="1"/>
      <c r="I190" s="1"/>
      <c r="J190" s="122"/>
      <c r="K190" s="122"/>
      <c r="L190" s="122"/>
      <c r="M190" s="122"/>
      <c r="N190" s="122"/>
      <c r="O190" s="122"/>
      <c r="P190" s="122"/>
      <c r="Q190" s="122"/>
      <c r="R190" s="121"/>
      <c r="S190" s="121"/>
      <c r="T190" s="122"/>
      <c r="U190" s="122"/>
      <c r="V190" s="122"/>
      <c r="W190" s="122"/>
      <c r="X190" s="180"/>
      <c r="Y190" s="180"/>
      <c r="Z190" s="122"/>
      <c r="AA190" s="180"/>
      <c r="AB190" s="180"/>
      <c r="AC190" s="180"/>
      <c r="AD190" s="179"/>
      <c r="AE190" s="271"/>
      <c r="AF190" s="180"/>
      <c r="AG190" s="180"/>
      <c r="AH190" s="180"/>
      <c r="AI190" s="180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22"/>
      <c r="BV190" s="115"/>
      <c r="BW190" s="115"/>
      <c r="BX190" s="115"/>
      <c r="BY190" s="183"/>
      <c r="BZ190" s="183"/>
      <c r="CA190" s="174"/>
      <c r="CB190" s="174"/>
      <c r="CI190" s="14"/>
      <c r="CJ190" s="39"/>
      <c r="CK190" s="39"/>
      <c r="CL190" s="222"/>
      <c r="CM190" s="222"/>
      <c r="CN190" s="222"/>
      <c r="CO190" s="222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</row>
    <row r="191" spans="1:126" s="7" customFormat="1" hidden="1" outlineLevel="1" x14ac:dyDescent="0.2">
      <c r="A191" s="12"/>
      <c r="B191" s="169"/>
      <c r="C191" s="12"/>
      <c r="D191" s="13"/>
      <c r="E191" s="11"/>
      <c r="F191" s="169"/>
      <c r="G191" s="35"/>
      <c r="H191" s="1"/>
      <c r="I191" s="1"/>
      <c r="J191" s="122"/>
      <c r="K191" s="122"/>
      <c r="L191" s="122"/>
      <c r="M191" s="122"/>
      <c r="N191" s="122"/>
      <c r="O191" s="122"/>
      <c r="P191" s="122"/>
      <c r="Q191" s="122"/>
      <c r="R191" s="121"/>
      <c r="S191" s="121"/>
      <c r="T191" s="122"/>
      <c r="U191" s="122"/>
      <c r="V191" s="122"/>
      <c r="W191" s="122"/>
      <c r="X191" s="180"/>
      <c r="Y191" s="180"/>
      <c r="Z191" s="122"/>
      <c r="AA191" s="180"/>
      <c r="AB191" s="180"/>
      <c r="AC191" s="180"/>
      <c r="AD191" s="179"/>
      <c r="AE191" s="271"/>
      <c r="AF191" s="180"/>
      <c r="AG191" s="180"/>
      <c r="AH191" s="180"/>
      <c r="AI191" s="180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22"/>
      <c r="BV191" s="115"/>
      <c r="BW191" s="115"/>
      <c r="BX191" s="115"/>
      <c r="BY191" s="183"/>
      <c r="BZ191" s="183"/>
      <c r="CA191" s="174"/>
      <c r="CB191" s="174"/>
      <c r="CI191" s="14"/>
      <c r="CJ191" s="39"/>
      <c r="CK191" s="39"/>
      <c r="CL191" s="222"/>
      <c r="CM191" s="222"/>
      <c r="CN191" s="222"/>
      <c r="CO191" s="222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</row>
    <row r="192" spans="1:126" s="7" customFormat="1" hidden="1" outlineLevel="1" x14ac:dyDescent="0.2">
      <c r="A192" s="12"/>
      <c r="B192" s="169"/>
      <c r="C192" s="12"/>
      <c r="D192" s="13"/>
      <c r="E192" s="11"/>
      <c r="F192" s="169"/>
      <c r="G192" s="35"/>
      <c r="H192" s="1"/>
      <c r="I192" s="1"/>
      <c r="J192" s="122"/>
      <c r="K192" s="122"/>
      <c r="L192" s="122"/>
      <c r="M192" s="122"/>
      <c r="N192" s="122"/>
      <c r="O192" s="122"/>
      <c r="P192" s="122"/>
      <c r="Q192" s="122"/>
      <c r="R192" s="121"/>
      <c r="S192" s="121"/>
      <c r="T192" s="122"/>
      <c r="U192" s="122"/>
      <c r="V192" s="122"/>
      <c r="W192" s="122"/>
      <c r="X192" s="180"/>
      <c r="Y192" s="180"/>
      <c r="Z192" s="122"/>
      <c r="AA192" s="180"/>
      <c r="AB192" s="180"/>
      <c r="AC192" s="180"/>
      <c r="AD192" s="179"/>
      <c r="AE192" s="271"/>
      <c r="AF192" s="180"/>
      <c r="AG192" s="180"/>
      <c r="AH192" s="180"/>
      <c r="AI192" s="180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22"/>
      <c r="BV192" s="115"/>
      <c r="BW192" s="115"/>
      <c r="BX192" s="115"/>
      <c r="BY192" s="183"/>
      <c r="BZ192" s="183"/>
      <c r="CA192" s="174"/>
      <c r="CB192" s="174"/>
      <c r="CI192" s="14"/>
      <c r="CJ192" s="39"/>
      <c r="CK192" s="39"/>
      <c r="CL192" s="222"/>
      <c r="CM192" s="222"/>
      <c r="CN192" s="222"/>
      <c r="CO192" s="222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</row>
    <row r="193" spans="1:121" s="7" customFormat="1" hidden="1" outlineLevel="1" x14ac:dyDescent="0.2">
      <c r="A193" s="12"/>
      <c r="B193" s="169"/>
      <c r="C193" s="12"/>
      <c r="D193" s="13"/>
      <c r="E193" s="11"/>
      <c r="F193" s="169"/>
      <c r="G193" s="35"/>
      <c r="H193" s="1"/>
      <c r="I193" s="1"/>
      <c r="J193" s="122"/>
      <c r="K193" s="122"/>
      <c r="L193" s="122"/>
      <c r="M193" s="122"/>
      <c r="N193" s="122"/>
      <c r="O193" s="122"/>
      <c r="P193" s="122"/>
      <c r="Q193" s="122"/>
      <c r="R193" s="121"/>
      <c r="S193" s="121"/>
      <c r="T193" s="122"/>
      <c r="U193" s="122"/>
      <c r="V193" s="122"/>
      <c r="W193" s="122"/>
      <c r="X193" s="180"/>
      <c r="Y193" s="180"/>
      <c r="Z193" s="122"/>
      <c r="AA193" s="180"/>
      <c r="AB193" s="180"/>
      <c r="AC193" s="180"/>
      <c r="AD193" s="179"/>
      <c r="AE193" s="271"/>
      <c r="AF193" s="180"/>
      <c r="AG193" s="180"/>
      <c r="AH193" s="180"/>
      <c r="AI193" s="180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22"/>
      <c r="BV193" s="115"/>
      <c r="BW193" s="115"/>
      <c r="BX193" s="115"/>
      <c r="BY193" s="183"/>
      <c r="BZ193" s="183"/>
      <c r="CA193" s="174"/>
      <c r="CB193" s="174"/>
      <c r="CI193" s="14"/>
      <c r="CJ193" s="39"/>
      <c r="CK193" s="39"/>
      <c r="CL193" s="222"/>
      <c r="CM193" s="222"/>
      <c r="CN193" s="222"/>
      <c r="CO193" s="222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</row>
    <row r="194" spans="1:121" s="7" customFormat="1" hidden="1" outlineLevel="1" x14ac:dyDescent="0.2">
      <c r="A194" s="12"/>
      <c r="B194" s="169"/>
      <c r="C194" s="12"/>
      <c r="D194" s="13"/>
      <c r="E194" s="11"/>
      <c r="F194" s="169"/>
      <c r="G194" s="35"/>
      <c r="H194" s="1"/>
      <c r="I194" s="1"/>
      <c r="J194" s="122"/>
      <c r="K194" s="122"/>
      <c r="L194" s="122"/>
      <c r="M194" s="122"/>
      <c r="N194" s="122"/>
      <c r="O194" s="122"/>
      <c r="P194" s="122"/>
      <c r="Q194" s="122"/>
      <c r="R194" s="121"/>
      <c r="S194" s="121"/>
      <c r="T194" s="122"/>
      <c r="U194" s="122"/>
      <c r="V194" s="122"/>
      <c r="W194" s="122"/>
      <c r="X194" s="180"/>
      <c r="Y194" s="180"/>
      <c r="Z194" s="122"/>
      <c r="AA194" s="180"/>
      <c r="AB194" s="180"/>
      <c r="AC194" s="180"/>
      <c r="AD194" s="179"/>
      <c r="AE194" s="271"/>
      <c r="AF194" s="180"/>
      <c r="AG194" s="180"/>
      <c r="AH194" s="180"/>
      <c r="AI194" s="180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22"/>
      <c r="BV194" s="115"/>
      <c r="BW194" s="115"/>
      <c r="BX194" s="115"/>
      <c r="BY194" s="183"/>
      <c r="BZ194" s="183"/>
      <c r="CA194" s="174"/>
      <c r="CB194" s="174"/>
      <c r="CI194" s="14"/>
      <c r="CJ194" s="39"/>
      <c r="CK194" s="39"/>
      <c r="CL194" s="222"/>
      <c r="CM194" s="222"/>
      <c r="CN194" s="222"/>
      <c r="CO194" s="222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</row>
    <row r="195" spans="1:121" s="7" customFormat="1" hidden="1" outlineLevel="1" x14ac:dyDescent="0.2">
      <c r="A195" s="12"/>
      <c r="B195" s="169"/>
      <c r="C195" s="12"/>
      <c r="D195" s="13"/>
      <c r="E195" s="11"/>
      <c r="F195" s="169"/>
      <c r="G195" s="35"/>
      <c r="H195" s="1"/>
      <c r="I195" s="1"/>
      <c r="J195" s="122"/>
      <c r="K195" s="122"/>
      <c r="L195" s="122"/>
      <c r="M195" s="122"/>
      <c r="N195" s="122"/>
      <c r="O195" s="122"/>
      <c r="P195" s="122"/>
      <c r="Q195" s="122"/>
      <c r="R195" s="121"/>
      <c r="S195" s="121"/>
      <c r="T195" s="122"/>
      <c r="U195" s="122"/>
      <c r="V195" s="122"/>
      <c r="W195" s="122"/>
      <c r="X195" s="180"/>
      <c r="Y195" s="180"/>
      <c r="Z195" s="122"/>
      <c r="AA195" s="180"/>
      <c r="AB195" s="180"/>
      <c r="AC195" s="180"/>
      <c r="AD195" s="179"/>
      <c r="AE195" s="271"/>
      <c r="AF195" s="180"/>
      <c r="AG195" s="180"/>
      <c r="AH195" s="180"/>
      <c r="AI195" s="180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22"/>
      <c r="BV195" s="115"/>
      <c r="BW195" s="115"/>
      <c r="BX195" s="115"/>
      <c r="BY195" s="183"/>
      <c r="BZ195" s="183"/>
      <c r="CA195" s="174"/>
      <c r="CB195" s="174"/>
      <c r="CI195" s="14"/>
      <c r="CJ195" s="39"/>
      <c r="CK195" s="39"/>
      <c r="CL195" s="222"/>
      <c r="CM195" s="222"/>
      <c r="CN195" s="222"/>
      <c r="CO195" s="222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</row>
    <row r="196" spans="1:121" s="7" customFormat="1" hidden="1" outlineLevel="1" x14ac:dyDescent="0.2">
      <c r="A196" s="12"/>
      <c r="B196" s="169"/>
      <c r="C196" s="12"/>
      <c r="D196" s="13"/>
      <c r="E196" s="11"/>
      <c r="F196" s="169"/>
      <c r="G196" s="35"/>
      <c r="H196" s="1"/>
      <c r="I196" s="1"/>
      <c r="J196" s="122"/>
      <c r="K196" s="122"/>
      <c r="L196" s="122"/>
      <c r="M196" s="122"/>
      <c r="N196" s="122"/>
      <c r="O196" s="122"/>
      <c r="P196" s="122"/>
      <c r="Q196" s="122"/>
      <c r="R196" s="121"/>
      <c r="S196" s="121"/>
      <c r="T196" s="122"/>
      <c r="U196" s="122"/>
      <c r="V196" s="122"/>
      <c r="W196" s="122"/>
      <c r="X196" s="180"/>
      <c r="Y196" s="180"/>
      <c r="Z196" s="122"/>
      <c r="AA196" s="180"/>
      <c r="AB196" s="180"/>
      <c r="AC196" s="180"/>
      <c r="AD196" s="179"/>
      <c r="AE196" s="271"/>
      <c r="AF196" s="180"/>
      <c r="AG196" s="180"/>
      <c r="AH196" s="180"/>
      <c r="AI196" s="180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22"/>
      <c r="BV196" s="115"/>
      <c r="BW196" s="115"/>
      <c r="BX196" s="115"/>
      <c r="BY196" s="183"/>
      <c r="BZ196" s="183"/>
      <c r="CA196" s="174"/>
      <c r="CB196" s="174"/>
      <c r="CI196" s="14"/>
      <c r="CJ196" s="39"/>
      <c r="CK196" s="39"/>
      <c r="CL196" s="222"/>
      <c r="CM196" s="222"/>
      <c r="CN196" s="222"/>
      <c r="CO196" s="222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</row>
    <row r="197" spans="1:121" s="7" customFormat="1" hidden="1" outlineLevel="1" x14ac:dyDescent="0.2">
      <c r="A197" s="12"/>
      <c r="B197" s="169"/>
      <c r="C197" s="12"/>
      <c r="D197" s="13"/>
      <c r="E197" s="11"/>
      <c r="F197" s="169"/>
      <c r="G197" s="35"/>
      <c r="H197" s="1"/>
      <c r="I197" s="1"/>
      <c r="J197" s="122"/>
      <c r="K197" s="122"/>
      <c r="L197" s="122"/>
      <c r="M197" s="122"/>
      <c r="N197" s="122"/>
      <c r="O197" s="122"/>
      <c r="P197" s="122"/>
      <c r="Q197" s="122"/>
      <c r="R197" s="121"/>
      <c r="S197" s="121"/>
      <c r="T197" s="122"/>
      <c r="U197" s="122"/>
      <c r="V197" s="122"/>
      <c r="W197" s="122"/>
      <c r="X197" s="180"/>
      <c r="Y197" s="180"/>
      <c r="Z197" s="122"/>
      <c r="AA197" s="180"/>
      <c r="AB197" s="180"/>
      <c r="AC197" s="180"/>
      <c r="AD197" s="179"/>
      <c r="AE197" s="271"/>
      <c r="AF197" s="180"/>
      <c r="AG197" s="180"/>
      <c r="AH197" s="180"/>
      <c r="AI197" s="180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22"/>
      <c r="BV197" s="115"/>
      <c r="BW197" s="115"/>
      <c r="BX197" s="115"/>
      <c r="BY197" s="183"/>
      <c r="BZ197" s="183"/>
      <c r="CA197" s="174"/>
      <c r="CB197" s="174"/>
      <c r="CI197" s="14"/>
      <c r="CJ197" s="39"/>
      <c r="CK197" s="39"/>
      <c r="CL197" s="222"/>
      <c r="CM197" s="222"/>
      <c r="CN197" s="222"/>
      <c r="CO197" s="222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</row>
    <row r="198" spans="1:121" s="7" customFormat="1" hidden="1" outlineLevel="1" x14ac:dyDescent="0.2">
      <c r="A198" s="12"/>
      <c r="B198" s="169"/>
      <c r="C198" s="12"/>
      <c r="D198" s="13"/>
      <c r="E198" s="11"/>
      <c r="F198" s="169"/>
      <c r="G198" s="35"/>
      <c r="H198" s="1"/>
      <c r="I198" s="1"/>
      <c r="J198" s="122"/>
      <c r="K198" s="122"/>
      <c r="L198" s="122"/>
      <c r="M198" s="122"/>
      <c r="N198" s="122"/>
      <c r="O198" s="122"/>
      <c r="P198" s="122"/>
      <c r="Q198" s="122"/>
      <c r="R198" s="121"/>
      <c r="S198" s="121"/>
      <c r="T198" s="122"/>
      <c r="U198" s="122"/>
      <c r="V198" s="122"/>
      <c r="W198" s="122"/>
      <c r="X198" s="180"/>
      <c r="Y198" s="180"/>
      <c r="Z198" s="122"/>
      <c r="AA198" s="180"/>
      <c r="AB198" s="180"/>
      <c r="AC198" s="180"/>
      <c r="AD198" s="179"/>
      <c r="AE198" s="271"/>
      <c r="AF198" s="180"/>
      <c r="AG198" s="180"/>
      <c r="AH198" s="180"/>
      <c r="AI198" s="180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22"/>
      <c r="BV198" s="115"/>
      <c r="BW198" s="115"/>
      <c r="BX198" s="115"/>
      <c r="BY198" s="183"/>
      <c r="BZ198" s="183"/>
      <c r="CA198" s="174"/>
      <c r="CB198" s="174"/>
      <c r="CI198" s="14"/>
      <c r="CJ198" s="39"/>
      <c r="CK198" s="39"/>
      <c r="CL198" s="222"/>
      <c r="CM198" s="222"/>
      <c r="CN198" s="222"/>
      <c r="CO198" s="222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</row>
    <row r="199" spans="1:121" s="7" customFormat="1" hidden="1" outlineLevel="1" x14ac:dyDescent="0.2">
      <c r="A199" s="12"/>
      <c r="B199" s="169"/>
      <c r="C199" s="12"/>
      <c r="D199" s="13"/>
      <c r="E199" s="11"/>
      <c r="F199" s="169"/>
      <c r="G199" s="35"/>
      <c r="H199" s="1"/>
      <c r="I199" s="1"/>
      <c r="J199" s="122"/>
      <c r="K199" s="122"/>
      <c r="L199" s="122"/>
      <c r="M199" s="122"/>
      <c r="N199" s="122"/>
      <c r="O199" s="122"/>
      <c r="P199" s="122"/>
      <c r="Q199" s="122"/>
      <c r="R199" s="121"/>
      <c r="S199" s="121"/>
      <c r="T199" s="122"/>
      <c r="U199" s="122"/>
      <c r="V199" s="122"/>
      <c r="W199" s="122"/>
      <c r="X199" s="180"/>
      <c r="Y199" s="180"/>
      <c r="Z199" s="122"/>
      <c r="AA199" s="180"/>
      <c r="AB199" s="180"/>
      <c r="AC199" s="180"/>
      <c r="AD199" s="179"/>
      <c r="AE199" s="271"/>
      <c r="AF199" s="180"/>
      <c r="AG199" s="180"/>
      <c r="AH199" s="180"/>
      <c r="AI199" s="180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22"/>
      <c r="BV199" s="115"/>
      <c r="BW199" s="115"/>
      <c r="BX199" s="115"/>
      <c r="BY199" s="183"/>
      <c r="BZ199" s="183"/>
      <c r="CA199" s="174"/>
      <c r="CB199" s="174"/>
      <c r="CI199" s="14"/>
      <c r="CJ199" s="39"/>
      <c r="CK199" s="39"/>
      <c r="CL199" s="222"/>
      <c r="CM199" s="222"/>
      <c r="CN199" s="222"/>
      <c r="CO199" s="222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</row>
    <row r="200" spans="1:121" s="7" customFormat="1" hidden="1" outlineLevel="1" x14ac:dyDescent="0.2">
      <c r="A200" s="12"/>
      <c r="B200" s="169"/>
      <c r="C200" s="12"/>
      <c r="D200" s="13"/>
      <c r="E200" s="11"/>
      <c r="F200" s="169"/>
      <c r="G200" s="35"/>
      <c r="H200" s="1"/>
      <c r="I200" s="1"/>
      <c r="J200" s="122"/>
      <c r="K200" s="122"/>
      <c r="L200" s="122"/>
      <c r="M200" s="122"/>
      <c r="N200" s="122"/>
      <c r="O200" s="122"/>
      <c r="P200" s="122"/>
      <c r="Q200" s="122"/>
      <c r="R200" s="121"/>
      <c r="S200" s="121"/>
      <c r="T200" s="122"/>
      <c r="U200" s="122"/>
      <c r="V200" s="122"/>
      <c r="W200" s="122"/>
      <c r="X200" s="180"/>
      <c r="Y200" s="180"/>
      <c r="Z200" s="122"/>
      <c r="AA200" s="180"/>
      <c r="AB200" s="180"/>
      <c r="AC200" s="180"/>
      <c r="AD200" s="179"/>
      <c r="AE200" s="271"/>
      <c r="AF200" s="180"/>
      <c r="AG200" s="180"/>
      <c r="AH200" s="180"/>
      <c r="AI200" s="180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22"/>
      <c r="BV200" s="115"/>
      <c r="BW200" s="115"/>
      <c r="BX200" s="115"/>
      <c r="BY200" s="183"/>
      <c r="BZ200" s="183"/>
      <c r="CA200" s="174"/>
      <c r="CB200" s="174"/>
      <c r="CI200" s="14"/>
      <c r="CJ200" s="39"/>
      <c r="CK200" s="39"/>
      <c r="CL200" s="222"/>
      <c r="CM200" s="222"/>
      <c r="CN200" s="222"/>
      <c r="CO200" s="222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</row>
    <row r="201" spans="1:121" s="7" customFormat="1" hidden="1" outlineLevel="1" x14ac:dyDescent="0.2">
      <c r="A201" s="12"/>
      <c r="B201" s="169"/>
      <c r="C201" s="12"/>
      <c r="D201" s="13"/>
      <c r="E201" s="11"/>
      <c r="F201" s="169"/>
      <c r="G201" s="35"/>
      <c r="H201" s="1"/>
      <c r="I201" s="1"/>
      <c r="J201" s="122"/>
      <c r="K201" s="122"/>
      <c r="L201" s="122"/>
      <c r="M201" s="122"/>
      <c r="N201" s="122"/>
      <c r="O201" s="122"/>
      <c r="P201" s="122"/>
      <c r="Q201" s="122"/>
      <c r="R201" s="121"/>
      <c r="S201" s="121"/>
      <c r="T201" s="122"/>
      <c r="U201" s="122"/>
      <c r="V201" s="122"/>
      <c r="W201" s="122"/>
      <c r="X201" s="180"/>
      <c r="Y201" s="180"/>
      <c r="Z201" s="122"/>
      <c r="AA201" s="180"/>
      <c r="AB201" s="180"/>
      <c r="AC201" s="180"/>
      <c r="AD201" s="179"/>
      <c r="AE201" s="271"/>
      <c r="AF201" s="180"/>
      <c r="AG201" s="180"/>
      <c r="AH201" s="180"/>
      <c r="AI201" s="180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22"/>
      <c r="BV201" s="115"/>
      <c r="BW201" s="115"/>
      <c r="BX201" s="115"/>
      <c r="BY201" s="183"/>
      <c r="BZ201" s="183"/>
      <c r="CA201" s="174"/>
      <c r="CB201" s="174"/>
      <c r="CI201" s="14"/>
      <c r="CJ201" s="39"/>
      <c r="CK201" s="39"/>
      <c r="CL201" s="222"/>
      <c r="CM201" s="222"/>
      <c r="CN201" s="222"/>
      <c r="CO201" s="222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</row>
    <row r="202" spans="1:121" s="7" customFormat="1" hidden="1" outlineLevel="1" x14ac:dyDescent="0.2">
      <c r="A202" s="12"/>
      <c r="B202" s="169"/>
      <c r="C202" s="12"/>
      <c r="D202" s="13"/>
      <c r="E202" s="11"/>
      <c r="F202" s="169"/>
      <c r="G202" s="35"/>
      <c r="H202" s="1"/>
      <c r="I202" s="1"/>
      <c r="J202" s="122"/>
      <c r="K202" s="122"/>
      <c r="L202" s="122"/>
      <c r="M202" s="122"/>
      <c r="N202" s="122"/>
      <c r="O202" s="122"/>
      <c r="P202" s="122"/>
      <c r="Q202" s="122"/>
      <c r="R202" s="121"/>
      <c r="S202" s="121"/>
      <c r="T202" s="122"/>
      <c r="U202" s="122"/>
      <c r="V202" s="122"/>
      <c r="W202" s="122"/>
      <c r="X202" s="180"/>
      <c r="Y202" s="180"/>
      <c r="Z202" s="122"/>
      <c r="AA202" s="180"/>
      <c r="AB202" s="180"/>
      <c r="AC202" s="180"/>
      <c r="AD202" s="179"/>
      <c r="AE202" s="271"/>
      <c r="AF202" s="180"/>
      <c r="AG202" s="180"/>
      <c r="AH202" s="180"/>
      <c r="AI202" s="180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22"/>
      <c r="BV202" s="115"/>
      <c r="BW202" s="115"/>
      <c r="BX202" s="115"/>
      <c r="BY202" s="183"/>
      <c r="BZ202" s="183"/>
      <c r="CA202" s="174"/>
      <c r="CB202" s="174"/>
      <c r="CI202" s="14"/>
      <c r="CJ202" s="39"/>
      <c r="CK202" s="39"/>
      <c r="CL202" s="222"/>
      <c r="CM202" s="222"/>
      <c r="CN202" s="222"/>
      <c r="CO202" s="222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</row>
    <row r="203" spans="1:121" s="7" customFormat="1" hidden="1" outlineLevel="1" x14ac:dyDescent="0.2">
      <c r="A203" s="12"/>
      <c r="B203" s="169"/>
      <c r="C203" s="12"/>
      <c r="D203" s="13"/>
      <c r="E203" s="11"/>
      <c r="F203" s="169"/>
      <c r="G203" s="35"/>
      <c r="H203" s="1"/>
      <c r="I203" s="1"/>
      <c r="J203" s="122"/>
      <c r="K203" s="122"/>
      <c r="L203" s="122"/>
      <c r="M203" s="122"/>
      <c r="N203" s="122"/>
      <c r="O203" s="122"/>
      <c r="P203" s="122"/>
      <c r="Q203" s="122"/>
      <c r="R203" s="121"/>
      <c r="S203" s="121"/>
      <c r="T203" s="122"/>
      <c r="U203" s="122"/>
      <c r="V203" s="122"/>
      <c r="W203" s="122"/>
      <c r="X203" s="180"/>
      <c r="Y203" s="180"/>
      <c r="Z203" s="122"/>
      <c r="AA203" s="180"/>
      <c r="AB203" s="180"/>
      <c r="AC203" s="180"/>
      <c r="AD203" s="179"/>
      <c r="AE203" s="271"/>
      <c r="AF203" s="180"/>
      <c r="AG203" s="180"/>
      <c r="AH203" s="180"/>
      <c r="AI203" s="180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22"/>
      <c r="BV203" s="115"/>
      <c r="BW203" s="115"/>
      <c r="BX203" s="115"/>
      <c r="BY203" s="183"/>
      <c r="BZ203" s="183"/>
      <c r="CA203" s="174"/>
      <c r="CB203" s="174"/>
      <c r="CI203" s="14"/>
      <c r="CJ203" s="39"/>
      <c r="CK203" s="39"/>
      <c r="CL203" s="222"/>
      <c r="CM203" s="222"/>
      <c r="CN203" s="222"/>
      <c r="CO203" s="222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</row>
    <row r="204" spans="1:121" s="7" customFormat="1" hidden="1" outlineLevel="1" x14ac:dyDescent="0.2">
      <c r="A204" s="12"/>
      <c r="B204" s="169"/>
      <c r="C204" s="12"/>
      <c r="D204" s="13"/>
      <c r="E204" s="11"/>
      <c r="F204" s="169"/>
      <c r="G204" s="35"/>
      <c r="H204" s="1"/>
      <c r="I204" s="1"/>
      <c r="J204" s="122"/>
      <c r="K204" s="122"/>
      <c r="L204" s="122"/>
      <c r="M204" s="122"/>
      <c r="N204" s="122"/>
      <c r="O204" s="122"/>
      <c r="P204" s="122"/>
      <c r="Q204" s="122"/>
      <c r="R204" s="121"/>
      <c r="S204" s="121"/>
      <c r="T204" s="122"/>
      <c r="U204" s="122"/>
      <c r="V204" s="122"/>
      <c r="W204" s="122"/>
      <c r="X204" s="180"/>
      <c r="Y204" s="180"/>
      <c r="Z204" s="122"/>
      <c r="AA204" s="180"/>
      <c r="AB204" s="180"/>
      <c r="AC204" s="180"/>
      <c r="AD204" s="179"/>
      <c r="AE204" s="271"/>
      <c r="AF204" s="180"/>
      <c r="AG204" s="180"/>
      <c r="AH204" s="180"/>
      <c r="AI204" s="180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22"/>
      <c r="BV204" s="115"/>
      <c r="BW204" s="115"/>
      <c r="BX204" s="115"/>
      <c r="BY204" s="183"/>
      <c r="BZ204" s="183"/>
      <c r="CA204" s="174"/>
      <c r="CB204" s="174"/>
      <c r="CI204" s="14"/>
      <c r="CJ204" s="39"/>
      <c r="CK204" s="39"/>
      <c r="CL204" s="222"/>
      <c r="CM204" s="222"/>
      <c r="CN204" s="222"/>
      <c r="CO204" s="222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</row>
    <row r="205" spans="1:121" s="7" customFormat="1" hidden="1" outlineLevel="1" x14ac:dyDescent="0.2">
      <c r="A205" s="12"/>
      <c r="B205" s="169"/>
      <c r="C205" s="12"/>
      <c r="D205" s="13"/>
      <c r="E205" s="11"/>
      <c r="F205" s="169"/>
      <c r="G205" s="35"/>
      <c r="H205" s="1"/>
      <c r="I205" s="1"/>
      <c r="J205" s="122"/>
      <c r="K205" s="122"/>
      <c r="L205" s="122"/>
      <c r="M205" s="122"/>
      <c r="N205" s="122"/>
      <c r="O205" s="122"/>
      <c r="P205" s="122"/>
      <c r="Q205" s="122"/>
      <c r="R205" s="121"/>
      <c r="S205" s="121"/>
      <c r="T205" s="122"/>
      <c r="U205" s="122"/>
      <c r="V205" s="122"/>
      <c r="W205" s="122"/>
      <c r="X205" s="180"/>
      <c r="Y205" s="180"/>
      <c r="Z205" s="122"/>
      <c r="AA205" s="180"/>
      <c r="AB205" s="180"/>
      <c r="AC205" s="180"/>
      <c r="AD205" s="179"/>
      <c r="AE205" s="271"/>
      <c r="AF205" s="180"/>
      <c r="AG205" s="180"/>
      <c r="AH205" s="180"/>
      <c r="AI205" s="180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22"/>
      <c r="BV205" s="115"/>
      <c r="BW205" s="115"/>
      <c r="BX205" s="115"/>
      <c r="BY205" s="183"/>
      <c r="BZ205" s="183"/>
      <c r="CA205" s="174"/>
      <c r="CB205" s="174"/>
      <c r="CI205" s="14"/>
      <c r="CJ205" s="39"/>
      <c r="CK205" s="39"/>
      <c r="CL205" s="222"/>
      <c r="CM205" s="222"/>
      <c r="CN205" s="222"/>
      <c r="CO205" s="222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</row>
    <row r="206" spans="1:121" s="7" customFormat="1" hidden="1" outlineLevel="1" x14ac:dyDescent="0.2">
      <c r="A206" s="12"/>
      <c r="B206" s="169"/>
      <c r="C206" s="12"/>
      <c r="D206" s="13"/>
      <c r="E206" s="11"/>
      <c r="F206" s="169"/>
      <c r="G206" s="35"/>
      <c r="H206" s="1"/>
      <c r="I206" s="1"/>
      <c r="J206" s="122"/>
      <c r="K206" s="122"/>
      <c r="L206" s="122"/>
      <c r="M206" s="122"/>
      <c r="N206" s="122"/>
      <c r="O206" s="122"/>
      <c r="P206" s="122"/>
      <c r="Q206" s="122"/>
      <c r="R206" s="121"/>
      <c r="S206" s="121"/>
      <c r="T206" s="122"/>
      <c r="U206" s="122"/>
      <c r="V206" s="122"/>
      <c r="W206" s="122"/>
      <c r="X206" s="180"/>
      <c r="Y206" s="180"/>
      <c r="Z206" s="122"/>
      <c r="AA206" s="180"/>
      <c r="AB206" s="180"/>
      <c r="AC206" s="180"/>
      <c r="AD206" s="179"/>
      <c r="AE206" s="271"/>
      <c r="AF206" s="180"/>
      <c r="AG206" s="180"/>
      <c r="AH206" s="180"/>
      <c r="AI206" s="180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22"/>
      <c r="BV206" s="115"/>
      <c r="BW206" s="115"/>
      <c r="BX206" s="115"/>
      <c r="BY206" s="183"/>
      <c r="BZ206" s="183"/>
      <c r="CA206" s="174"/>
      <c r="CB206" s="174"/>
      <c r="CI206" s="14"/>
      <c r="CJ206" s="39"/>
      <c r="CK206" s="39"/>
      <c r="CL206" s="222"/>
      <c r="CM206" s="222"/>
      <c r="CN206" s="222"/>
      <c r="CO206" s="222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</row>
    <row r="207" spans="1:121" s="7" customFormat="1" hidden="1" outlineLevel="1" x14ac:dyDescent="0.2">
      <c r="A207" s="12"/>
      <c r="B207" s="169"/>
      <c r="C207" s="12"/>
      <c r="D207" s="13"/>
      <c r="E207" s="11"/>
      <c r="F207" s="169"/>
      <c r="G207" s="35"/>
      <c r="H207" s="1"/>
      <c r="I207" s="1"/>
      <c r="J207" s="122"/>
      <c r="K207" s="122"/>
      <c r="L207" s="122"/>
      <c r="M207" s="122"/>
      <c r="N207" s="122"/>
      <c r="O207" s="122"/>
      <c r="P207" s="122"/>
      <c r="Q207" s="122"/>
      <c r="R207" s="121"/>
      <c r="S207" s="121"/>
      <c r="T207" s="122"/>
      <c r="U207" s="122"/>
      <c r="V207" s="122"/>
      <c r="W207" s="122"/>
      <c r="X207" s="180"/>
      <c r="Y207" s="180"/>
      <c r="Z207" s="122"/>
      <c r="AA207" s="180"/>
      <c r="AB207" s="180"/>
      <c r="AC207" s="180"/>
      <c r="AD207" s="179"/>
      <c r="AE207" s="271"/>
      <c r="AF207" s="180"/>
      <c r="AG207" s="180"/>
      <c r="AH207" s="180"/>
      <c r="AI207" s="180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22"/>
      <c r="BV207" s="115"/>
      <c r="BW207" s="115"/>
      <c r="BX207" s="115"/>
      <c r="BY207" s="183"/>
      <c r="BZ207" s="183"/>
      <c r="CA207" s="174"/>
      <c r="CB207" s="174"/>
      <c r="CI207" s="14"/>
      <c r="CJ207" s="39"/>
      <c r="CK207" s="39"/>
      <c r="CL207" s="222"/>
      <c r="CM207" s="222"/>
      <c r="CN207" s="222"/>
      <c r="CO207" s="222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</row>
    <row r="208" spans="1:121" s="7" customFormat="1" hidden="1" outlineLevel="1" x14ac:dyDescent="0.2">
      <c r="A208" s="12"/>
      <c r="B208" s="169"/>
      <c r="C208" s="12"/>
      <c r="D208" s="13"/>
      <c r="E208" s="11"/>
      <c r="F208" s="169"/>
      <c r="G208" s="35"/>
      <c r="H208" s="1"/>
      <c r="I208" s="1"/>
      <c r="J208" s="122"/>
      <c r="K208" s="122"/>
      <c r="L208" s="122"/>
      <c r="M208" s="122"/>
      <c r="N208" s="122"/>
      <c r="O208" s="122"/>
      <c r="P208" s="122"/>
      <c r="Q208" s="122"/>
      <c r="R208" s="121"/>
      <c r="S208" s="121"/>
      <c r="T208" s="122"/>
      <c r="U208" s="122"/>
      <c r="V208" s="122"/>
      <c r="W208" s="122"/>
      <c r="X208" s="180"/>
      <c r="Y208" s="180"/>
      <c r="Z208" s="122"/>
      <c r="AA208" s="180"/>
      <c r="AB208" s="180"/>
      <c r="AC208" s="180"/>
      <c r="AD208" s="179"/>
      <c r="AE208" s="271"/>
      <c r="AF208" s="180"/>
      <c r="AG208" s="180"/>
      <c r="AH208" s="180"/>
      <c r="AI208" s="180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22"/>
      <c r="BV208" s="115"/>
      <c r="BW208" s="115"/>
      <c r="BX208" s="115"/>
      <c r="BY208" s="183"/>
      <c r="BZ208" s="183"/>
      <c r="CA208" s="174"/>
      <c r="CB208" s="174"/>
      <c r="CI208" s="14"/>
      <c r="CJ208" s="39"/>
      <c r="CK208" s="39"/>
      <c r="CL208" s="222"/>
      <c r="CM208" s="222"/>
      <c r="CN208" s="222"/>
      <c r="CO208" s="222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</row>
    <row r="209" spans="1:121" s="7" customFormat="1" hidden="1" outlineLevel="1" x14ac:dyDescent="0.2">
      <c r="A209" s="12"/>
      <c r="B209" s="169"/>
      <c r="C209" s="12"/>
      <c r="D209" s="13"/>
      <c r="E209" s="11"/>
      <c r="F209" s="169"/>
      <c r="G209" s="35"/>
      <c r="H209" s="1"/>
      <c r="I209" s="1"/>
      <c r="J209" s="122"/>
      <c r="K209" s="122"/>
      <c r="L209" s="122"/>
      <c r="M209" s="122"/>
      <c r="N209" s="122"/>
      <c r="O209" s="122"/>
      <c r="P209" s="122"/>
      <c r="Q209" s="122"/>
      <c r="R209" s="121"/>
      <c r="S209" s="121"/>
      <c r="T209" s="122"/>
      <c r="U209" s="122"/>
      <c r="V209" s="122"/>
      <c r="W209" s="122"/>
      <c r="X209" s="180"/>
      <c r="Y209" s="180"/>
      <c r="Z209" s="122"/>
      <c r="AA209" s="180"/>
      <c r="AB209" s="180"/>
      <c r="AC209" s="180"/>
      <c r="AD209" s="179"/>
      <c r="AE209" s="271"/>
      <c r="AF209" s="180"/>
      <c r="AG209" s="180"/>
      <c r="AH209" s="180"/>
      <c r="AI209" s="180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22"/>
      <c r="BV209" s="115"/>
      <c r="BW209" s="115"/>
      <c r="BX209" s="115"/>
      <c r="BY209" s="183"/>
      <c r="BZ209" s="183"/>
      <c r="CA209" s="174"/>
      <c r="CB209" s="174"/>
      <c r="CI209" s="14"/>
      <c r="CJ209" s="39"/>
      <c r="CK209" s="39"/>
      <c r="CL209" s="222"/>
      <c r="CM209" s="222"/>
      <c r="CN209" s="222"/>
      <c r="CO209" s="222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</row>
    <row r="210" spans="1:121" s="7" customFormat="1" hidden="1" outlineLevel="1" x14ac:dyDescent="0.2">
      <c r="A210" s="12"/>
      <c r="B210" s="169"/>
      <c r="C210" s="12"/>
      <c r="D210" s="13"/>
      <c r="E210" s="11"/>
      <c r="F210" s="169"/>
      <c r="G210" s="35"/>
      <c r="H210" s="1"/>
      <c r="I210" s="1"/>
      <c r="J210" s="122"/>
      <c r="K210" s="122"/>
      <c r="L210" s="122"/>
      <c r="M210" s="122"/>
      <c r="N210" s="122"/>
      <c r="O210" s="122"/>
      <c r="P210" s="122"/>
      <c r="Q210" s="122"/>
      <c r="R210" s="121"/>
      <c r="S210" s="121"/>
      <c r="T210" s="122"/>
      <c r="U210" s="122"/>
      <c r="V210" s="122"/>
      <c r="W210" s="122"/>
      <c r="X210" s="180"/>
      <c r="Y210" s="180"/>
      <c r="Z210" s="122"/>
      <c r="AA210" s="180"/>
      <c r="AB210" s="180"/>
      <c r="AC210" s="180"/>
      <c r="AD210" s="179"/>
      <c r="AE210" s="271"/>
      <c r="AF210" s="180"/>
      <c r="AG210" s="180"/>
      <c r="AH210" s="180"/>
      <c r="AI210" s="180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22"/>
      <c r="BV210" s="115"/>
      <c r="BW210" s="115"/>
      <c r="BX210" s="115"/>
      <c r="BY210" s="183"/>
      <c r="BZ210" s="183"/>
      <c r="CA210" s="174"/>
      <c r="CB210" s="174"/>
      <c r="CI210" s="14"/>
      <c r="CJ210" s="39"/>
      <c r="CK210" s="39"/>
      <c r="CL210" s="222"/>
      <c r="CM210" s="222"/>
      <c r="CN210" s="222"/>
      <c r="CO210" s="222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</row>
    <row r="211" spans="1:121" s="7" customFormat="1" hidden="1" outlineLevel="1" x14ac:dyDescent="0.2">
      <c r="A211" s="12"/>
      <c r="B211" s="169"/>
      <c r="C211" s="12"/>
      <c r="D211" s="13"/>
      <c r="E211" s="11"/>
      <c r="F211" s="169"/>
      <c r="G211" s="35"/>
      <c r="H211" s="1"/>
      <c r="I211" s="1"/>
      <c r="J211" s="122"/>
      <c r="K211" s="122"/>
      <c r="L211" s="122"/>
      <c r="M211" s="122"/>
      <c r="N211" s="122"/>
      <c r="O211" s="122"/>
      <c r="P211" s="122"/>
      <c r="Q211" s="122"/>
      <c r="R211" s="121"/>
      <c r="S211" s="121"/>
      <c r="T211" s="122"/>
      <c r="U211" s="122"/>
      <c r="V211" s="122"/>
      <c r="W211" s="122"/>
      <c r="X211" s="180"/>
      <c r="Y211" s="180"/>
      <c r="Z211" s="122"/>
      <c r="AA211" s="180"/>
      <c r="AB211" s="180"/>
      <c r="AC211" s="180"/>
      <c r="AD211" s="179"/>
      <c r="AE211" s="271"/>
      <c r="AF211" s="180"/>
      <c r="AG211" s="180"/>
      <c r="AH211" s="180"/>
      <c r="AI211" s="180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22"/>
      <c r="BV211" s="115"/>
      <c r="BW211" s="115"/>
      <c r="BX211" s="115"/>
      <c r="BY211" s="183"/>
      <c r="BZ211" s="183"/>
      <c r="CA211" s="174"/>
      <c r="CB211" s="174"/>
      <c r="CI211" s="14"/>
      <c r="CJ211" s="39"/>
      <c r="CK211" s="39"/>
      <c r="CL211" s="222"/>
      <c r="CM211" s="222"/>
      <c r="CN211" s="222"/>
      <c r="CO211" s="222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</row>
    <row r="212" spans="1:121" s="7" customFormat="1" hidden="1" outlineLevel="1" x14ac:dyDescent="0.2">
      <c r="A212" s="12"/>
      <c r="B212" s="169"/>
      <c r="C212" s="12"/>
      <c r="D212" s="13"/>
      <c r="E212" s="11"/>
      <c r="F212" s="169"/>
      <c r="G212" s="35"/>
      <c r="H212" s="1"/>
      <c r="I212" s="1"/>
      <c r="J212" s="122"/>
      <c r="K212" s="122"/>
      <c r="L212" s="122"/>
      <c r="M212" s="122"/>
      <c r="N212" s="122"/>
      <c r="O212" s="122"/>
      <c r="P212" s="122"/>
      <c r="Q212" s="122"/>
      <c r="R212" s="121"/>
      <c r="S212" s="121"/>
      <c r="T212" s="122"/>
      <c r="U212" s="122"/>
      <c r="V212" s="122"/>
      <c r="W212" s="122"/>
      <c r="X212" s="180"/>
      <c r="Y212" s="180"/>
      <c r="Z212" s="122"/>
      <c r="AA212" s="180"/>
      <c r="AB212" s="180"/>
      <c r="AC212" s="180"/>
      <c r="AD212" s="179"/>
      <c r="AE212" s="271"/>
      <c r="AF212" s="180"/>
      <c r="AG212" s="180"/>
      <c r="AH212" s="180"/>
      <c r="AI212" s="180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22"/>
      <c r="BV212" s="115"/>
      <c r="BW212" s="115"/>
      <c r="BX212" s="115"/>
      <c r="BY212" s="183"/>
      <c r="BZ212" s="183"/>
      <c r="CA212" s="174"/>
      <c r="CB212" s="174"/>
      <c r="CI212" s="14"/>
      <c r="CJ212" s="39"/>
      <c r="CK212" s="39"/>
      <c r="CL212" s="222"/>
      <c r="CM212" s="222"/>
      <c r="CN212" s="222"/>
      <c r="CO212" s="222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</row>
    <row r="213" spans="1:121" s="7" customFormat="1" hidden="1" outlineLevel="1" x14ac:dyDescent="0.2">
      <c r="A213" s="12"/>
      <c r="B213" s="169"/>
      <c r="C213" s="12"/>
      <c r="D213" s="13"/>
      <c r="E213" s="11"/>
      <c r="F213" s="169"/>
      <c r="G213" s="35"/>
      <c r="H213" s="1"/>
      <c r="I213" s="1"/>
      <c r="J213" s="122"/>
      <c r="K213" s="122"/>
      <c r="L213" s="122"/>
      <c r="M213" s="122"/>
      <c r="N213" s="122"/>
      <c r="O213" s="122"/>
      <c r="P213" s="122"/>
      <c r="Q213" s="122"/>
      <c r="R213" s="121"/>
      <c r="S213" s="121"/>
      <c r="T213" s="122"/>
      <c r="U213" s="122"/>
      <c r="V213" s="122"/>
      <c r="W213" s="122"/>
      <c r="X213" s="180"/>
      <c r="Y213" s="180"/>
      <c r="Z213" s="122"/>
      <c r="AA213" s="180"/>
      <c r="AB213" s="180"/>
      <c r="AC213" s="180"/>
      <c r="AD213" s="179"/>
      <c r="AE213" s="271"/>
      <c r="AF213" s="180"/>
      <c r="AG213" s="180"/>
      <c r="AH213" s="180"/>
      <c r="AI213" s="180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22"/>
      <c r="BV213" s="115"/>
      <c r="BW213" s="115"/>
      <c r="BX213" s="115"/>
      <c r="BY213" s="183"/>
      <c r="BZ213" s="183"/>
      <c r="CA213" s="174"/>
      <c r="CB213" s="174"/>
      <c r="CI213" s="14"/>
      <c r="CJ213" s="39"/>
      <c r="CK213" s="39"/>
      <c r="CL213" s="222"/>
      <c r="CM213" s="222"/>
      <c r="CN213" s="222"/>
      <c r="CO213" s="222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</row>
    <row r="214" spans="1:121" s="7" customFormat="1" hidden="1" outlineLevel="1" x14ac:dyDescent="0.2">
      <c r="A214" s="12"/>
      <c r="B214" s="169"/>
      <c r="C214" s="12"/>
      <c r="D214" s="13"/>
      <c r="E214" s="11"/>
      <c r="F214" s="169"/>
      <c r="G214" s="35"/>
      <c r="H214" s="1"/>
      <c r="I214" s="1"/>
      <c r="J214" s="122"/>
      <c r="K214" s="122"/>
      <c r="L214" s="122"/>
      <c r="M214" s="122"/>
      <c r="N214" s="122"/>
      <c r="O214" s="122"/>
      <c r="P214" s="122"/>
      <c r="Q214" s="122"/>
      <c r="R214" s="121"/>
      <c r="S214" s="121"/>
      <c r="T214" s="122"/>
      <c r="U214" s="122"/>
      <c r="V214" s="122"/>
      <c r="W214" s="122"/>
      <c r="X214" s="180"/>
      <c r="Y214" s="180"/>
      <c r="Z214" s="122"/>
      <c r="AA214" s="180"/>
      <c r="AB214" s="180"/>
      <c r="AC214" s="180"/>
      <c r="AD214" s="179"/>
      <c r="AE214" s="271"/>
      <c r="AF214" s="180"/>
      <c r="AG214" s="180"/>
      <c r="AH214" s="180"/>
      <c r="AI214" s="180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22"/>
      <c r="BV214" s="115"/>
      <c r="BW214" s="115"/>
      <c r="BX214" s="115"/>
      <c r="BY214" s="183"/>
      <c r="BZ214" s="183"/>
      <c r="CA214" s="174"/>
      <c r="CB214" s="174"/>
      <c r="CI214" s="14"/>
      <c r="CJ214" s="39"/>
      <c r="CK214" s="39"/>
      <c r="CL214" s="222"/>
      <c r="CM214" s="222"/>
      <c r="CN214" s="222"/>
      <c r="CO214" s="222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</row>
    <row r="215" spans="1:121" s="7" customFormat="1" hidden="1" outlineLevel="1" x14ac:dyDescent="0.2">
      <c r="A215" s="12"/>
      <c r="B215" s="169"/>
      <c r="C215" s="12"/>
      <c r="D215" s="13"/>
      <c r="E215" s="11"/>
      <c r="F215" s="169"/>
      <c r="G215" s="35"/>
      <c r="H215" s="1"/>
      <c r="I215" s="1"/>
      <c r="J215" s="122"/>
      <c r="K215" s="122"/>
      <c r="L215" s="122"/>
      <c r="M215" s="122"/>
      <c r="N215" s="122"/>
      <c r="O215" s="122"/>
      <c r="P215" s="122"/>
      <c r="Q215" s="122"/>
      <c r="R215" s="121"/>
      <c r="S215" s="121"/>
      <c r="T215" s="122"/>
      <c r="U215" s="122"/>
      <c r="V215" s="122"/>
      <c r="W215" s="122"/>
      <c r="X215" s="180"/>
      <c r="Y215" s="180"/>
      <c r="Z215" s="122"/>
      <c r="AA215" s="180"/>
      <c r="AB215" s="180"/>
      <c r="AC215" s="180"/>
      <c r="AD215" s="179"/>
      <c r="AE215" s="271"/>
      <c r="AF215" s="180"/>
      <c r="AG215" s="180"/>
      <c r="AH215" s="180"/>
      <c r="AI215" s="180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22"/>
      <c r="BV215" s="115"/>
      <c r="BW215" s="115"/>
      <c r="BX215" s="115"/>
      <c r="BY215" s="183"/>
      <c r="BZ215" s="183"/>
      <c r="CA215" s="174"/>
      <c r="CB215" s="174"/>
      <c r="CI215" s="14"/>
      <c r="CJ215" s="39"/>
      <c r="CK215" s="39"/>
      <c r="CL215" s="222"/>
      <c r="CM215" s="222"/>
      <c r="CN215" s="222"/>
      <c r="CO215" s="222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</row>
    <row r="216" spans="1:121" s="7" customFormat="1" hidden="1" outlineLevel="1" x14ac:dyDescent="0.2">
      <c r="A216" s="12"/>
      <c r="B216" s="169"/>
      <c r="C216" s="12"/>
      <c r="D216" s="13"/>
      <c r="E216" s="11"/>
      <c r="F216" s="169"/>
      <c r="G216" s="35"/>
      <c r="H216" s="1"/>
      <c r="I216" s="1"/>
      <c r="J216" s="122"/>
      <c r="K216" s="122"/>
      <c r="L216" s="122"/>
      <c r="M216" s="122"/>
      <c r="N216" s="122"/>
      <c r="O216" s="122"/>
      <c r="P216" s="122"/>
      <c r="Q216" s="122"/>
      <c r="R216" s="121"/>
      <c r="S216" s="121"/>
      <c r="T216" s="122"/>
      <c r="U216" s="122"/>
      <c r="V216" s="122"/>
      <c r="W216" s="122"/>
      <c r="X216" s="180"/>
      <c r="Y216" s="180"/>
      <c r="Z216" s="122"/>
      <c r="AA216" s="180"/>
      <c r="AB216" s="180"/>
      <c r="AC216" s="180"/>
      <c r="AD216" s="179"/>
      <c r="AE216" s="271"/>
      <c r="AF216" s="180"/>
      <c r="AG216" s="180"/>
      <c r="AH216" s="180"/>
      <c r="AI216" s="180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22"/>
      <c r="BV216" s="115"/>
      <c r="BW216" s="115"/>
      <c r="BX216" s="115"/>
      <c r="BY216" s="183"/>
      <c r="BZ216" s="183"/>
      <c r="CA216" s="174"/>
      <c r="CB216" s="174"/>
      <c r="CI216" s="14"/>
      <c r="CJ216" s="39"/>
      <c r="CK216" s="39"/>
      <c r="CL216" s="222"/>
      <c r="CM216" s="222"/>
      <c r="CN216" s="222"/>
      <c r="CO216" s="222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</row>
    <row r="217" spans="1:121" s="7" customFormat="1" hidden="1" outlineLevel="1" x14ac:dyDescent="0.2">
      <c r="A217" s="12"/>
      <c r="B217" s="169"/>
      <c r="C217" s="12"/>
      <c r="D217" s="13"/>
      <c r="E217" s="11"/>
      <c r="F217" s="169"/>
      <c r="G217" s="35"/>
      <c r="H217" s="1"/>
      <c r="I217" s="1"/>
      <c r="J217" s="122"/>
      <c r="K217" s="122"/>
      <c r="L217" s="122"/>
      <c r="M217" s="122"/>
      <c r="N217" s="122"/>
      <c r="O217" s="122"/>
      <c r="P217" s="122"/>
      <c r="Q217" s="122"/>
      <c r="R217" s="121"/>
      <c r="S217" s="121"/>
      <c r="T217" s="122"/>
      <c r="U217" s="122"/>
      <c r="V217" s="122"/>
      <c r="W217" s="122"/>
      <c r="X217" s="180"/>
      <c r="Y217" s="180"/>
      <c r="Z217" s="122"/>
      <c r="AA217" s="180"/>
      <c r="AB217" s="180"/>
      <c r="AC217" s="180"/>
      <c r="AD217" s="179"/>
      <c r="AE217" s="271"/>
      <c r="AF217" s="180"/>
      <c r="AG217" s="180"/>
      <c r="AH217" s="180"/>
      <c r="AI217" s="180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22"/>
      <c r="BV217" s="115"/>
      <c r="BW217" s="115"/>
      <c r="BX217" s="115"/>
      <c r="BY217" s="183"/>
      <c r="BZ217" s="183"/>
      <c r="CA217" s="174"/>
      <c r="CB217" s="174"/>
      <c r="CI217" s="14"/>
      <c r="CJ217" s="39"/>
      <c r="CK217" s="39"/>
      <c r="CL217" s="222"/>
      <c r="CM217" s="222"/>
      <c r="CN217" s="222"/>
      <c r="CO217" s="222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</row>
    <row r="218" spans="1:121" s="7" customFormat="1" hidden="1" outlineLevel="1" x14ac:dyDescent="0.2">
      <c r="A218" s="12"/>
      <c r="B218" s="169"/>
      <c r="C218" s="12"/>
      <c r="D218" s="13"/>
      <c r="E218" s="11"/>
      <c r="F218" s="169"/>
      <c r="G218" s="35"/>
      <c r="H218" s="1"/>
      <c r="I218" s="1"/>
      <c r="J218" s="122"/>
      <c r="K218" s="122"/>
      <c r="L218" s="122"/>
      <c r="M218" s="122"/>
      <c r="N218" s="122"/>
      <c r="O218" s="122"/>
      <c r="P218" s="122"/>
      <c r="Q218" s="122"/>
      <c r="R218" s="121"/>
      <c r="S218" s="121"/>
      <c r="T218" s="122"/>
      <c r="U218" s="122"/>
      <c r="V218" s="122"/>
      <c r="W218" s="122"/>
      <c r="X218" s="180"/>
      <c r="Y218" s="180"/>
      <c r="Z218" s="122"/>
      <c r="AA218" s="180"/>
      <c r="AB218" s="180"/>
      <c r="AC218" s="180"/>
      <c r="AD218" s="179"/>
      <c r="AE218" s="271"/>
      <c r="AF218" s="180"/>
      <c r="AG218" s="180"/>
      <c r="AH218" s="180"/>
      <c r="AI218" s="180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22"/>
      <c r="BV218" s="115"/>
      <c r="BW218" s="115"/>
      <c r="BX218" s="115"/>
      <c r="BY218" s="183"/>
      <c r="BZ218" s="183"/>
      <c r="CA218" s="174"/>
      <c r="CB218" s="174"/>
      <c r="CI218" s="14"/>
      <c r="CJ218" s="39"/>
      <c r="CK218" s="39"/>
      <c r="CL218" s="222"/>
      <c r="CM218" s="222"/>
      <c r="CN218" s="222"/>
      <c r="CO218" s="222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</row>
    <row r="219" spans="1:121" s="7" customFormat="1" hidden="1" outlineLevel="1" x14ac:dyDescent="0.2">
      <c r="A219" s="12"/>
      <c r="B219" s="169"/>
      <c r="C219" s="12"/>
      <c r="D219" s="13"/>
      <c r="E219" s="11"/>
      <c r="F219" s="169"/>
      <c r="G219" s="35"/>
      <c r="H219" s="1"/>
      <c r="I219" s="1"/>
      <c r="J219" s="122"/>
      <c r="K219" s="122"/>
      <c r="L219" s="122"/>
      <c r="M219" s="122"/>
      <c r="N219" s="122"/>
      <c r="O219" s="122"/>
      <c r="P219" s="122"/>
      <c r="Q219" s="122"/>
      <c r="R219" s="121"/>
      <c r="S219" s="121"/>
      <c r="T219" s="122"/>
      <c r="U219" s="122"/>
      <c r="V219" s="122"/>
      <c r="W219" s="122"/>
      <c r="X219" s="180"/>
      <c r="Y219" s="180"/>
      <c r="Z219" s="122"/>
      <c r="AA219" s="180"/>
      <c r="AB219" s="180"/>
      <c r="AC219" s="180"/>
      <c r="AD219" s="179"/>
      <c r="AE219" s="271"/>
      <c r="AF219" s="180"/>
      <c r="AG219" s="180"/>
      <c r="AH219" s="180"/>
      <c r="AI219" s="180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22"/>
      <c r="BV219" s="115"/>
      <c r="BW219" s="115"/>
      <c r="BX219" s="115"/>
      <c r="BY219" s="183"/>
      <c r="BZ219" s="183"/>
      <c r="CA219" s="174"/>
      <c r="CB219" s="174"/>
      <c r="CI219" s="14"/>
      <c r="CJ219" s="39"/>
      <c r="CK219" s="39"/>
      <c r="CL219" s="222"/>
      <c r="CM219" s="222"/>
      <c r="CN219" s="222"/>
      <c r="CO219" s="222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</row>
    <row r="220" spans="1:121" s="7" customFormat="1" hidden="1" outlineLevel="1" x14ac:dyDescent="0.2">
      <c r="A220" s="12"/>
      <c r="B220" s="169"/>
      <c r="C220" s="12"/>
      <c r="D220" s="13"/>
      <c r="E220" s="11"/>
      <c r="F220" s="169"/>
      <c r="G220" s="35"/>
      <c r="H220" s="1"/>
      <c r="I220" s="1"/>
      <c r="J220" s="122"/>
      <c r="K220" s="122"/>
      <c r="L220" s="122"/>
      <c r="M220" s="122"/>
      <c r="N220" s="122"/>
      <c r="O220" s="122"/>
      <c r="P220" s="122"/>
      <c r="Q220" s="122"/>
      <c r="R220" s="121"/>
      <c r="S220" s="121"/>
      <c r="T220" s="122"/>
      <c r="U220" s="122"/>
      <c r="V220" s="122"/>
      <c r="W220" s="122"/>
      <c r="X220" s="180"/>
      <c r="Y220" s="180"/>
      <c r="Z220" s="122"/>
      <c r="AA220" s="180"/>
      <c r="AB220" s="180"/>
      <c r="AC220" s="180"/>
      <c r="AD220" s="179"/>
      <c r="AE220" s="271"/>
      <c r="AF220" s="180"/>
      <c r="AG220" s="180"/>
      <c r="AH220" s="180"/>
      <c r="AI220" s="180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22"/>
      <c r="BV220" s="115"/>
      <c r="BW220" s="115"/>
      <c r="BX220" s="115"/>
      <c r="BY220" s="183"/>
      <c r="BZ220" s="183"/>
      <c r="CA220" s="174"/>
      <c r="CB220" s="174"/>
      <c r="CI220" s="14"/>
      <c r="CJ220" s="39"/>
      <c r="CK220" s="39"/>
      <c r="CL220" s="222"/>
      <c r="CM220" s="222"/>
      <c r="CN220" s="222"/>
      <c r="CO220" s="222"/>
      <c r="CP220" s="156"/>
      <c r="CQ220" s="156"/>
      <c r="CR220" s="156"/>
      <c r="CS220" s="156"/>
      <c r="CT220" s="156"/>
      <c r="CU220" s="156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</row>
    <row r="221" spans="1:121" s="7" customFormat="1" hidden="1" outlineLevel="1" x14ac:dyDescent="0.2">
      <c r="A221" s="12"/>
      <c r="B221" s="169"/>
      <c r="C221" s="12"/>
      <c r="D221" s="13"/>
      <c r="E221" s="11"/>
      <c r="F221" s="169"/>
      <c r="G221" s="35"/>
      <c r="H221" s="1"/>
      <c r="I221" s="1"/>
      <c r="J221" s="122"/>
      <c r="K221" s="122"/>
      <c r="L221" s="122"/>
      <c r="M221" s="122"/>
      <c r="N221" s="122"/>
      <c r="O221" s="122"/>
      <c r="P221" s="122"/>
      <c r="Q221" s="122"/>
      <c r="R221" s="121"/>
      <c r="S221" s="121"/>
      <c r="T221" s="122"/>
      <c r="U221" s="122"/>
      <c r="V221" s="122"/>
      <c r="W221" s="122"/>
      <c r="X221" s="180"/>
      <c r="Y221" s="180"/>
      <c r="Z221" s="122"/>
      <c r="AA221" s="180"/>
      <c r="AB221" s="180"/>
      <c r="AC221" s="180"/>
      <c r="AD221" s="179"/>
      <c r="AE221" s="271"/>
      <c r="AF221" s="180"/>
      <c r="AG221" s="180"/>
      <c r="AH221" s="180"/>
      <c r="AI221" s="180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22"/>
      <c r="BV221" s="115"/>
      <c r="BW221" s="115"/>
      <c r="BX221" s="115"/>
      <c r="BY221" s="183"/>
      <c r="BZ221" s="183"/>
      <c r="CA221" s="174"/>
      <c r="CB221" s="174"/>
      <c r="CI221" s="14"/>
      <c r="CJ221" s="39"/>
      <c r="CK221" s="39"/>
      <c r="CL221" s="222"/>
      <c r="CM221" s="222"/>
      <c r="CN221" s="222"/>
      <c r="CO221" s="222"/>
      <c r="CP221" s="156"/>
      <c r="CQ221" s="156"/>
      <c r="CR221" s="156"/>
      <c r="CS221" s="156"/>
      <c r="CT221" s="156"/>
      <c r="CU221" s="156"/>
      <c r="CV221" s="156"/>
      <c r="CW221" s="156"/>
      <c r="CX221" s="156"/>
      <c r="CY221" s="156"/>
      <c r="CZ221" s="156"/>
      <c r="DA221" s="156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</row>
    <row r="222" spans="1:121" s="7" customFormat="1" hidden="1" outlineLevel="1" x14ac:dyDescent="0.2">
      <c r="A222" s="12"/>
      <c r="B222" s="169"/>
      <c r="C222" s="12"/>
      <c r="D222" s="13"/>
      <c r="E222" s="11"/>
      <c r="F222" s="169"/>
      <c r="G222" s="35"/>
      <c r="H222" s="1"/>
      <c r="I222" s="1"/>
      <c r="J222" s="122"/>
      <c r="K222" s="122"/>
      <c r="L222" s="122"/>
      <c r="M222" s="122"/>
      <c r="N222" s="122"/>
      <c r="O222" s="122"/>
      <c r="P222" s="122"/>
      <c r="Q222" s="122"/>
      <c r="R222" s="121"/>
      <c r="S222" s="121"/>
      <c r="T222" s="122"/>
      <c r="U222" s="122"/>
      <c r="V222" s="122"/>
      <c r="W222" s="122"/>
      <c r="X222" s="180"/>
      <c r="Y222" s="180"/>
      <c r="Z222" s="122"/>
      <c r="AA222" s="180"/>
      <c r="AB222" s="180"/>
      <c r="AC222" s="180"/>
      <c r="AD222" s="179"/>
      <c r="AE222" s="271"/>
      <c r="AF222" s="180"/>
      <c r="AG222" s="180"/>
      <c r="AH222" s="180"/>
      <c r="AI222" s="180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22"/>
      <c r="BV222" s="115"/>
      <c r="BW222" s="115"/>
      <c r="BX222" s="115"/>
      <c r="BY222" s="183"/>
      <c r="BZ222" s="183"/>
      <c r="CA222" s="174"/>
      <c r="CB222" s="174"/>
      <c r="CI222" s="14"/>
      <c r="CJ222" s="39"/>
      <c r="CK222" s="39"/>
      <c r="CL222" s="222"/>
      <c r="CM222" s="222"/>
      <c r="CN222" s="222"/>
      <c r="CO222" s="222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</row>
    <row r="223" spans="1:121" s="7" customFormat="1" hidden="1" outlineLevel="1" x14ac:dyDescent="0.2">
      <c r="A223" s="12"/>
      <c r="B223" s="169"/>
      <c r="C223" s="12"/>
      <c r="D223" s="13"/>
      <c r="E223" s="11"/>
      <c r="F223" s="169"/>
      <c r="G223" s="35"/>
      <c r="H223" s="1"/>
      <c r="I223" s="1"/>
      <c r="J223" s="122"/>
      <c r="K223" s="122"/>
      <c r="L223" s="122"/>
      <c r="M223" s="122"/>
      <c r="N223" s="122"/>
      <c r="O223" s="122"/>
      <c r="P223" s="122"/>
      <c r="Q223" s="122"/>
      <c r="R223" s="121"/>
      <c r="S223" s="121"/>
      <c r="T223" s="122"/>
      <c r="U223" s="122"/>
      <c r="V223" s="122"/>
      <c r="W223" s="122"/>
      <c r="X223" s="180"/>
      <c r="Y223" s="180"/>
      <c r="Z223" s="122"/>
      <c r="AA223" s="180"/>
      <c r="AB223" s="180"/>
      <c r="AC223" s="180"/>
      <c r="AD223" s="179"/>
      <c r="AE223" s="271"/>
      <c r="AF223" s="180"/>
      <c r="AG223" s="180"/>
      <c r="AH223" s="180"/>
      <c r="AI223" s="180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22"/>
      <c r="BV223" s="115"/>
      <c r="BW223" s="115"/>
      <c r="BX223" s="115"/>
      <c r="BY223" s="183"/>
      <c r="BZ223" s="183"/>
      <c r="CA223" s="174"/>
      <c r="CB223" s="174"/>
      <c r="CI223" s="14"/>
      <c r="CJ223" s="39"/>
      <c r="CK223" s="39"/>
      <c r="CL223" s="222"/>
      <c r="CM223" s="222"/>
      <c r="CN223" s="222"/>
      <c r="CO223" s="222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</row>
    <row r="224" spans="1:121" s="7" customFormat="1" hidden="1" outlineLevel="1" x14ac:dyDescent="0.2">
      <c r="A224" s="12"/>
      <c r="B224" s="169"/>
      <c r="C224" s="12"/>
      <c r="D224" s="13"/>
      <c r="E224" s="11"/>
      <c r="F224" s="169"/>
      <c r="G224" s="35"/>
      <c r="H224" s="1"/>
      <c r="I224" s="1"/>
      <c r="J224" s="122"/>
      <c r="K224" s="122"/>
      <c r="L224" s="122"/>
      <c r="M224" s="122"/>
      <c r="N224" s="122"/>
      <c r="O224" s="122"/>
      <c r="P224" s="122"/>
      <c r="Q224" s="122"/>
      <c r="R224" s="121"/>
      <c r="S224" s="121"/>
      <c r="T224" s="122"/>
      <c r="U224" s="122"/>
      <c r="V224" s="122"/>
      <c r="W224" s="122"/>
      <c r="X224" s="180"/>
      <c r="Y224" s="180"/>
      <c r="Z224" s="122"/>
      <c r="AA224" s="180"/>
      <c r="AB224" s="180"/>
      <c r="AC224" s="180"/>
      <c r="AD224" s="179"/>
      <c r="AE224" s="271"/>
      <c r="AF224" s="180"/>
      <c r="AG224" s="180"/>
      <c r="AH224" s="180"/>
      <c r="AI224" s="180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22"/>
      <c r="BV224" s="115"/>
      <c r="BW224" s="115"/>
      <c r="BX224" s="115"/>
      <c r="BY224" s="183"/>
      <c r="BZ224" s="183"/>
      <c r="CA224" s="174"/>
      <c r="CB224" s="174"/>
      <c r="CI224" s="14"/>
      <c r="CJ224" s="39"/>
      <c r="CK224" s="39"/>
      <c r="CL224" s="222"/>
      <c r="CM224" s="222"/>
      <c r="CN224" s="222"/>
      <c r="CO224" s="222"/>
      <c r="CP224" s="156"/>
      <c r="CQ224" s="156"/>
      <c r="CR224" s="156"/>
      <c r="CS224" s="156"/>
      <c r="CT224" s="156"/>
      <c r="CU224" s="156"/>
      <c r="CV224" s="156"/>
      <c r="CW224" s="156"/>
      <c r="CX224" s="156"/>
      <c r="CY224" s="156"/>
      <c r="CZ224" s="156"/>
      <c r="DA224" s="156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</row>
    <row r="225" spans="1:121" s="7" customFormat="1" hidden="1" outlineLevel="1" x14ac:dyDescent="0.2">
      <c r="A225" s="12"/>
      <c r="B225" s="169"/>
      <c r="C225" s="12"/>
      <c r="D225" s="13"/>
      <c r="E225" s="11"/>
      <c r="F225" s="169"/>
      <c r="G225" s="35"/>
      <c r="H225" s="1"/>
      <c r="I225" s="1"/>
      <c r="J225" s="122"/>
      <c r="K225" s="122"/>
      <c r="L225" s="122"/>
      <c r="M225" s="122"/>
      <c r="N225" s="122"/>
      <c r="O225" s="122"/>
      <c r="P225" s="122"/>
      <c r="Q225" s="122"/>
      <c r="R225" s="121"/>
      <c r="S225" s="121"/>
      <c r="T225" s="122"/>
      <c r="U225" s="122"/>
      <c r="V225" s="122"/>
      <c r="W225" s="122"/>
      <c r="X225" s="180"/>
      <c r="Y225" s="180"/>
      <c r="Z225" s="122"/>
      <c r="AA225" s="180"/>
      <c r="AB225" s="180"/>
      <c r="AC225" s="180"/>
      <c r="AD225" s="179"/>
      <c r="AE225" s="271"/>
      <c r="AF225" s="180"/>
      <c r="AG225" s="180"/>
      <c r="AH225" s="180"/>
      <c r="AI225" s="180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22"/>
      <c r="BV225" s="115"/>
      <c r="BW225" s="115"/>
      <c r="BX225" s="115"/>
      <c r="BY225" s="183"/>
      <c r="BZ225" s="183"/>
      <c r="CA225" s="174"/>
      <c r="CB225" s="174"/>
      <c r="CI225" s="14"/>
      <c r="CJ225" s="39"/>
      <c r="CK225" s="39"/>
      <c r="CL225" s="222"/>
      <c r="CM225" s="222"/>
      <c r="CN225" s="222"/>
      <c r="CO225" s="222"/>
      <c r="CP225" s="156"/>
      <c r="CQ225" s="156"/>
      <c r="CR225" s="156"/>
      <c r="CS225" s="156"/>
      <c r="CT225" s="156"/>
      <c r="CU225" s="156"/>
      <c r="CV225" s="156"/>
      <c r="CW225" s="156"/>
      <c r="CX225" s="156"/>
      <c r="CY225" s="156"/>
      <c r="CZ225" s="156"/>
      <c r="DA225" s="156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</row>
    <row r="226" spans="1:121" s="7" customFormat="1" hidden="1" outlineLevel="1" x14ac:dyDescent="0.2">
      <c r="A226" s="12"/>
      <c r="B226" s="169"/>
      <c r="C226" s="12"/>
      <c r="D226" s="13"/>
      <c r="E226" s="11"/>
      <c r="F226" s="169"/>
      <c r="G226" s="35"/>
      <c r="H226" s="1"/>
      <c r="I226" s="1"/>
      <c r="J226" s="122"/>
      <c r="K226" s="122"/>
      <c r="L226" s="122"/>
      <c r="M226" s="122"/>
      <c r="N226" s="122"/>
      <c r="O226" s="122"/>
      <c r="P226" s="122"/>
      <c r="Q226" s="122"/>
      <c r="R226" s="121"/>
      <c r="S226" s="121"/>
      <c r="T226" s="122"/>
      <c r="U226" s="122"/>
      <c r="V226" s="122"/>
      <c r="W226" s="122"/>
      <c r="X226" s="180"/>
      <c r="Y226" s="180"/>
      <c r="Z226" s="122"/>
      <c r="AA226" s="180"/>
      <c r="AB226" s="180"/>
      <c r="AC226" s="180"/>
      <c r="AD226" s="179"/>
      <c r="AE226" s="271"/>
      <c r="AF226" s="180"/>
      <c r="AG226" s="180"/>
      <c r="AH226" s="180"/>
      <c r="AI226" s="180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22"/>
      <c r="BV226" s="115"/>
      <c r="BW226" s="115"/>
      <c r="BX226" s="115"/>
      <c r="BY226" s="183"/>
      <c r="BZ226" s="183"/>
      <c r="CA226" s="174"/>
      <c r="CB226" s="174"/>
      <c r="CI226" s="14"/>
      <c r="CJ226" s="39"/>
      <c r="CK226" s="39"/>
      <c r="CL226" s="222"/>
      <c r="CM226" s="222"/>
      <c r="CN226" s="222"/>
      <c r="CO226" s="222"/>
      <c r="CP226" s="156"/>
      <c r="CQ226" s="156"/>
      <c r="CR226" s="156"/>
      <c r="CS226" s="156"/>
      <c r="CT226" s="156"/>
      <c r="CU226" s="156"/>
      <c r="CV226" s="156"/>
      <c r="CW226" s="156"/>
      <c r="CX226" s="156"/>
      <c r="CY226" s="156"/>
      <c r="CZ226" s="156"/>
      <c r="DA226" s="156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</row>
    <row r="227" spans="1:121" s="7" customFormat="1" hidden="1" outlineLevel="1" x14ac:dyDescent="0.2">
      <c r="A227" s="12"/>
      <c r="B227" s="169"/>
      <c r="C227" s="12"/>
      <c r="D227" s="13"/>
      <c r="E227" s="11"/>
      <c r="F227" s="169"/>
      <c r="G227" s="35"/>
      <c r="H227" s="1"/>
      <c r="I227" s="1"/>
      <c r="J227" s="122"/>
      <c r="K227" s="122"/>
      <c r="L227" s="122"/>
      <c r="M227" s="122"/>
      <c r="N227" s="122"/>
      <c r="O227" s="122"/>
      <c r="P227" s="122"/>
      <c r="Q227" s="122"/>
      <c r="R227" s="121"/>
      <c r="S227" s="121"/>
      <c r="T227" s="122"/>
      <c r="U227" s="122"/>
      <c r="V227" s="122"/>
      <c r="W227" s="122"/>
      <c r="X227" s="180"/>
      <c r="Y227" s="180"/>
      <c r="Z227" s="122"/>
      <c r="AA227" s="180"/>
      <c r="AB227" s="180"/>
      <c r="AC227" s="180"/>
      <c r="AD227" s="179"/>
      <c r="AE227" s="271"/>
      <c r="AF227" s="180"/>
      <c r="AG227" s="180"/>
      <c r="AH227" s="180"/>
      <c r="AI227" s="180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22"/>
      <c r="BV227" s="115"/>
      <c r="BW227" s="115"/>
      <c r="BX227" s="115"/>
      <c r="BY227" s="183"/>
      <c r="BZ227" s="183"/>
      <c r="CA227" s="174"/>
      <c r="CB227" s="174"/>
      <c r="CI227" s="14"/>
      <c r="CJ227" s="39"/>
      <c r="CK227" s="39"/>
      <c r="CL227" s="222"/>
      <c r="CM227" s="222"/>
      <c r="CN227" s="222"/>
      <c r="CO227" s="222"/>
      <c r="CP227" s="156"/>
      <c r="CQ227" s="156"/>
      <c r="CR227" s="156"/>
      <c r="CS227" s="156"/>
      <c r="CT227" s="156"/>
      <c r="CU227" s="156"/>
      <c r="CV227" s="156"/>
      <c r="CW227" s="156"/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</row>
    <row r="228" spans="1:121" s="7" customFormat="1" hidden="1" outlineLevel="1" x14ac:dyDescent="0.2">
      <c r="A228" s="12"/>
      <c r="B228" s="169"/>
      <c r="C228" s="12"/>
      <c r="D228" s="13"/>
      <c r="E228" s="11"/>
      <c r="F228" s="169"/>
      <c r="G228" s="35"/>
      <c r="H228" s="1"/>
      <c r="I228" s="1"/>
      <c r="J228" s="122"/>
      <c r="K228" s="122"/>
      <c r="L228" s="122"/>
      <c r="M228" s="122"/>
      <c r="N228" s="122"/>
      <c r="O228" s="122"/>
      <c r="P228" s="122"/>
      <c r="Q228" s="122"/>
      <c r="R228" s="121"/>
      <c r="S228" s="121"/>
      <c r="T228" s="122"/>
      <c r="U228" s="122"/>
      <c r="V228" s="122"/>
      <c r="W228" s="122"/>
      <c r="X228" s="180"/>
      <c r="Y228" s="180"/>
      <c r="Z228" s="122"/>
      <c r="AA228" s="180"/>
      <c r="AB228" s="180"/>
      <c r="AC228" s="180"/>
      <c r="AD228" s="179"/>
      <c r="AE228" s="271"/>
      <c r="AF228" s="180"/>
      <c r="AG228" s="180"/>
      <c r="AH228" s="180"/>
      <c r="AI228" s="180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22"/>
      <c r="BV228" s="115"/>
      <c r="BW228" s="115"/>
      <c r="BX228" s="115"/>
      <c r="BY228" s="183"/>
      <c r="BZ228" s="183"/>
      <c r="CA228" s="174"/>
      <c r="CB228" s="174"/>
      <c r="CI228" s="14"/>
      <c r="CJ228" s="39"/>
      <c r="CK228" s="39"/>
      <c r="CL228" s="222"/>
      <c r="CM228" s="222"/>
      <c r="CN228" s="222"/>
      <c r="CO228" s="222"/>
      <c r="CP228" s="156"/>
      <c r="CQ228" s="156"/>
      <c r="CR228" s="156"/>
      <c r="CS228" s="156"/>
      <c r="CT228" s="156"/>
      <c r="CU228" s="156"/>
      <c r="CV228" s="156"/>
      <c r="CW228" s="156"/>
      <c r="CX228" s="156"/>
      <c r="CY228" s="156"/>
      <c r="CZ228" s="156"/>
      <c r="DA228" s="156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</row>
    <row r="229" spans="1:121" s="7" customFormat="1" hidden="1" outlineLevel="1" x14ac:dyDescent="0.2">
      <c r="A229" s="12"/>
      <c r="B229" s="169"/>
      <c r="C229" s="12"/>
      <c r="D229" s="13"/>
      <c r="E229" s="11"/>
      <c r="F229" s="169"/>
      <c r="G229" s="35"/>
      <c r="H229" s="1"/>
      <c r="I229" s="1"/>
      <c r="J229" s="122"/>
      <c r="K229" s="122"/>
      <c r="L229" s="122"/>
      <c r="M229" s="122"/>
      <c r="N229" s="122"/>
      <c r="O229" s="122"/>
      <c r="P229" s="122"/>
      <c r="Q229" s="122"/>
      <c r="R229" s="121"/>
      <c r="S229" s="121"/>
      <c r="T229" s="122"/>
      <c r="U229" s="122"/>
      <c r="V229" s="122"/>
      <c r="W229" s="122"/>
      <c r="X229" s="180"/>
      <c r="Y229" s="180"/>
      <c r="Z229" s="122"/>
      <c r="AA229" s="180"/>
      <c r="AB229" s="180"/>
      <c r="AC229" s="180"/>
      <c r="AD229" s="179"/>
      <c r="AE229" s="271"/>
      <c r="AF229" s="180"/>
      <c r="AG229" s="180"/>
      <c r="AH229" s="180"/>
      <c r="AI229" s="180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22"/>
      <c r="BV229" s="115"/>
      <c r="BW229" s="115"/>
      <c r="BX229" s="115"/>
      <c r="BY229" s="183"/>
      <c r="BZ229" s="183"/>
      <c r="CA229" s="174"/>
      <c r="CB229" s="174"/>
      <c r="CI229" s="14"/>
      <c r="CJ229" s="39"/>
      <c r="CK229" s="39"/>
      <c r="CL229" s="222"/>
      <c r="CM229" s="222"/>
      <c r="CN229" s="222"/>
      <c r="CO229" s="222"/>
      <c r="CP229" s="156"/>
      <c r="CQ229" s="156"/>
      <c r="CR229" s="156"/>
      <c r="CS229" s="156"/>
      <c r="CT229" s="156"/>
      <c r="CU229" s="156"/>
      <c r="CV229" s="156"/>
      <c r="CW229" s="156"/>
      <c r="CX229" s="156"/>
      <c r="CY229" s="156"/>
      <c r="CZ229" s="156"/>
      <c r="DA229" s="156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</row>
    <row r="230" spans="1:121" s="7" customFormat="1" hidden="1" outlineLevel="1" x14ac:dyDescent="0.2">
      <c r="A230" s="12"/>
      <c r="B230" s="169"/>
      <c r="C230" s="12"/>
      <c r="D230" s="13"/>
      <c r="E230" s="11"/>
      <c r="F230" s="169"/>
      <c r="G230" s="35"/>
      <c r="H230" s="1"/>
      <c r="I230" s="1"/>
      <c r="J230" s="122"/>
      <c r="K230" s="122"/>
      <c r="L230" s="122"/>
      <c r="M230" s="122"/>
      <c r="N230" s="122"/>
      <c r="O230" s="122"/>
      <c r="P230" s="122"/>
      <c r="Q230" s="122"/>
      <c r="R230" s="121"/>
      <c r="S230" s="121"/>
      <c r="T230" s="122"/>
      <c r="U230" s="122"/>
      <c r="V230" s="122"/>
      <c r="W230" s="122"/>
      <c r="X230" s="180"/>
      <c r="Y230" s="180"/>
      <c r="Z230" s="122"/>
      <c r="AA230" s="180"/>
      <c r="AB230" s="180"/>
      <c r="AC230" s="180"/>
      <c r="AD230" s="179"/>
      <c r="AE230" s="271"/>
      <c r="AF230" s="180"/>
      <c r="AG230" s="180"/>
      <c r="AH230" s="180"/>
      <c r="AI230" s="180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22"/>
      <c r="BV230" s="115"/>
      <c r="BW230" s="115"/>
      <c r="BX230" s="115"/>
      <c r="BY230" s="183"/>
      <c r="BZ230" s="183"/>
      <c r="CA230" s="174"/>
      <c r="CB230" s="174"/>
      <c r="CI230" s="14"/>
      <c r="CJ230" s="39"/>
      <c r="CK230" s="39"/>
      <c r="CL230" s="222"/>
      <c r="CM230" s="222"/>
      <c r="CN230" s="222"/>
      <c r="CO230" s="222"/>
      <c r="CP230" s="156"/>
      <c r="CQ230" s="156"/>
      <c r="CR230" s="156"/>
      <c r="CS230" s="156"/>
      <c r="CT230" s="156"/>
      <c r="CU230" s="156"/>
      <c r="CV230" s="156"/>
      <c r="CW230" s="156"/>
      <c r="CX230" s="156"/>
      <c r="CY230" s="156"/>
      <c r="CZ230" s="156"/>
      <c r="DA230" s="156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</row>
    <row r="231" spans="1:121" s="7" customFormat="1" hidden="1" outlineLevel="1" x14ac:dyDescent="0.2">
      <c r="A231" s="12"/>
      <c r="B231" s="169"/>
      <c r="C231" s="12"/>
      <c r="D231" s="13"/>
      <c r="E231" s="11"/>
      <c r="F231" s="169"/>
      <c r="G231" s="35"/>
      <c r="H231" s="1"/>
      <c r="I231" s="1"/>
      <c r="J231" s="122"/>
      <c r="K231" s="122"/>
      <c r="L231" s="122"/>
      <c r="M231" s="122"/>
      <c r="N231" s="122"/>
      <c r="O231" s="122"/>
      <c r="P231" s="122"/>
      <c r="Q231" s="122"/>
      <c r="R231" s="121"/>
      <c r="S231" s="121"/>
      <c r="T231" s="122"/>
      <c r="U231" s="122"/>
      <c r="V231" s="122"/>
      <c r="W231" s="122"/>
      <c r="X231" s="180"/>
      <c r="Y231" s="180"/>
      <c r="Z231" s="122"/>
      <c r="AA231" s="180"/>
      <c r="AB231" s="180"/>
      <c r="AC231" s="180"/>
      <c r="AD231" s="179"/>
      <c r="AE231" s="271"/>
      <c r="AF231" s="180"/>
      <c r="AG231" s="180"/>
      <c r="AH231" s="180"/>
      <c r="AI231" s="180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22"/>
      <c r="BV231" s="115"/>
      <c r="BW231" s="115"/>
      <c r="BX231" s="115"/>
      <c r="BY231" s="183"/>
      <c r="BZ231" s="183"/>
      <c r="CA231" s="174"/>
      <c r="CB231" s="174"/>
      <c r="CI231" s="14"/>
      <c r="CJ231" s="39"/>
      <c r="CK231" s="39"/>
      <c r="CL231" s="222"/>
      <c r="CM231" s="222"/>
      <c r="CN231" s="222"/>
      <c r="CO231" s="222"/>
      <c r="CP231" s="156"/>
      <c r="CQ231" s="156"/>
      <c r="CR231" s="156"/>
      <c r="CS231" s="156"/>
      <c r="CT231" s="156"/>
      <c r="CU231" s="156"/>
      <c r="CV231" s="156"/>
      <c r="CW231" s="156"/>
      <c r="CX231" s="156"/>
      <c r="CY231" s="156"/>
      <c r="CZ231" s="156"/>
      <c r="DA231" s="156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</row>
    <row r="232" spans="1:121" s="7" customFormat="1" hidden="1" outlineLevel="1" x14ac:dyDescent="0.2">
      <c r="A232" s="12"/>
      <c r="B232" s="169"/>
      <c r="C232" s="12"/>
      <c r="D232" s="13"/>
      <c r="E232" s="11"/>
      <c r="F232" s="169"/>
      <c r="G232" s="35"/>
      <c r="H232" s="1"/>
      <c r="I232" s="1"/>
      <c r="J232" s="122"/>
      <c r="K232" s="122"/>
      <c r="L232" s="122"/>
      <c r="M232" s="122"/>
      <c r="N232" s="122"/>
      <c r="O232" s="122"/>
      <c r="P232" s="122"/>
      <c r="Q232" s="122"/>
      <c r="R232" s="121"/>
      <c r="S232" s="121"/>
      <c r="T232" s="122"/>
      <c r="U232" s="122"/>
      <c r="V232" s="122"/>
      <c r="W232" s="122"/>
      <c r="X232" s="180"/>
      <c r="Y232" s="180"/>
      <c r="Z232" s="122"/>
      <c r="AA232" s="180"/>
      <c r="AB232" s="180"/>
      <c r="AC232" s="180"/>
      <c r="AD232" s="179"/>
      <c r="AE232" s="271"/>
      <c r="AF232" s="180"/>
      <c r="AG232" s="180"/>
      <c r="AH232" s="180"/>
      <c r="AI232" s="180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22"/>
      <c r="BV232" s="115"/>
      <c r="BW232" s="115"/>
      <c r="BX232" s="115"/>
      <c r="BY232" s="183"/>
      <c r="BZ232" s="183"/>
      <c r="CA232" s="174"/>
      <c r="CB232" s="174"/>
      <c r="CI232" s="14"/>
      <c r="CJ232" s="39"/>
      <c r="CK232" s="39"/>
      <c r="CL232" s="222"/>
      <c r="CM232" s="222"/>
      <c r="CN232" s="222"/>
      <c r="CO232" s="222"/>
      <c r="CP232" s="156"/>
      <c r="CQ232" s="156"/>
      <c r="CR232" s="156"/>
      <c r="CS232" s="156"/>
      <c r="CT232" s="156"/>
      <c r="CU232" s="156"/>
      <c r="CV232" s="156"/>
      <c r="CW232" s="156"/>
      <c r="CX232" s="156"/>
      <c r="CY232" s="156"/>
      <c r="CZ232" s="156"/>
      <c r="DA232" s="156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</row>
    <row r="233" spans="1:121" s="7" customFormat="1" hidden="1" outlineLevel="1" x14ac:dyDescent="0.2">
      <c r="A233" s="12"/>
      <c r="B233" s="169"/>
      <c r="C233" s="12"/>
      <c r="D233" s="13"/>
      <c r="E233" s="11"/>
      <c r="F233" s="169"/>
      <c r="G233" s="35"/>
      <c r="H233" s="1"/>
      <c r="I233" s="1"/>
      <c r="J233" s="122"/>
      <c r="K233" s="122"/>
      <c r="L233" s="122"/>
      <c r="M233" s="122"/>
      <c r="N233" s="122"/>
      <c r="O233" s="122"/>
      <c r="P233" s="122"/>
      <c r="Q233" s="122"/>
      <c r="R233" s="121"/>
      <c r="S233" s="121"/>
      <c r="T233" s="122"/>
      <c r="U233" s="122"/>
      <c r="V233" s="122"/>
      <c r="W233" s="122"/>
      <c r="X233" s="180"/>
      <c r="Y233" s="180"/>
      <c r="Z233" s="122"/>
      <c r="AA233" s="180"/>
      <c r="AB233" s="180"/>
      <c r="AC233" s="180"/>
      <c r="AD233" s="179"/>
      <c r="AE233" s="271"/>
      <c r="AF233" s="180"/>
      <c r="AG233" s="180"/>
      <c r="AH233" s="180"/>
      <c r="AI233" s="180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22"/>
      <c r="BV233" s="115"/>
      <c r="BW233" s="115"/>
      <c r="BX233" s="115"/>
      <c r="BY233" s="183"/>
      <c r="BZ233" s="183"/>
      <c r="CA233" s="174"/>
      <c r="CB233" s="174"/>
      <c r="CI233" s="14"/>
      <c r="CJ233" s="39"/>
      <c r="CK233" s="39"/>
      <c r="CL233" s="222"/>
      <c r="CM233" s="222"/>
      <c r="CN233" s="222"/>
      <c r="CO233" s="222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</row>
    <row r="234" spans="1:121" s="7" customFormat="1" hidden="1" outlineLevel="1" x14ac:dyDescent="0.2">
      <c r="A234" s="12"/>
      <c r="B234" s="169"/>
      <c r="C234" s="12"/>
      <c r="D234" s="13"/>
      <c r="E234" s="11"/>
      <c r="F234" s="169"/>
      <c r="G234" s="35"/>
      <c r="H234" s="1"/>
      <c r="I234" s="1"/>
      <c r="J234" s="122"/>
      <c r="K234" s="122"/>
      <c r="L234" s="122"/>
      <c r="M234" s="122"/>
      <c r="N234" s="122"/>
      <c r="O234" s="122"/>
      <c r="P234" s="122"/>
      <c r="Q234" s="122"/>
      <c r="R234" s="121"/>
      <c r="S234" s="121"/>
      <c r="T234" s="122"/>
      <c r="U234" s="122"/>
      <c r="V234" s="122"/>
      <c r="W234" s="122"/>
      <c r="X234" s="180"/>
      <c r="Y234" s="180"/>
      <c r="Z234" s="122"/>
      <c r="AA234" s="180"/>
      <c r="AB234" s="180"/>
      <c r="AC234" s="180"/>
      <c r="AD234" s="179"/>
      <c r="AE234" s="271"/>
      <c r="AF234" s="180"/>
      <c r="AG234" s="180"/>
      <c r="AH234" s="180"/>
      <c r="AI234" s="180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22"/>
      <c r="BV234" s="115"/>
      <c r="BW234" s="115"/>
      <c r="BX234" s="115"/>
      <c r="BY234" s="183"/>
      <c r="BZ234" s="183"/>
      <c r="CA234" s="174"/>
      <c r="CB234" s="174"/>
      <c r="CI234" s="14"/>
      <c r="CJ234" s="39"/>
      <c r="CK234" s="39"/>
      <c r="CL234" s="222"/>
      <c r="CM234" s="222"/>
      <c r="CN234" s="222"/>
      <c r="CO234" s="222"/>
      <c r="CP234" s="156"/>
      <c r="CQ234" s="156"/>
      <c r="CR234" s="156"/>
      <c r="CS234" s="156"/>
      <c r="CT234" s="156"/>
      <c r="CU234" s="156"/>
      <c r="CV234" s="156"/>
      <c r="CW234" s="156"/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</row>
    <row r="235" spans="1:121" s="7" customFormat="1" hidden="1" outlineLevel="1" x14ac:dyDescent="0.2">
      <c r="A235" s="12"/>
      <c r="B235" s="169"/>
      <c r="C235" s="12"/>
      <c r="D235" s="13"/>
      <c r="E235" s="11"/>
      <c r="F235" s="169"/>
      <c r="G235" s="35"/>
      <c r="H235" s="1"/>
      <c r="I235" s="1"/>
      <c r="J235" s="122"/>
      <c r="K235" s="122"/>
      <c r="L235" s="122"/>
      <c r="M235" s="122"/>
      <c r="N235" s="122"/>
      <c r="O235" s="122"/>
      <c r="P235" s="122"/>
      <c r="Q235" s="122"/>
      <c r="R235" s="121"/>
      <c r="S235" s="121"/>
      <c r="T235" s="122"/>
      <c r="U235" s="122"/>
      <c r="V235" s="122"/>
      <c r="W235" s="122"/>
      <c r="X235" s="180"/>
      <c r="Y235" s="180"/>
      <c r="Z235" s="122"/>
      <c r="AA235" s="180"/>
      <c r="AB235" s="180"/>
      <c r="AC235" s="180"/>
      <c r="AD235" s="179"/>
      <c r="AE235" s="271"/>
      <c r="AF235" s="180"/>
      <c r="AG235" s="180"/>
      <c r="AH235" s="180"/>
      <c r="AI235" s="180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22"/>
      <c r="BV235" s="115"/>
      <c r="BW235" s="115"/>
      <c r="BX235" s="115"/>
      <c r="BY235" s="183"/>
      <c r="BZ235" s="183"/>
      <c r="CA235" s="174"/>
      <c r="CB235" s="174"/>
      <c r="CI235" s="14"/>
      <c r="CJ235" s="39"/>
      <c r="CK235" s="39"/>
      <c r="CL235" s="222"/>
      <c r="CM235" s="222"/>
      <c r="CN235" s="222"/>
      <c r="CO235" s="222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</row>
    <row r="236" spans="1:121" s="7" customFormat="1" hidden="1" outlineLevel="1" x14ac:dyDescent="0.2">
      <c r="A236" s="12"/>
      <c r="B236" s="169"/>
      <c r="C236" s="12"/>
      <c r="D236" s="13"/>
      <c r="E236" s="11"/>
      <c r="F236" s="169"/>
      <c r="G236" s="35"/>
      <c r="H236" s="1"/>
      <c r="I236" s="1"/>
      <c r="J236" s="122"/>
      <c r="K236" s="122"/>
      <c r="L236" s="122"/>
      <c r="M236" s="122"/>
      <c r="N236" s="122"/>
      <c r="O236" s="122"/>
      <c r="P236" s="122"/>
      <c r="Q236" s="122"/>
      <c r="R236" s="121"/>
      <c r="S236" s="121"/>
      <c r="T236" s="122"/>
      <c r="U236" s="122"/>
      <c r="V236" s="122"/>
      <c r="W236" s="122"/>
      <c r="X236" s="180"/>
      <c r="Y236" s="180"/>
      <c r="Z236" s="122"/>
      <c r="AA236" s="180"/>
      <c r="AB236" s="180"/>
      <c r="AC236" s="180"/>
      <c r="AD236" s="179"/>
      <c r="AE236" s="271"/>
      <c r="AF236" s="180"/>
      <c r="AG236" s="180"/>
      <c r="AH236" s="180"/>
      <c r="AI236" s="180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22"/>
      <c r="BV236" s="115"/>
      <c r="BW236" s="115"/>
      <c r="BX236" s="115"/>
      <c r="BY236" s="183"/>
      <c r="BZ236" s="183"/>
      <c r="CA236" s="174"/>
      <c r="CB236" s="174"/>
      <c r="CI236" s="14"/>
      <c r="CJ236" s="39"/>
      <c r="CK236" s="39"/>
      <c r="CL236" s="222"/>
      <c r="CM236" s="222"/>
      <c r="CN236" s="222"/>
      <c r="CO236" s="222"/>
      <c r="CP236" s="156"/>
      <c r="CQ236" s="156"/>
      <c r="CR236" s="156"/>
      <c r="CS236" s="156"/>
      <c r="CT236" s="156"/>
      <c r="CU236" s="156"/>
      <c r="CV236" s="156"/>
      <c r="CW236" s="156"/>
      <c r="CX236" s="156"/>
      <c r="CY236" s="156"/>
      <c r="CZ236" s="156"/>
      <c r="DA236" s="156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</row>
    <row r="237" spans="1:121" s="7" customFormat="1" hidden="1" outlineLevel="1" x14ac:dyDescent="0.2">
      <c r="A237" s="12"/>
      <c r="B237" s="169"/>
      <c r="C237" s="12"/>
      <c r="D237" s="13"/>
      <c r="E237" s="11"/>
      <c r="F237" s="169"/>
      <c r="G237" s="35"/>
      <c r="H237" s="1"/>
      <c r="I237" s="1"/>
      <c r="J237" s="122"/>
      <c r="K237" s="122"/>
      <c r="L237" s="122"/>
      <c r="M237" s="122"/>
      <c r="N237" s="122"/>
      <c r="O237" s="122"/>
      <c r="P237" s="122"/>
      <c r="Q237" s="122"/>
      <c r="R237" s="121"/>
      <c r="S237" s="121"/>
      <c r="T237" s="122"/>
      <c r="U237" s="122"/>
      <c r="V237" s="122"/>
      <c r="W237" s="122"/>
      <c r="X237" s="180"/>
      <c r="Y237" s="180"/>
      <c r="Z237" s="122"/>
      <c r="AA237" s="180"/>
      <c r="AB237" s="180"/>
      <c r="AC237" s="180"/>
      <c r="AD237" s="179"/>
      <c r="AE237" s="271"/>
      <c r="AF237" s="180"/>
      <c r="AG237" s="180"/>
      <c r="AH237" s="180"/>
      <c r="AI237" s="180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22"/>
      <c r="BV237" s="115"/>
      <c r="BW237" s="115"/>
      <c r="BX237" s="115"/>
      <c r="BY237" s="183"/>
      <c r="BZ237" s="183"/>
      <c r="CA237" s="174"/>
      <c r="CB237" s="174"/>
      <c r="CI237" s="14"/>
      <c r="CJ237" s="39"/>
      <c r="CK237" s="39"/>
      <c r="CL237" s="222"/>
      <c r="CM237" s="222"/>
      <c r="CN237" s="222"/>
      <c r="CO237" s="222"/>
      <c r="CP237" s="156"/>
      <c r="CQ237" s="156"/>
      <c r="CR237" s="156"/>
      <c r="CS237" s="156"/>
      <c r="CT237" s="156"/>
      <c r="CU237" s="156"/>
      <c r="CV237" s="156"/>
      <c r="CW237" s="156"/>
      <c r="CX237" s="156"/>
      <c r="CY237" s="156"/>
      <c r="CZ237" s="156"/>
      <c r="DA237" s="156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</row>
    <row r="238" spans="1:121" s="7" customFormat="1" hidden="1" outlineLevel="1" x14ac:dyDescent="0.2">
      <c r="A238" s="12"/>
      <c r="B238" s="169"/>
      <c r="C238" s="12"/>
      <c r="D238" s="13"/>
      <c r="E238" s="11"/>
      <c r="F238" s="169"/>
      <c r="G238" s="35"/>
      <c r="H238" s="1"/>
      <c r="I238" s="1"/>
      <c r="J238" s="122"/>
      <c r="K238" s="122"/>
      <c r="L238" s="122"/>
      <c r="M238" s="122"/>
      <c r="N238" s="122"/>
      <c r="O238" s="122"/>
      <c r="P238" s="122"/>
      <c r="Q238" s="122"/>
      <c r="R238" s="121"/>
      <c r="S238" s="121"/>
      <c r="T238" s="122"/>
      <c r="U238" s="122"/>
      <c r="V238" s="122"/>
      <c r="W238" s="122"/>
      <c r="X238" s="180"/>
      <c r="Y238" s="180"/>
      <c r="Z238" s="122"/>
      <c r="AA238" s="180"/>
      <c r="AB238" s="180"/>
      <c r="AC238" s="180"/>
      <c r="AD238" s="179"/>
      <c r="AE238" s="271"/>
      <c r="AF238" s="180"/>
      <c r="AG238" s="180"/>
      <c r="AH238" s="180"/>
      <c r="AI238" s="180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22"/>
      <c r="BV238" s="115"/>
      <c r="BW238" s="115"/>
      <c r="BX238" s="115"/>
      <c r="BY238" s="183"/>
      <c r="BZ238" s="183"/>
      <c r="CA238" s="174"/>
      <c r="CB238" s="174"/>
      <c r="CI238" s="14"/>
      <c r="CJ238" s="39"/>
      <c r="CK238" s="39"/>
      <c r="CL238" s="222"/>
      <c r="CM238" s="222"/>
      <c r="CN238" s="222"/>
      <c r="CO238" s="222"/>
      <c r="CP238" s="156"/>
      <c r="CQ238" s="156"/>
      <c r="CR238" s="156"/>
      <c r="CS238" s="156"/>
      <c r="CT238" s="156"/>
      <c r="CU238" s="156"/>
      <c r="CV238" s="156"/>
      <c r="CW238" s="156"/>
      <c r="CX238" s="156"/>
      <c r="CY238" s="156"/>
      <c r="CZ238" s="156"/>
      <c r="DA238" s="156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</row>
    <row r="239" spans="1:121" s="7" customFormat="1" hidden="1" outlineLevel="1" x14ac:dyDescent="0.2">
      <c r="A239" s="12"/>
      <c r="B239" s="169"/>
      <c r="C239" s="12"/>
      <c r="D239" s="13"/>
      <c r="E239" s="11"/>
      <c r="F239" s="169"/>
      <c r="G239" s="35"/>
      <c r="H239" s="1"/>
      <c r="I239" s="1"/>
      <c r="J239" s="122"/>
      <c r="K239" s="122"/>
      <c r="L239" s="122"/>
      <c r="M239" s="122"/>
      <c r="N239" s="122"/>
      <c r="O239" s="122"/>
      <c r="P239" s="122"/>
      <c r="Q239" s="122"/>
      <c r="R239" s="121"/>
      <c r="S239" s="121"/>
      <c r="T239" s="122"/>
      <c r="U239" s="122"/>
      <c r="V239" s="122"/>
      <c r="W239" s="122"/>
      <c r="X239" s="180"/>
      <c r="Y239" s="180"/>
      <c r="Z239" s="122"/>
      <c r="AA239" s="180"/>
      <c r="AB239" s="180"/>
      <c r="AC239" s="180"/>
      <c r="AD239" s="179"/>
      <c r="AE239" s="271"/>
      <c r="AF239" s="180"/>
      <c r="AG239" s="180"/>
      <c r="AH239" s="180"/>
      <c r="AI239" s="180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22"/>
      <c r="BV239" s="115"/>
      <c r="BW239" s="115"/>
      <c r="BX239" s="115"/>
      <c r="BY239" s="183"/>
      <c r="BZ239" s="183"/>
      <c r="CA239" s="174"/>
      <c r="CB239" s="174"/>
      <c r="CI239" s="14"/>
      <c r="CJ239" s="39"/>
      <c r="CK239" s="39"/>
      <c r="CL239" s="222"/>
      <c r="CM239" s="222"/>
      <c r="CN239" s="222"/>
      <c r="CO239" s="222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</row>
    <row r="240" spans="1:121" s="7" customFormat="1" hidden="1" outlineLevel="1" x14ac:dyDescent="0.2">
      <c r="A240" s="12"/>
      <c r="B240" s="169"/>
      <c r="C240" s="12"/>
      <c r="D240" s="13"/>
      <c r="E240" s="11"/>
      <c r="F240" s="169"/>
      <c r="G240" s="35"/>
      <c r="H240" s="1"/>
      <c r="I240" s="1"/>
      <c r="J240" s="122"/>
      <c r="K240" s="122"/>
      <c r="L240" s="122"/>
      <c r="M240" s="122"/>
      <c r="N240" s="122"/>
      <c r="O240" s="122"/>
      <c r="P240" s="122"/>
      <c r="Q240" s="122"/>
      <c r="R240" s="121"/>
      <c r="S240" s="121"/>
      <c r="T240" s="122"/>
      <c r="U240" s="122"/>
      <c r="V240" s="122"/>
      <c r="W240" s="122"/>
      <c r="X240" s="180"/>
      <c r="Y240" s="180"/>
      <c r="Z240" s="122"/>
      <c r="AA240" s="180"/>
      <c r="AB240" s="180"/>
      <c r="AC240" s="180"/>
      <c r="AD240" s="179"/>
      <c r="AE240" s="271"/>
      <c r="AF240" s="180"/>
      <c r="AG240" s="180"/>
      <c r="AH240" s="180"/>
      <c r="AI240" s="180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22"/>
      <c r="BV240" s="115"/>
      <c r="BW240" s="115"/>
      <c r="BX240" s="115"/>
      <c r="BY240" s="183"/>
      <c r="BZ240" s="183"/>
      <c r="CA240" s="174"/>
      <c r="CB240" s="174"/>
      <c r="CI240" s="14"/>
      <c r="CJ240" s="39"/>
      <c r="CK240" s="39"/>
      <c r="CL240" s="222"/>
      <c r="CM240" s="222"/>
      <c r="CN240" s="222"/>
      <c r="CO240" s="222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</row>
    <row r="241" spans="1:126" s="7" customFormat="1" hidden="1" outlineLevel="1" x14ac:dyDescent="0.2">
      <c r="A241" s="12"/>
      <c r="B241" s="169"/>
      <c r="C241" s="12"/>
      <c r="D241" s="13"/>
      <c r="E241" s="11"/>
      <c r="F241" s="169"/>
      <c r="G241" s="35"/>
      <c r="H241" s="1"/>
      <c r="I241" s="1"/>
      <c r="J241" s="122"/>
      <c r="K241" s="122"/>
      <c r="L241" s="122"/>
      <c r="M241" s="122"/>
      <c r="N241" s="122"/>
      <c r="O241" s="122"/>
      <c r="P241" s="122"/>
      <c r="Q241" s="122"/>
      <c r="R241" s="121"/>
      <c r="S241" s="121"/>
      <c r="T241" s="122"/>
      <c r="U241" s="122"/>
      <c r="V241" s="122"/>
      <c r="W241" s="122"/>
      <c r="X241" s="180"/>
      <c r="Y241" s="180"/>
      <c r="Z241" s="122"/>
      <c r="AA241" s="180"/>
      <c r="AB241" s="180"/>
      <c r="AC241" s="180"/>
      <c r="AD241" s="179"/>
      <c r="AE241" s="271"/>
      <c r="AF241" s="180"/>
      <c r="AG241" s="180"/>
      <c r="AH241" s="180"/>
      <c r="AI241" s="180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22"/>
      <c r="BV241" s="115"/>
      <c r="BW241" s="115"/>
      <c r="BX241" s="115"/>
      <c r="BY241" s="183"/>
      <c r="BZ241" s="183"/>
      <c r="CA241" s="174"/>
      <c r="CB241" s="174"/>
      <c r="CI241" s="14"/>
      <c r="CJ241" s="39"/>
      <c r="CK241" s="39"/>
      <c r="CL241" s="222"/>
      <c r="CM241" s="222"/>
      <c r="CN241" s="222"/>
      <c r="CO241" s="222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</row>
    <row r="242" spans="1:126" s="7" customFormat="1" hidden="1" outlineLevel="1" x14ac:dyDescent="0.2">
      <c r="A242" s="12"/>
      <c r="B242" s="169"/>
      <c r="C242" s="12"/>
      <c r="D242" s="13"/>
      <c r="E242" s="11"/>
      <c r="F242" s="169"/>
      <c r="G242" s="35"/>
      <c r="H242" s="1"/>
      <c r="I242" s="1"/>
      <c r="J242" s="122"/>
      <c r="K242" s="122"/>
      <c r="L242" s="122"/>
      <c r="M242" s="122"/>
      <c r="N242" s="122"/>
      <c r="O242" s="122"/>
      <c r="P242" s="122"/>
      <c r="Q242" s="122"/>
      <c r="R242" s="121"/>
      <c r="S242" s="121"/>
      <c r="T242" s="122"/>
      <c r="U242" s="122"/>
      <c r="V242" s="122"/>
      <c r="W242" s="122"/>
      <c r="X242" s="180"/>
      <c r="Y242" s="180"/>
      <c r="Z242" s="122"/>
      <c r="AA242" s="180"/>
      <c r="AB242" s="180"/>
      <c r="AC242" s="180"/>
      <c r="AD242" s="179"/>
      <c r="AE242" s="271"/>
      <c r="AF242" s="180"/>
      <c r="AG242" s="180"/>
      <c r="AH242" s="180"/>
      <c r="AI242" s="180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22"/>
      <c r="BV242" s="115"/>
      <c r="BW242" s="115"/>
      <c r="BX242" s="115"/>
      <c r="BY242" s="183"/>
      <c r="BZ242" s="183"/>
      <c r="CA242" s="174"/>
      <c r="CB242" s="174"/>
      <c r="CI242" s="14"/>
      <c r="CJ242" s="39"/>
      <c r="CK242" s="39"/>
      <c r="CL242" s="222"/>
      <c r="CM242" s="222"/>
      <c r="CN242" s="222"/>
      <c r="CO242" s="222"/>
      <c r="CP242" s="156"/>
      <c r="CQ242" s="156"/>
      <c r="CR242" s="156"/>
      <c r="CS242" s="156"/>
      <c r="CT242" s="156"/>
      <c r="CU242" s="156"/>
      <c r="CV242" s="156"/>
      <c r="CW242" s="156"/>
      <c r="CX242" s="156"/>
      <c r="CY242" s="156"/>
      <c r="CZ242" s="156"/>
      <c r="DA242" s="156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</row>
    <row r="243" spans="1:126" s="7" customFormat="1" hidden="1" outlineLevel="1" x14ac:dyDescent="0.2">
      <c r="A243" s="12"/>
      <c r="B243" s="169"/>
      <c r="C243" s="12"/>
      <c r="D243" s="13"/>
      <c r="E243" s="11"/>
      <c r="F243" s="169"/>
      <c r="G243" s="35"/>
      <c r="H243" s="1"/>
      <c r="I243" s="1"/>
      <c r="J243" s="122"/>
      <c r="K243" s="122"/>
      <c r="L243" s="122"/>
      <c r="M243" s="122"/>
      <c r="N243" s="122"/>
      <c r="O243" s="122"/>
      <c r="P243" s="122"/>
      <c r="Q243" s="122"/>
      <c r="R243" s="121"/>
      <c r="S243" s="121"/>
      <c r="T243" s="122"/>
      <c r="U243" s="122"/>
      <c r="V243" s="122"/>
      <c r="W243" s="122"/>
      <c r="X243" s="180"/>
      <c r="Y243" s="180"/>
      <c r="Z243" s="122"/>
      <c r="AA243" s="180"/>
      <c r="AB243" s="180"/>
      <c r="AC243" s="180"/>
      <c r="AD243" s="179"/>
      <c r="AE243" s="271"/>
      <c r="AF243" s="180"/>
      <c r="AG243" s="180"/>
      <c r="AH243" s="180"/>
      <c r="AI243" s="180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22"/>
      <c r="BV243" s="115"/>
      <c r="BW243" s="115"/>
      <c r="BX243" s="115"/>
      <c r="BY243" s="183"/>
      <c r="BZ243" s="183"/>
      <c r="CA243" s="174"/>
      <c r="CB243" s="174"/>
      <c r="CI243" s="14"/>
      <c r="CJ243" s="39"/>
      <c r="CK243" s="39"/>
      <c r="CL243" s="222"/>
      <c r="CM243" s="222"/>
      <c r="CN243" s="222"/>
      <c r="CO243" s="222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</row>
    <row r="244" spans="1:126" s="7" customFormat="1" hidden="1" outlineLevel="1" x14ac:dyDescent="0.2">
      <c r="A244" s="12"/>
      <c r="B244" s="169"/>
      <c r="C244" s="12"/>
      <c r="D244" s="13"/>
      <c r="E244" s="11"/>
      <c r="F244" s="169"/>
      <c r="G244" s="35"/>
      <c r="H244" s="1"/>
      <c r="I244" s="1"/>
      <c r="J244" s="122"/>
      <c r="K244" s="122"/>
      <c r="L244" s="122"/>
      <c r="M244" s="122"/>
      <c r="N244" s="122"/>
      <c r="O244" s="122"/>
      <c r="P244" s="122"/>
      <c r="Q244" s="122"/>
      <c r="R244" s="121"/>
      <c r="S244" s="121"/>
      <c r="T244" s="122"/>
      <c r="U244" s="122"/>
      <c r="V244" s="122"/>
      <c r="W244" s="122"/>
      <c r="X244" s="180"/>
      <c r="Y244" s="180"/>
      <c r="Z244" s="122"/>
      <c r="AA244" s="180"/>
      <c r="AB244" s="180"/>
      <c r="AC244" s="180"/>
      <c r="AD244" s="179"/>
      <c r="AE244" s="271"/>
      <c r="AF244" s="180"/>
      <c r="AG244" s="180"/>
      <c r="AH244" s="180"/>
      <c r="AI244" s="180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22"/>
      <c r="BV244" s="115"/>
      <c r="BW244" s="115"/>
      <c r="BX244" s="115"/>
      <c r="BY244" s="183"/>
      <c r="BZ244" s="183"/>
      <c r="CA244" s="174"/>
      <c r="CB244" s="174"/>
      <c r="CI244" s="14"/>
      <c r="CJ244" s="39"/>
      <c r="CK244" s="39"/>
      <c r="CL244" s="222"/>
      <c r="CM244" s="222"/>
      <c r="CN244" s="222"/>
      <c r="CO244" s="222"/>
      <c r="CP244" s="156"/>
      <c r="CQ244" s="156"/>
      <c r="CR244" s="156"/>
      <c r="CS244" s="156"/>
      <c r="CT244" s="156"/>
      <c r="CU244" s="156"/>
      <c r="CV244" s="156"/>
      <c r="CW244" s="156"/>
      <c r="CX244" s="156"/>
      <c r="CY244" s="156"/>
      <c r="CZ244" s="156"/>
      <c r="DA244" s="156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</row>
    <row r="245" spans="1:126" s="7" customFormat="1" hidden="1" outlineLevel="1" x14ac:dyDescent="0.2">
      <c r="A245" s="12"/>
      <c r="B245" s="169"/>
      <c r="C245" s="12"/>
      <c r="D245" s="13"/>
      <c r="E245" s="11"/>
      <c r="F245" s="169"/>
      <c r="G245" s="35"/>
      <c r="H245" s="1"/>
      <c r="I245" s="1"/>
      <c r="J245" s="122"/>
      <c r="K245" s="122"/>
      <c r="L245" s="122"/>
      <c r="M245" s="122"/>
      <c r="N245" s="122"/>
      <c r="O245" s="122"/>
      <c r="P245" s="122"/>
      <c r="Q245" s="122"/>
      <c r="R245" s="121"/>
      <c r="S245" s="121"/>
      <c r="T245" s="122"/>
      <c r="U245" s="122"/>
      <c r="V245" s="122"/>
      <c r="W245" s="122"/>
      <c r="X245" s="180"/>
      <c r="Y245" s="180"/>
      <c r="Z245" s="122"/>
      <c r="AA245" s="180"/>
      <c r="AB245" s="180"/>
      <c r="AC245" s="180"/>
      <c r="AD245" s="179"/>
      <c r="AE245" s="271"/>
      <c r="AF245" s="180"/>
      <c r="AG245" s="180"/>
      <c r="AH245" s="180"/>
      <c r="AI245" s="180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22"/>
      <c r="BV245" s="115"/>
      <c r="BW245" s="115"/>
      <c r="BX245" s="115"/>
      <c r="BY245" s="183"/>
      <c r="BZ245" s="183"/>
      <c r="CA245" s="174"/>
      <c r="CB245" s="174"/>
      <c r="CI245" s="14"/>
      <c r="CJ245" s="39"/>
      <c r="CK245" s="39"/>
      <c r="CL245" s="222"/>
      <c r="CM245" s="222"/>
      <c r="CN245" s="222"/>
      <c r="CO245" s="222"/>
      <c r="CP245" s="156"/>
      <c r="CQ245" s="156"/>
      <c r="CR245" s="156"/>
      <c r="CS245" s="156"/>
      <c r="CT245" s="156"/>
      <c r="CU245" s="156"/>
      <c r="CV245" s="156"/>
      <c r="CW245" s="156"/>
      <c r="CX245" s="156"/>
      <c r="CY245" s="156"/>
      <c r="CZ245" s="156"/>
      <c r="DA245" s="156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</row>
    <row r="246" spans="1:126" s="7" customFormat="1" hidden="1" outlineLevel="1" x14ac:dyDescent="0.2">
      <c r="A246" s="12"/>
      <c r="B246" s="169"/>
      <c r="C246" s="12"/>
      <c r="D246" s="13"/>
      <c r="E246" s="11"/>
      <c r="F246" s="169"/>
      <c r="G246" s="35"/>
      <c r="H246" s="1"/>
      <c r="I246" s="1"/>
      <c r="J246" s="122"/>
      <c r="K246" s="122"/>
      <c r="L246" s="122"/>
      <c r="M246" s="122"/>
      <c r="N246" s="122"/>
      <c r="O246" s="122"/>
      <c r="P246" s="122"/>
      <c r="Q246" s="122"/>
      <c r="R246" s="121"/>
      <c r="S246" s="121"/>
      <c r="T246" s="122"/>
      <c r="U246" s="122"/>
      <c r="V246" s="122"/>
      <c r="W246" s="122"/>
      <c r="X246" s="180"/>
      <c r="Y246" s="180"/>
      <c r="Z246" s="122"/>
      <c r="AA246" s="180"/>
      <c r="AB246" s="180"/>
      <c r="AC246" s="180"/>
      <c r="AD246" s="179"/>
      <c r="AE246" s="271"/>
      <c r="AF246" s="180"/>
      <c r="AG246" s="180"/>
      <c r="AH246" s="180"/>
      <c r="AI246" s="180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22"/>
      <c r="BV246" s="115"/>
      <c r="BW246" s="115"/>
      <c r="BX246" s="115"/>
      <c r="BY246" s="183"/>
      <c r="BZ246" s="183"/>
      <c r="CA246" s="174"/>
      <c r="CB246" s="174"/>
      <c r="CI246" s="14"/>
      <c r="CJ246" s="39"/>
      <c r="CK246" s="39"/>
      <c r="CL246" s="222"/>
      <c r="CM246" s="222"/>
      <c r="CN246" s="222"/>
      <c r="CO246" s="222"/>
      <c r="CP246" s="156"/>
      <c r="CQ246" s="156"/>
      <c r="CR246" s="156"/>
      <c r="CS246" s="156"/>
      <c r="CT246" s="156"/>
      <c r="CU246" s="156"/>
      <c r="CV246" s="156"/>
      <c r="CW246" s="156"/>
      <c r="CX246" s="156"/>
      <c r="CY246" s="156"/>
      <c r="CZ246" s="156"/>
      <c r="DA246" s="156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</row>
    <row r="247" spans="1:126" s="7" customFormat="1" outlineLevel="1" x14ac:dyDescent="0.2">
      <c r="A247" s="12"/>
      <c r="B247" s="169"/>
      <c r="C247" s="12"/>
      <c r="D247" s="13"/>
      <c r="E247" s="11"/>
      <c r="F247" s="169"/>
      <c r="G247" s="35"/>
      <c r="H247" s="1"/>
      <c r="I247" s="1"/>
      <c r="J247" s="122"/>
      <c r="K247" s="122"/>
      <c r="L247" s="122"/>
      <c r="M247" s="122"/>
      <c r="N247" s="122"/>
      <c r="O247" s="122"/>
      <c r="P247" s="122"/>
      <c r="Q247" s="122"/>
      <c r="R247" s="121"/>
      <c r="S247" s="121"/>
      <c r="T247" s="122"/>
      <c r="U247" s="122"/>
      <c r="V247" s="122"/>
      <c r="W247" s="122"/>
      <c r="X247" s="180"/>
      <c r="Y247" s="180"/>
      <c r="Z247" s="122"/>
      <c r="AA247" s="180"/>
      <c r="AB247" s="180"/>
      <c r="AC247" s="180"/>
      <c r="AD247" s="179"/>
      <c r="AE247" s="271"/>
      <c r="AF247" s="180"/>
      <c r="AG247" s="180"/>
      <c r="AH247" s="180"/>
      <c r="AI247" s="180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22"/>
      <c r="BV247" s="115"/>
      <c r="BW247" s="115"/>
      <c r="BX247" s="115"/>
      <c r="BY247" s="183"/>
      <c r="BZ247" s="183"/>
      <c r="CA247" s="174"/>
      <c r="CB247" s="174"/>
      <c r="CI247" s="14"/>
      <c r="CJ247" s="39"/>
      <c r="CK247" s="39"/>
      <c r="CL247" s="222"/>
      <c r="CM247" s="222"/>
      <c r="CN247" s="222"/>
      <c r="CO247" s="222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</row>
    <row r="248" spans="1:126" s="155" customFormat="1" x14ac:dyDescent="0.2">
      <c r="A248" s="161"/>
      <c r="B248" s="177"/>
      <c r="C248" s="151" t="s">
        <v>27</v>
      </c>
      <c r="D248" s="152"/>
      <c r="E248" s="150"/>
      <c r="F248" s="177"/>
      <c r="G248" s="153">
        <f>SUM(G7:G187)</f>
        <v>181</v>
      </c>
      <c r="H248" s="154"/>
      <c r="I248" s="154"/>
      <c r="J248" s="217">
        <f t="shared" ref="J248:AO248" si="190">SUM(J7:J187)</f>
        <v>4319202.5</v>
      </c>
      <c r="K248" s="217">
        <f t="shared" si="190"/>
        <v>235917</v>
      </c>
      <c r="L248" s="217">
        <f t="shared" si="190"/>
        <v>151381.53</v>
      </c>
      <c r="M248" s="217">
        <f t="shared" si="190"/>
        <v>80862</v>
      </c>
      <c r="N248" s="217">
        <f>SUM(N7:N187)</f>
        <v>16884</v>
      </c>
      <c r="O248" s="217">
        <f t="shared" si="190"/>
        <v>37677</v>
      </c>
      <c r="P248" s="217">
        <f t="shared" si="190"/>
        <v>16942</v>
      </c>
      <c r="Q248" s="319">
        <f>SUM(Q7:Q187)</f>
        <v>33094</v>
      </c>
      <c r="R248" s="232">
        <f>SUM(R7:R187)</f>
        <v>915468.03</v>
      </c>
      <c r="S248" s="217">
        <f t="shared" si="190"/>
        <v>556914.33999999962</v>
      </c>
      <c r="T248" s="217">
        <f t="shared" si="190"/>
        <v>15424</v>
      </c>
      <c r="U248" s="217">
        <f t="shared" si="190"/>
        <v>836068.37999999966</v>
      </c>
      <c r="V248" s="217">
        <f t="shared" si="190"/>
        <v>507836.95000000013</v>
      </c>
      <c r="W248" s="217">
        <f t="shared" si="190"/>
        <v>1455</v>
      </c>
      <c r="X248" s="232">
        <f t="shared" si="190"/>
        <v>79067.749999999985</v>
      </c>
      <c r="Y248" s="232">
        <f t="shared" si="190"/>
        <v>49005.320000000022</v>
      </c>
      <c r="Z248" s="217">
        <f t="shared" si="190"/>
        <v>5</v>
      </c>
      <c r="AA248" s="232">
        <f t="shared" si="190"/>
        <v>331.9</v>
      </c>
      <c r="AB248" s="232">
        <f t="shared" si="190"/>
        <v>72.069999999999993</v>
      </c>
      <c r="AC248" s="232">
        <f t="shared" si="190"/>
        <v>84093.46</v>
      </c>
      <c r="AD248" s="232">
        <f t="shared" si="190"/>
        <v>27191.640000000003</v>
      </c>
      <c r="AE248" s="232">
        <f t="shared" si="190"/>
        <v>0</v>
      </c>
      <c r="AF248" s="232">
        <f t="shared" si="190"/>
        <v>27191.640000000003</v>
      </c>
      <c r="AG248" s="232">
        <f t="shared" si="190"/>
        <v>53099.519999999997</v>
      </c>
      <c r="AH248" s="232">
        <f t="shared" si="190"/>
        <v>3802.2999999999997</v>
      </c>
      <c r="AI248" s="232">
        <f t="shared" si="190"/>
        <v>999561.49</v>
      </c>
      <c r="AJ248" s="217">
        <f t="shared" si="190"/>
        <v>20</v>
      </c>
      <c r="AK248" s="217">
        <f t="shared" si="190"/>
        <v>279</v>
      </c>
      <c r="AL248" s="217">
        <f t="shared" si="190"/>
        <v>689</v>
      </c>
      <c r="AM248" s="217">
        <f t="shared" si="190"/>
        <v>288</v>
      </c>
      <c r="AN248" s="217">
        <f t="shared" si="190"/>
        <v>33</v>
      </c>
      <c r="AO248" s="217">
        <f t="shared" si="190"/>
        <v>366</v>
      </c>
      <c r="AP248" s="217">
        <f t="shared" ref="AP248:BU248" si="191">SUM(AP7:AP187)</f>
        <v>771066.06</v>
      </c>
      <c r="AQ248" s="217">
        <f t="shared" si="191"/>
        <v>6345.67</v>
      </c>
      <c r="AR248" s="217">
        <f t="shared" si="191"/>
        <v>94079.17</v>
      </c>
      <c r="AS248" s="217">
        <f t="shared" si="191"/>
        <v>61708.67</v>
      </c>
      <c r="AT248" s="217">
        <f t="shared" si="191"/>
        <v>19374</v>
      </c>
      <c r="AU248" s="217">
        <f t="shared" si="191"/>
        <v>1190447.67</v>
      </c>
      <c r="AV248" s="217">
        <f t="shared" si="191"/>
        <v>362237</v>
      </c>
      <c r="AW248" s="217">
        <f t="shared" si="191"/>
        <v>828210.66999999993</v>
      </c>
      <c r="AX248" s="217">
        <f t="shared" si="191"/>
        <v>228312.33333333334</v>
      </c>
      <c r="AY248" s="217">
        <f t="shared" si="191"/>
        <v>42347.333333333328</v>
      </c>
      <c r="AZ248" s="217">
        <f t="shared" si="191"/>
        <v>221243.5</v>
      </c>
      <c r="BA248" s="217">
        <f t="shared" si="191"/>
        <v>202138.5</v>
      </c>
      <c r="BB248" s="217">
        <f t="shared" si="191"/>
        <v>5243</v>
      </c>
      <c r="BC248" s="217">
        <f t="shared" si="191"/>
        <v>3541</v>
      </c>
      <c r="BD248" s="217">
        <f t="shared" si="191"/>
        <v>55596</v>
      </c>
      <c r="BE248" s="217">
        <f t="shared" si="191"/>
        <v>45044.5</v>
      </c>
      <c r="BF248" s="217">
        <f t="shared" si="191"/>
        <v>234</v>
      </c>
      <c r="BG248" s="217">
        <f t="shared" si="191"/>
        <v>2234452.5899159666</v>
      </c>
      <c r="BH248" s="217">
        <f t="shared" si="191"/>
        <v>417843.4</v>
      </c>
      <c r="BI248" s="217">
        <f t="shared" si="191"/>
        <v>19092</v>
      </c>
      <c r="BJ248" s="217">
        <f t="shared" si="191"/>
        <v>79</v>
      </c>
      <c r="BK248" s="217">
        <f t="shared" si="191"/>
        <v>414985.68999999994</v>
      </c>
      <c r="BL248" s="217">
        <f t="shared" si="191"/>
        <v>245787.45999999996</v>
      </c>
      <c r="BM248" s="217">
        <f t="shared" si="191"/>
        <v>97</v>
      </c>
      <c r="BN248" s="217">
        <f t="shared" si="191"/>
        <v>453708.05000000005</v>
      </c>
      <c r="BO248" s="217">
        <f t="shared" si="191"/>
        <v>281933.01</v>
      </c>
      <c r="BP248" s="217">
        <f t="shared" si="191"/>
        <v>5</v>
      </c>
      <c r="BQ248" s="217">
        <f t="shared" si="191"/>
        <v>46774.29</v>
      </c>
      <c r="BR248" s="217">
        <f t="shared" si="191"/>
        <v>29193.870000000003</v>
      </c>
      <c r="BS248" s="217">
        <f t="shared" si="191"/>
        <v>39</v>
      </c>
      <c r="BT248" s="217">
        <f t="shared" si="191"/>
        <v>325</v>
      </c>
      <c r="BU248" s="217">
        <f t="shared" si="191"/>
        <v>142525</v>
      </c>
      <c r="BV248" s="217">
        <f t="shared" ref="BV248:CK248" si="192">SUM(BV7:BV187)</f>
        <v>393401</v>
      </c>
      <c r="BW248" s="217">
        <f t="shared" si="192"/>
        <v>401</v>
      </c>
      <c r="BX248" s="217">
        <f t="shared" si="192"/>
        <v>389022.76</v>
      </c>
      <c r="BY248" s="232">
        <f t="shared" si="192"/>
        <v>340363.02999999991</v>
      </c>
      <c r="BZ248" s="232">
        <f t="shared" si="192"/>
        <v>129919.76999999999</v>
      </c>
      <c r="CA248" s="217">
        <f t="shared" si="192"/>
        <v>553681</v>
      </c>
      <c r="CB248" s="217">
        <f t="shared" si="192"/>
        <v>317764</v>
      </c>
      <c r="CC248" s="217">
        <f t="shared" si="192"/>
        <v>50</v>
      </c>
      <c r="CD248" s="217">
        <f t="shared" si="192"/>
        <v>362237</v>
      </c>
      <c r="CE248" s="217">
        <f t="shared" si="192"/>
        <v>131</v>
      </c>
      <c r="CF248" s="217">
        <f t="shared" si="192"/>
        <v>828210.66999999993</v>
      </c>
      <c r="CG248" s="217">
        <f t="shared" si="192"/>
        <v>181</v>
      </c>
      <c r="CH248" s="217">
        <f t="shared" si="192"/>
        <v>1190447.67</v>
      </c>
      <c r="CI248" s="300">
        <f t="shared" si="192"/>
        <v>9505</v>
      </c>
      <c r="CJ248" s="153">
        <f t="shared" si="192"/>
        <v>1</v>
      </c>
      <c r="CK248" s="153">
        <f t="shared" si="192"/>
        <v>5811.7</v>
      </c>
      <c r="CL248" s="243"/>
      <c r="CM248" s="153">
        <f>SUM(CM7:CM187)</f>
        <v>1</v>
      </c>
      <c r="CN248" s="153">
        <f>SUM(CN7:CN187)</f>
        <v>6705.9</v>
      </c>
      <c r="CO248" s="243"/>
      <c r="CP248" s="217">
        <f t="shared" ref="CP248:DQ248" si="193">SUM(CP7:CP187)</f>
        <v>181</v>
      </c>
      <c r="CQ248" s="217">
        <f t="shared" si="193"/>
        <v>0</v>
      </c>
      <c r="CR248" s="217">
        <f t="shared" si="193"/>
        <v>0</v>
      </c>
      <c r="CS248" s="217">
        <f t="shared" si="193"/>
        <v>6</v>
      </c>
      <c r="CT248" s="217">
        <f t="shared" si="193"/>
        <v>333</v>
      </c>
      <c r="CU248" s="217">
        <f t="shared" si="193"/>
        <v>0</v>
      </c>
      <c r="CV248" s="217">
        <f t="shared" si="193"/>
        <v>0</v>
      </c>
      <c r="CW248" s="217">
        <f t="shared" si="193"/>
        <v>12</v>
      </c>
      <c r="CX248" s="217">
        <f t="shared" si="193"/>
        <v>0</v>
      </c>
      <c r="CY248" s="217">
        <f t="shared" si="193"/>
        <v>16858</v>
      </c>
      <c r="CZ248" s="217">
        <f t="shared" si="193"/>
        <v>15546</v>
      </c>
      <c r="DA248" s="217">
        <f t="shared" si="193"/>
        <v>1312</v>
      </c>
      <c r="DB248" s="217">
        <f t="shared" si="193"/>
        <v>12411</v>
      </c>
      <c r="DC248" s="217">
        <f t="shared" si="193"/>
        <v>7750</v>
      </c>
      <c r="DD248" s="217">
        <f t="shared" si="193"/>
        <v>11263</v>
      </c>
      <c r="DE248" s="217">
        <f t="shared" si="193"/>
        <v>9911</v>
      </c>
      <c r="DF248" s="217">
        <f t="shared" si="193"/>
        <v>8094</v>
      </c>
      <c r="DG248" s="217">
        <f t="shared" si="193"/>
        <v>10791</v>
      </c>
      <c r="DH248" s="217">
        <f t="shared" si="193"/>
        <v>10446</v>
      </c>
      <c r="DI248" s="217">
        <f t="shared" si="193"/>
        <v>755</v>
      </c>
      <c r="DJ248" s="217">
        <f t="shared" si="193"/>
        <v>405</v>
      </c>
      <c r="DK248" s="217">
        <f t="shared" si="193"/>
        <v>1038</v>
      </c>
      <c r="DL248" s="217">
        <f t="shared" si="193"/>
        <v>477</v>
      </c>
      <c r="DM248" s="217">
        <f t="shared" si="193"/>
        <v>415</v>
      </c>
      <c r="DN248" s="217">
        <f t="shared" si="193"/>
        <v>1018</v>
      </c>
      <c r="DO248" s="217">
        <f t="shared" si="193"/>
        <v>500</v>
      </c>
      <c r="DP248" s="217">
        <f t="shared" si="193"/>
        <v>16858</v>
      </c>
      <c r="DQ248" s="217">
        <f t="shared" si="193"/>
        <v>16762</v>
      </c>
    </row>
    <row r="249" spans="1:126" s="75" customFormat="1" x14ac:dyDescent="0.2">
      <c r="A249" s="69"/>
      <c r="B249" s="172"/>
      <c r="C249" s="246"/>
      <c r="D249" s="72"/>
      <c r="E249" s="70"/>
      <c r="F249" s="172"/>
      <c r="G249" s="77"/>
      <c r="H249" s="74"/>
      <c r="I249" s="74"/>
      <c r="J249" s="218"/>
      <c r="K249" s="218"/>
      <c r="L249" s="218"/>
      <c r="M249" s="218"/>
      <c r="N249" s="218"/>
      <c r="O249" s="218"/>
      <c r="P249" s="218"/>
      <c r="Q249" s="124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301"/>
      <c r="CJ249" s="77"/>
      <c r="CK249" s="77"/>
      <c r="CL249" s="222"/>
      <c r="CM249" s="77"/>
      <c r="CN249" s="77"/>
      <c r="CO249" s="222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</row>
    <row r="250" spans="1:126" s="20" customFormat="1" ht="25.5" x14ac:dyDescent="0.2">
      <c r="B250" s="173"/>
      <c r="C250" s="80" t="s">
        <v>26</v>
      </c>
      <c r="D250" s="50"/>
      <c r="E250" s="135"/>
      <c r="F250" s="214"/>
      <c r="G250" s="166">
        <f>G251+G252+G253+G254+G255+G256+G257+G258+G259</f>
        <v>181</v>
      </c>
      <c r="H250" s="166"/>
      <c r="I250" s="166"/>
      <c r="J250" s="166">
        <f t="shared" ref="J250:BU250" si="194">J251+J252+J253+J254+J255+J256+J257+J258+J259</f>
        <v>4319202.5</v>
      </c>
      <c r="K250" s="166">
        <f t="shared" si="194"/>
        <v>235917</v>
      </c>
      <c r="L250" s="166">
        <f t="shared" si="194"/>
        <v>151381.53</v>
      </c>
      <c r="M250" s="166">
        <f t="shared" si="194"/>
        <v>80862</v>
      </c>
      <c r="N250" s="166">
        <f>N251+N252+N253+N254+N255+N256+N257+N258+N259</f>
        <v>16884</v>
      </c>
      <c r="O250" s="166">
        <f t="shared" si="194"/>
        <v>37677</v>
      </c>
      <c r="P250" s="166">
        <f t="shared" si="194"/>
        <v>16942</v>
      </c>
      <c r="Q250" s="166">
        <f>Q251+Q252+Q253+Q254+Q255+Q256+Q257+Q258+Q259</f>
        <v>33094</v>
      </c>
      <c r="R250" s="313">
        <f>R251+R252+R253+R254+R255+R256+R257+R258+R259</f>
        <v>915468.03</v>
      </c>
      <c r="S250" s="166">
        <f t="shared" si="194"/>
        <v>556914.33999999985</v>
      </c>
      <c r="T250" s="166">
        <f t="shared" si="194"/>
        <v>15424</v>
      </c>
      <c r="U250" s="166">
        <f t="shared" si="194"/>
        <v>836068.38</v>
      </c>
      <c r="V250" s="166">
        <f t="shared" si="194"/>
        <v>507836.94999999995</v>
      </c>
      <c r="W250" s="166">
        <f t="shared" si="194"/>
        <v>1455</v>
      </c>
      <c r="X250" s="166">
        <f t="shared" si="194"/>
        <v>79067.75</v>
      </c>
      <c r="Y250" s="166">
        <f t="shared" si="194"/>
        <v>49005.319999999992</v>
      </c>
      <c r="Z250" s="166">
        <f t="shared" si="194"/>
        <v>5</v>
      </c>
      <c r="AA250" s="166">
        <f t="shared" si="194"/>
        <v>331.9</v>
      </c>
      <c r="AB250" s="166">
        <f t="shared" si="194"/>
        <v>72.069999999999993</v>
      </c>
      <c r="AC250" s="166">
        <f t="shared" si="194"/>
        <v>84093.459999999977</v>
      </c>
      <c r="AD250" s="166">
        <f t="shared" si="194"/>
        <v>27191.64</v>
      </c>
      <c r="AE250" s="166">
        <f t="shared" si="194"/>
        <v>0</v>
      </c>
      <c r="AF250" s="166">
        <f t="shared" si="194"/>
        <v>27191.64</v>
      </c>
      <c r="AG250" s="166">
        <f t="shared" si="194"/>
        <v>53099.520000000004</v>
      </c>
      <c r="AH250" s="166">
        <f t="shared" si="194"/>
        <v>3802.2999999999997</v>
      </c>
      <c r="AI250" s="166">
        <f t="shared" si="194"/>
        <v>999561.49000000011</v>
      </c>
      <c r="AJ250" s="166">
        <f t="shared" si="194"/>
        <v>20</v>
      </c>
      <c r="AK250" s="166">
        <f t="shared" si="194"/>
        <v>279</v>
      </c>
      <c r="AL250" s="166">
        <f t="shared" si="194"/>
        <v>689</v>
      </c>
      <c r="AM250" s="166">
        <f t="shared" si="194"/>
        <v>288</v>
      </c>
      <c r="AN250" s="166">
        <f t="shared" si="194"/>
        <v>33</v>
      </c>
      <c r="AO250" s="166">
        <f t="shared" si="194"/>
        <v>366</v>
      </c>
      <c r="AP250" s="166">
        <f t="shared" si="194"/>
        <v>771066.06</v>
      </c>
      <c r="AQ250" s="166">
        <f t="shared" si="194"/>
        <v>6345.67</v>
      </c>
      <c r="AR250" s="166">
        <f t="shared" si="194"/>
        <v>94079.17</v>
      </c>
      <c r="AS250" s="166">
        <f t="shared" si="194"/>
        <v>61708.67</v>
      </c>
      <c r="AT250" s="166">
        <f t="shared" si="194"/>
        <v>19374</v>
      </c>
      <c r="AU250" s="166">
        <f t="shared" si="194"/>
        <v>1190447.67</v>
      </c>
      <c r="AV250" s="166">
        <f t="shared" si="194"/>
        <v>362237</v>
      </c>
      <c r="AW250" s="166">
        <f t="shared" si="194"/>
        <v>828210.66999999993</v>
      </c>
      <c r="AX250" s="166">
        <f t="shared" si="194"/>
        <v>228312.33333333334</v>
      </c>
      <c r="AY250" s="166">
        <f t="shared" si="194"/>
        <v>42347.333333333328</v>
      </c>
      <c r="AZ250" s="166">
        <f t="shared" si="194"/>
        <v>221243.5</v>
      </c>
      <c r="BA250" s="166">
        <f t="shared" si="194"/>
        <v>202138.5</v>
      </c>
      <c r="BB250" s="166">
        <f t="shared" si="194"/>
        <v>5243</v>
      </c>
      <c r="BC250" s="166">
        <f t="shared" si="194"/>
        <v>3541</v>
      </c>
      <c r="BD250" s="166">
        <f t="shared" si="194"/>
        <v>55596</v>
      </c>
      <c r="BE250" s="166">
        <f t="shared" si="194"/>
        <v>45044.5</v>
      </c>
      <c r="BF250" s="166">
        <f t="shared" si="194"/>
        <v>234</v>
      </c>
      <c r="BG250" s="166">
        <f t="shared" si="194"/>
        <v>2234452.5899159661</v>
      </c>
      <c r="BH250" s="166">
        <f t="shared" si="194"/>
        <v>417843.4</v>
      </c>
      <c r="BI250" s="166">
        <f t="shared" si="194"/>
        <v>19092</v>
      </c>
      <c r="BJ250" s="166">
        <f t="shared" si="194"/>
        <v>79</v>
      </c>
      <c r="BK250" s="166">
        <f t="shared" si="194"/>
        <v>414985.69</v>
      </c>
      <c r="BL250" s="166">
        <f t="shared" si="194"/>
        <v>245787.46000000002</v>
      </c>
      <c r="BM250" s="166">
        <f t="shared" si="194"/>
        <v>97</v>
      </c>
      <c r="BN250" s="166">
        <f t="shared" si="194"/>
        <v>453708.05000000005</v>
      </c>
      <c r="BO250" s="166">
        <f t="shared" si="194"/>
        <v>281933.00999999995</v>
      </c>
      <c r="BP250" s="166">
        <f t="shared" si="194"/>
        <v>5</v>
      </c>
      <c r="BQ250" s="166">
        <f t="shared" si="194"/>
        <v>46774.29</v>
      </c>
      <c r="BR250" s="166">
        <f t="shared" si="194"/>
        <v>29193.87</v>
      </c>
      <c r="BS250" s="166">
        <f t="shared" si="194"/>
        <v>39</v>
      </c>
      <c r="BT250" s="166">
        <f t="shared" si="194"/>
        <v>325</v>
      </c>
      <c r="BU250" s="166">
        <f t="shared" si="194"/>
        <v>142525</v>
      </c>
      <c r="BV250" s="166">
        <f t="shared" ref="BV250:CK250" si="195">BV251+BV252+BV253+BV254+BV255+BV256+BV257+BV258+BV259</f>
        <v>393401</v>
      </c>
      <c r="BW250" s="166">
        <f t="shared" si="195"/>
        <v>401</v>
      </c>
      <c r="BX250" s="166">
        <f t="shared" si="195"/>
        <v>389022.76</v>
      </c>
      <c r="BY250" s="166">
        <f t="shared" si="195"/>
        <v>340363.02999999997</v>
      </c>
      <c r="BZ250" s="166">
        <f t="shared" si="195"/>
        <v>129919.76999999999</v>
      </c>
      <c r="CA250" s="166">
        <f t="shared" si="195"/>
        <v>553681</v>
      </c>
      <c r="CB250" s="166">
        <f t="shared" si="195"/>
        <v>317764</v>
      </c>
      <c r="CC250" s="166">
        <f t="shared" si="195"/>
        <v>50</v>
      </c>
      <c r="CD250" s="166">
        <f t="shared" si="195"/>
        <v>362237</v>
      </c>
      <c r="CE250" s="166">
        <f t="shared" si="195"/>
        <v>131</v>
      </c>
      <c r="CF250" s="166">
        <f t="shared" si="195"/>
        <v>828210.66999999993</v>
      </c>
      <c r="CG250" s="166">
        <f t="shared" si="195"/>
        <v>181</v>
      </c>
      <c r="CH250" s="166">
        <f t="shared" si="195"/>
        <v>1190447.67</v>
      </c>
      <c r="CI250" s="302">
        <f t="shared" si="195"/>
        <v>9505</v>
      </c>
      <c r="CJ250" s="62">
        <f t="shared" si="195"/>
        <v>1</v>
      </c>
      <c r="CK250" s="62">
        <f t="shared" si="195"/>
        <v>5811.7</v>
      </c>
      <c r="CL250" s="223"/>
      <c r="CM250" s="62">
        <f t="shared" ref="CM250:CN250" si="196">CM251+CM252+CM253+CM254+CM255+CM256+CM257+CM258+CM259</f>
        <v>1</v>
      </c>
      <c r="CN250" s="62">
        <f t="shared" si="196"/>
        <v>6705.9</v>
      </c>
      <c r="CO250" s="223"/>
      <c r="CP250" s="166">
        <f t="shared" ref="CP250:DQ250" si="197">CP251+CP252+CP253+CP254+CP255+CP256+CP257+CP258+CP259</f>
        <v>181</v>
      </c>
      <c r="CQ250" s="166">
        <f t="shared" si="197"/>
        <v>0</v>
      </c>
      <c r="CR250" s="166">
        <f t="shared" si="197"/>
        <v>0</v>
      </c>
      <c r="CS250" s="166">
        <f t="shared" si="197"/>
        <v>6</v>
      </c>
      <c r="CT250" s="166">
        <f t="shared" si="197"/>
        <v>333</v>
      </c>
      <c r="CU250" s="166">
        <f t="shared" si="197"/>
        <v>0</v>
      </c>
      <c r="CV250" s="166">
        <f t="shared" si="197"/>
        <v>0</v>
      </c>
      <c r="CW250" s="166">
        <f t="shared" si="197"/>
        <v>12</v>
      </c>
      <c r="CX250" s="166">
        <f t="shared" si="197"/>
        <v>0</v>
      </c>
      <c r="CY250" s="166">
        <f t="shared" si="197"/>
        <v>16858</v>
      </c>
      <c r="CZ250" s="166">
        <f t="shared" si="197"/>
        <v>15546</v>
      </c>
      <c r="DA250" s="166">
        <f t="shared" si="197"/>
        <v>1312</v>
      </c>
      <c r="DB250" s="166">
        <f t="shared" si="197"/>
        <v>12411</v>
      </c>
      <c r="DC250" s="166">
        <f t="shared" si="197"/>
        <v>7750</v>
      </c>
      <c r="DD250" s="166">
        <f t="shared" si="197"/>
        <v>11263</v>
      </c>
      <c r="DE250" s="166">
        <f t="shared" si="197"/>
        <v>9911</v>
      </c>
      <c r="DF250" s="166">
        <f t="shared" si="197"/>
        <v>8094</v>
      </c>
      <c r="DG250" s="166">
        <f t="shared" si="197"/>
        <v>10791</v>
      </c>
      <c r="DH250" s="166">
        <f t="shared" si="197"/>
        <v>10446</v>
      </c>
      <c r="DI250" s="166">
        <f t="shared" si="197"/>
        <v>755</v>
      </c>
      <c r="DJ250" s="166">
        <f t="shared" si="197"/>
        <v>405</v>
      </c>
      <c r="DK250" s="166">
        <f t="shared" si="197"/>
        <v>1038</v>
      </c>
      <c r="DL250" s="166">
        <f t="shared" si="197"/>
        <v>477</v>
      </c>
      <c r="DM250" s="166">
        <f t="shared" si="197"/>
        <v>415</v>
      </c>
      <c r="DN250" s="166">
        <f t="shared" si="197"/>
        <v>1018</v>
      </c>
      <c r="DO250" s="166">
        <f t="shared" si="197"/>
        <v>500</v>
      </c>
      <c r="DP250" s="166">
        <f t="shared" si="197"/>
        <v>16858</v>
      </c>
      <c r="DQ250" s="166">
        <f t="shared" si="197"/>
        <v>16762</v>
      </c>
    </row>
    <row r="251" spans="1:126" s="7" customFormat="1" x14ac:dyDescent="0.2">
      <c r="B251" s="174"/>
      <c r="C251" s="27" t="s">
        <v>14</v>
      </c>
      <c r="D251" s="48"/>
      <c r="E251" s="136"/>
      <c r="F251" s="215"/>
      <c r="G251" s="41">
        <f>G183+G182+G181+G179+G176+G172+G170+G169+G168+G166+G165+G163+G161+G159+G148+G138+G135+G128+G127+G125+G123+G122+G121+G120+G116+G112+G109+G108+G107+G106+G105+G104+G103+G102+G101+G100+G99+G97+G96+G93+G92+G91+G89+G87+G82+G80+G79+G78+G77+G76+G75+G74+G72+G49+G24+G23+G22+G21+G12</f>
        <v>59</v>
      </c>
      <c r="H251" s="262">
        <v>5</v>
      </c>
      <c r="I251" s="41"/>
      <c r="J251" s="41">
        <f t="shared" ref="J251:BS251" si="198">J183+J182+J181+J179+J176+J172+J170+J169+J168+J166+J165+J163+J161+J159+J148+J138+J135+J128+J127+J125+J123+J122+J121+J120+J116+J112+J109+J108+J107+J106+J105+J104+J103+J102+J101+J100+J99+J97+J96+J93+J92+J91+J89+J87+J82+J80+J79+J78+J77+J76+J75+J74+J72+J49+J24+J23+J22+J21+J12</f>
        <v>896918.5</v>
      </c>
      <c r="K251" s="41">
        <f t="shared" si="198"/>
        <v>65910</v>
      </c>
      <c r="L251" s="41">
        <f t="shared" si="198"/>
        <v>75675</v>
      </c>
      <c r="M251" s="41">
        <f t="shared" si="198"/>
        <v>0</v>
      </c>
      <c r="N251" s="41">
        <f t="shared" si="198"/>
        <v>5160</v>
      </c>
      <c r="O251" s="41">
        <f t="shared" si="198"/>
        <v>10190</v>
      </c>
      <c r="P251" s="41">
        <f t="shared" si="198"/>
        <v>5179</v>
      </c>
      <c r="Q251" s="41">
        <f t="shared" si="198"/>
        <v>9076</v>
      </c>
      <c r="R251" s="41">
        <f t="shared" si="198"/>
        <v>224309.87999999998</v>
      </c>
      <c r="S251" s="41">
        <f t="shared" si="198"/>
        <v>147489.73999999996</v>
      </c>
      <c r="T251" s="41">
        <f t="shared" si="198"/>
        <v>4622</v>
      </c>
      <c r="U251" s="41">
        <f t="shared" si="198"/>
        <v>201331.68000000002</v>
      </c>
      <c r="V251" s="41">
        <f t="shared" si="198"/>
        <v>132940.40000000002</v>
      </c>
      <c r="W251" s="41">
        <f t="shared" si="198"/>
        <v>538</v>
      </c>
      <c r="X251" s="41">
        <f t="shared" si="198"/>
        <v>22978.2</v>
      </c>
      <c r="Y251" s="41">
        <f t="shared" si="198"/>
        <v>14549.339999999993</v>
      </c>
      <c r="Z251" s="41">
        <f t="shared" si="198"/>
        <v>0</v>
      </c>
      <c r="AA251" s="41">
        <f t="shared" si="198"/>
        <v>0</v>
      </c>
      <c r="AB251" s="41">
        <f t="shared" si="198"/>
        <v>0</v>
      </c>
      <c r="AC251" s="41">
        <f t="shared" si="198"/>
        <v>12865.339999999998</v>
      </c>
      <c r="AD251" s="41">
        <f t="shared" si="198"/>
        <v>1804.8700000000003</v>
      </c>
      <c r="AE251" s="41">
        <f t="shared" si="198"/>
        <v>0</v>
      </c>
      <c r="AF251" s="41">
        <f t="shared" si="198"/>
        <v>1804.8700000000003</v>
      </c>
      <c r="AG251" s="41">
        <f t="shared" si="198"/>
        <v>10848.069999999998</v>
      </c>
      <c r="AH251" s="41">
        <f t="shared" si="198"/>
        <v>212.4</v>
      </c>
      <c r="AI251" s="41">
        <f t="shared" si="198"/>
        <v>237175.22</v>
      </c>
      <c r="AJ251" s="41">
        <f t="shared" si="198"/>
        <v>0</v>
      </c>
      <c r="AK251" s="41">
        <f t="shared" si="198"/>
        <v>0</v>
      </c>
      <c r="AL251" s="41">
        <f t="shared" si="198"/>
        <v>283</v>
      </c>
      <c r="AM251" s="41">
        <f t="shared" si="198"/>
        <v>0</v>
      </c>
      <c r="AN251" s="41">
        <f t="shared" si="198"/>
        <v>22</v>
      </c>
      <c r="AO251" s="41">
        <f t="shared" si="198"/>
        <v>77</v>
      </c>
      <c r="AP251" s="41">
        <f t="shared" si="198"/>
        <v>174034</v>
      </c>
      <c r="AQ251" s="41">
        <f t="shared" si="198"/>
        <v>280.75</v>
      </c>
      <c r="AR251" s="41">
        <f t="shared" si="198"/>
        <v>27458.5</v>
      </c>
      <c r="AS251" s="41">
        <f t="shared" si="198"/>
        <v>18018</v>
      </c>
      <c r="AT251" s="41">
        <f t="shared" si="198"/>
        <v>4053</v>
      </c>
      <c r="AU251" s="41">
        <f t="shared" si="198"/>
        <v>223075</v>
      </c>
      <c r="AV251" s="41">
        <f t="shared" si="198"/>
        <v>0</v>
      </c>
      <c r="AW251" s="41">
        <f t="shared" si="198"/>
        <v>223075</v>
      </c>
      <c r="AX251" s="41">
        <f t="shared" si="198"/>
        <v>70136</v>
      </c>
      <c r="AY251" s="41">
        <f t="shared" si="198"/>
        <v>11582</v>
      </c>
      <c r="AZ251" s="41">
        <f t="shared" si="198"/>
        <v>63013.5</v>
      </c>
      <c r="BA251" s="41">
        <f t="shared" si="198"/>
        <v>63319.5</v>
      </c>
      <c r="BB251" s="41">
        <f t="shared" si="198"/>
        <v>1346</v>
      </c>
      <c r="BC251" s="41">
        <f t="shared" si="198"/>
        <v>819</v>
      </c>
      <c r="BD251" s="41">
        <f t="shared" si="198"/>
        <v>15485</v>
      </c>
      <c r="BE251" s="41">
        <f t="shared" si="198"/>
        <v>5493.5</v>
      </c>
      <c r="BF251" s="41">
        <f t="shared" si="198"/>
        <v>140</v>
      </c>
      <c r="BG251" s="41">
        <f t="shared" si="198"/>
        <v>758657.78991596634</v>
      </c>
      <c r="BH251" s="41">
        <f t="shared" si="198"/>
        <v>22005</v>
      </c>
      <c r="BI251" s="41">
        <f t="shared" si="198"/>
        <v>0</v>
      </c>
      <c r="BJ251" s="41">
        <f t="shared" si="198"/>
        <v>20</v>
      </c>
      <c r="BK251" s="41">
        <f t="shared" si="198"/>
        <v>96684.01999999999</v>
      </c>
      <c r="BL251" s="41">
        <f t="shared" si="198"/>
        <v>61247.719999999994</v>
      </c>
      <c r="BM251" s="41">
        <f t="shared" si="198"/>
        <v>37</v>
      </c>
      <c r="BN251" s="41">
        <f t="shared" si="198"/>
        <v>115603.35999999999</v>
      </c>
      <c r="BO251" s="41">
        <f t="shared" si="198"/>
        <v>78106.14999999998</v>
      </c>
      <c r="BP251" s="41">
        <f t="shared" si="198"/>
        <v>2</v>
      </c>
      <c r="BQ251" s="41">
        <f t="shared" si="198"/>
        <v>12022.5</v>
      </c>
      <c r="BR251" s="41">
        <f t="shared" si="198"/>
        <v>8135.87</v>
      </c>
      <c r="BS251" s="41">
        <f t="shared" si="198"/>
        <v>17</v>
      </c>
      <c r="BT251" s="41">
        <f t="shared" ref="BT251:CH251" si="199">BT183+BT182+BT181+BT179+BT176+BT172+BT170+BT169+BT168+BT166+BT165+BT163+BT161+BT159+BT148+BT138+BT135+BT128+BT127+BT125+BT123+BT122+BT121+BT120+BT116+BT112+BT109+BT108+BT107+BT106+BT105+BT104+BT103+BT102+BT101+BT100+BT99+BT97+BT96+BT93+BT92+BT91+BT89+BT87+BT82+BT80+BT79+BT78+BT77+BT76+BT75+BT74+BT72+BT49+BT24+BT23+BT22+BT21+BT12</f>
        <v>107</v>
      </c>
      <c r="BU251" s="41">
        <f t="shared" si="199"/>
        <v>27750</v>
      </c>
      <c r="BV251" s="41">
        <f t="shared" si="199"/>
        <v>51314</v>
      </c>
      <c r="BW251" s="41">
        <f t="shared" si="199"/>
        <v>251</v>
      </c>
      <c r="BX251" s="41">
        <f t="shared" si="199"/>
        <v>93051</v>
      </c>
      <c r="BY251" s="41">
        <f t="shared" si="199"/>
        <v>82601.069999999992</v>
      </c>
      <c r="BZ251" s="41">
        <f t="shared" si="199"/>
        <v>18473.27</v>
      </c>
      <c r="CA251" s="41">
        <f t="shared" si="199"/>
        <v>178252</v>
      </c>
      <c r="CB251" s="41">
        <f t="shared" si="199"/>
        <v>112342</v>
      </c>
      <c r="CC251" s="41">
        <f t="shared" si="199"/>
        <v>0</v>
      </c>
      <c r="CD251" s="41">
        <f t="shared" si="199"/>
        <v>0</v>
      </c>
      <c r="CE251" s="41">
        <f t="shared" si="199"/>
        <v>59</v>
      </c>
      <c r="CF251" s="41">
        <f t="shared" si="199"/>
        <v>223075</v>
      </c>
      <c r="CG251" s="41">
        <f t="shared" si="199"/>
        <v>59</v>
      </c>
      <c r="CH251" s="41">
        <f t="shared" si="199"/>
        <v>223075</v>
      </c>
      <c r="CI251" s="303">
        <f t="shared" ref="CI251" si="200">CI19+CI21+CI22+CI24+CI25+CI26+CI27+CI28+CI29+CI30+CI31+CI32+CI33+CI34+CI36+CI37+CI38+CI39+CI40+CI41+CI42+CI43+CI44+CI45+CI46+CI47+CI48+CI49+CI50+CI51+CI53+CI57+CI58+CI59+CI61+CI65+CI68+CI70+CI71+CI72+CI78+CI89+CI90+CI91+CI92+CI118+CI130+CI132+CI136+CI143+CI145+CI146+CI162+CI163+CI164+CI179+CI181+CI183+CI185+CI187</f>
        <v>3179</v>
      </c>
      <c r="CJ251" s="37">
        <f t="shared" ref="CJ251:DQ251" si="201">CJ19+CJ21+CJ22+CJ24+CJ25+CJ26+CJ27+CJ28+CJ29+CJ30+CJ31+CJ32+CJ33+CJ34+CJ36+CJ37+CJ38+CJ39+CJ40+CJ41+CJ42+CJ43+CJ44+CJ45+CJ46+CJ47+CJ48+CJ49+CJ50+CJ51+CJ53+CJ57+CJ58+CJ59+CJ61+CJ65+CJ68+CJ70+CJ71+CJ72+CJ78+CJ89+CJ90+CJ91+CJ92+CJ118+CJ130+CJ132+CJ136+CJ143+CJ145+CJ146+CJ162+CJ164+CJ179+CJ181+CJ183+CJ185+CJ187</f>
        <v>1</v>
      </c>
      <c r="CK251" s="37">
        <f t="shared" si="201"/>
        <v>5811.7</v>
      </c>
      <c r="CL251" s="224"/>
      <c r="CM251" s="37">
        <f t="shared" si="201"/>
        <v>1</v>
      </c>
      <c r="CN251" s="37">
        <f t="shared" si="201"/>
        <v>6705.9</v>
      </c>
      <c r="CO251" s="224"/>
      <c r="CP251" s="41">
        <f t="shared" si="201"/>
        <v>59</v>
      </c>
      <c r="CQ251" s="41">
        <f t="shared" si="201"/>
        <v>0</v>
      </c>
      <c r="CR251" s="41">
        <f t="shared" si="201"/>
        <v>0</v>
      </c>
      <c r="CS251" s="41">
        <f t="shared" si="201"/>
        <v>2</v>
      </c>
      <c r="CT251" s="41">
        <f t="shared" si="201"/>
        <v>116</v>
      </c>
      <c r="CU251" s="41">
        <f t="shared" si="201"/>
        <v>0</v>
      </c>
      <c r="CV251" s="41">
        <f t="shared" si="201"/>
        <v>0</v>
      </c>
      <c r="CW251" s="41">
        <f t="shared" si="201"/>
        <v>2</v>
      </c>
      <c r="CX251" s="41">
        <f t="shared" si="201"/>
        <v>0</v>
      </c>
      <c r="CY251" s="41">
        <f t="shared" si="201"/>
        <v>5586</v>
      </c>
      <c r="CZ251" s="41">
        <f t="shared" si="201"/>
        <v>5228</v>
      </c>
      <c r="DA251" s="41">
        <f t="shared" si="201"/>
        <v>358</v>
      </c>
      <c r="DB251" s="41">
        <f t="shared" si="201"/>
        <v>4302</v>
      </c>
      <c r="DC251" s="41">
        <f t="shared" si="201"/>
        <v>2524</v>
      </c>
      <c r="DD251" s="41">
        <f t="shared" si="201"/>
        <v>3950</v>
      </c>
      <c r="DE251" s="41">
        <f t="shared" si="201"/>
        <v>3388</v>
      </c>
      <c r="DF251" s="41">
        <f t="shared" si="201"/>
        <v>2726</v>
      </c>
      <c r="DG251" s="41">
        <f t="shared" si="201"/>
        <v>3665</v>
      </c>
      <c r="DH251" s="41">
        <f t="shared" si="201"/>
        <v>3668</v>
      </c>
      <c r="DI251" s="41">
        <f t="shared" si="201"/>
        <v>208</v>
      </c>
      <c r="DJ251" s="41">
        <f t="shared" si="201"/>
        <v>116</v>
      </c>
      <c r="DK251" s="41">
        <f t="shared" si="201"/>
        <v>323</v>
      </c>
      <c r="DL251" s="41">
        <f t="shared" si="201"/>
        <v>145</v>
      </c>
      <c r="DM251" s="41">
        <f t="shared" si="201"/>
        <v>121</v>
      </c>
      <c r="DN251" s="41">
        <f t="shared" si="201"/>
        <v>306</v>
      </c>
      <c r="DO251" s="41">
        <f t="shared" si="201"/>
        <v>158</v>
      </c>
      <c r="DP251" s="41">
        <f t="shared" si="201"/>
        <v>5586</v>
      </c>
      <c r="DQ251" s="41">
        <f t="shared" si="201"/>
        <v>5568</v>
      </c>
      <c r="DV251" s="280"/>
    </row>
    <row r="252" spans="1:126" s="7" customFormat="1" x14ac:dyDescent="0.2">
      <c r="B252" s="174"/>
      <c r="C252" s="27" t="s">
        <v>15</v>
      </c>
      <c r="D252" s="48"/>
      <c r="E252" s="136"/>
      <c r="F252" s="215"/>
      <c r="G252" s="65">
        <f>G178+G177+G173+G171+G167+G164+G162+G157+G144+G143+G136+G130+G129+G126+G118+G115+G69+G66+G65+G63+G58+G56+G55+G51+G39+G33</f>
        <v>26</v>
      </c>
      <c r="H252" s="260">
        <v>9</v>
      </c>
      <c r="I252" s="65"/>
      <c r="J252" s="65">
        <f t="shared" ref="J252:BS252" si="202">J178+J177+J173+J171+J167+J164+J162+J157+J144+J143+J136+J130+J129+J126+J118+J115+J69+J66+J65+J63+J58+J56+J55+J51+J39+J33</f>
        <v>886371</v>
      </c>
      <c r="K252" s="65">
        <f t="shared" si="202"/>
        <v>45341</v>
      </c>
      <c r="L252" s="65">
        <f t="shared" si="202"/>
        <v>14865</v>
      </c>
      <c r="M252" s="65">
        <f t="shared" si="202"/>
        <v>16898</v>
      </c>
      <c r="N252" s="65">
        <f t="shared" si="202"/>
        <v>2798</v>
      </c>
      <c r="O252" s="65">
        <f t="shared" si="202"/>
        <v>6117</v>
      </c>
      <c r="P252" s="65">
        <f t="shared" si="202"/>
        <v>2802</v>
      </c>
      <c r="Q252" s="65">
        <f t="shared" si="202"/>
        <v>5338</v>
      </c>
      <c r="R252" s="65">
        <f t="shared" si="202"/>
        <v>151102.41000000003</v>
      </c>
      <c r="S252" s="65">
        <f t="shared" si="202"/>
        <v>86431.460000000021</v>
      </c>
      <c r="T252" s="65">
        <f t="shared" si="202"/>
        <v>2653</v>
      </c>
      <c r="U252" s="65">
        <f t="shared" si="202"/>
        <v>143521.50000000003</v>
      </c>
      <c r="V252" s="65">
        <f t="shared" si="202"/>
        <v>81796.709999999977</v>
      </c>
      <c r="W252" s="65">
        <f t="shared" si="202"/>
        <v>144</v>
      </c>
      <c r="X252" s="65">
        <f t="shared" si="202"/>
        <v>7522.5099999999993</v>
      </c>
      <c r="Y252" s="65">
        <f t="shared" si="202"/>
        <v>4603.7999999999993</v>
      </c>
      <c r="Z252" s="65">
        <f t="shared" si="202"/>
        <v>1</v>
      </c>
      <c r="AA252" s="65">
        <f t="shared" si="202"/>
        <v>58.4</v>
      </c>
      <c r="AB252" s="65">
        <f t="shared" si="202"/>
        <v>30.95</v>
      </c>
      <c r="AC252" s="65">
        <f t="shared" si="202"/>
        <v>25960.01</v>
      </c>
      <c r="AD252" s="65">
        <f t="shared" si="202"/>
        <v>7736.06</v>
      </c>
      <c r="AE252" s="65">
        <f t="shared" si="202"/>
        <v>0</v>
      </c>
      <c r="AF252" s="65">
        <f t="shared" si="202"/>
        <v>7736.06</v>
      </c>
      <c r="AG252" s="65">
        <f t="shared" si="202"/>
        <v>17471.650000000001</v>
      </c>
      <c r="AH252" s="65">
        <f t="shared" si="202"/>
        <v>752.3</v>
      </c>
      <c r="AI252" s="65">
        <f t="shared" si="202"/>
        <v>177062.42</v>
      </c>
      <c r="AJ252" s="65">
        <f t="shared" si="202"/>
        <v>0</v>
      </c>
      <c r="AK252" s="65">
        <f t="shared" si="202"/>
        <v>87</v>
      </c>
      <c r="AL252" s="65">
        <f t="shared" si="202"/>
        <v>87</v>
      </c>
      <c r="AM252" s="65">
        <f t="shared" si="202"/>
        <v>86</v>
      </c>
      <c r="AN252" s="65">
        <f t="shared" si="202"/>
        <v>3</v>
      </c>
      <c r="AO252" s="65">
        <f t="shared" si="202"/>
        <v>60</v>
      </c>
      <c r="AP252" s="65">
        <f t="shared" si="202"/>
        <v>147804</v>
      </c>
      <c r="AQ252" s="65">
        <f t="shared" si="202"/>
        <v>961.875</v>
      </c>
      <c r="AR252" s="65">
        <f t="shared" si="202"/>
        <v>15512</v>
      </c>
      <c r="AS252" s="65">
        <f t="shared" si="202"/>
        <v>8187</v>
      </c>
      <c r="AT252" s="65">
        <f t="shared" si="202"/>
        <v>3385</v>
      </c>
      <c r="AU252" s="65">
        <f t="shared" si="202"/>
        <v>243599</v>
      </c>
      <c r="AV252" s="65">
        <f t="shared" si="202"/>
        <v>140234</v>
      </c>
      <c r="AW252" s="65">
        <f t="shared" si="202"/>
        <v>103365</v>
      </c>
      <c r="AX252" s="65">
        <f t="shared" si="202"/>
        <v>0</v>
      </c>
      <c r="AY252" s="65">
        <f t="shared" si="202"/>
        <v>8138</v>
      </c>
      <c r="AZ252" s="65">
        <f t="shared" si="202"/>
        <v>41267</v>
      </c>
      <c r="BA252" s="65">
        <f t="shared" si="202"/>
        <v>27341</v>
      </c>
      <c r="BB252" s="65">
        <f t="shared" si="202"/>
        <v>238</v>
      </c>
      <c r="BC252" s="65">
        <f t="shared" si="202"/>
        <v>323</v>
      </c>
      <c r="BD252" s="65">
        <f t="shared" si="202"/>
        <v>9589</v>
      </c>
      <c r="BE252" s="65">
        <f t="shared" si="202"/>
        <v>5904</v>
      </c>
      <c r="BF252" s="65">
        <f t="shared" si="202"/>
        <v>14</v>
      </c>
      <c r="BG252" s="65">
        <f t="shared" si="202"/>
        <v>540423</v>
      </c>
      <c r="BH252" s="65">
        <f t="shared" si="202"/>
        <v>114117</v>
      </c>
      <c r="BI252" s="65">
        <f t="shared" si="202"/>
        <v>6747</v>
      </c>
      <c r="BJ252" s="65">
        <f t="shared" si="202"/>
        <v>26</v>
      </c>
      <c r="BK252" s="65">
        <f t="shared" si="202"/>
        <v>151102.41000000003</v>
      </c>
      <c r="BL252" s="65">
        <f t="shared" si="202"/>
        <v>86431.460000000021</v>
      </c>
      <c r="BM252" s="65">
        <f t="shared" si="202"/>
        <v>0</v>
      </c>
      <c r="BN252" s="65">
        <f t="shared" si="202"/>
        <v>0</v>
      </c>
      <c r="BO252" s="65">
        <f t="shared" si="202"/>
        <v>0</v>
      </c>
      <c r="BP252" s="65">
        <f t="shared" si="202"/>
        <v>0</v>
      </c>
      <c r="BQ252" s="65">
        <f t="shared" si="202"/>
        <v>0</v>
      </c>
      <c r="BR252" s="65">
        <f t="shared" si="202"/>
        <v>0</v>
      </c>
      <c r="BS252" s="65">
        <f t="shared" si="202"/>
        <v>5</v>
      </c>
      <c r="BT252" s="65">
        <f t="shared" ref="BT252:CH252" si="203">BT178+BT177+BT173+BT171+BT167+BT164+BT162+BT157+BT144+BT143+BT136+BT130+BT129+BT126+BT118+BT115+BT69+BT66+BT65+BT63+BT58+BT56+BT55+BT51+BT39+BT33</f>
        <v>45</v>
      </c>
      <c r="BU252" s="65">
        <f t="shared" si="203"/>
        <v>27341</v>
      </c>
      <c r="BV252" s="65">
        <f t="shared" si="203"/>
        <v>95191</v>
      </c>
      <c r="BW252" s="65">
        <f t="shared" si="203"/>
        <v>86</v>
      </c>
      <c r="BX252" s="65">
        <f t="shared" si="203"/>
        <v>147804</v>
      </c>
      <c r="BY252" s="65">
        <f t="shared" si="203"/>
        <v>62329.360000000008</v>
      </c>
      <c r="BZ252" s="65">
        <f t="shared" si="203"/>
        <v>31188.21</v>
      </c>
      <c r="CA252" s="65">
        <f t="shared" si="203"/>
        <v>85148</v>
      </c>
      <c r="CB252" s="65">
        <f t="shared" si="203"/>
        <v>39807</v>
      </c>
      <c r="CC252" s="65">
        <f t="shared" si="203"/>
        <v>17</v>
      </c>
      <c r="CD252" s="65">
        <f t="shared" si="203"/>
        <v>140234</v>
      </c>
      <c r="CE252" s="65">
        <f t="shared" si="203"/>
        <v>9</v>
      </c>
      <c r="CF252" s="65">
        <f t="shared" si="203"/>
        <v>103365</v>
      </c>
      <c r="CG252" s="65">
        <f t="shared" si="203"/>
        <v>26</v>
      </c>
      <c r="CH252" s="65">
        <f t="shared" si="203"/>
        <v>243599</v>
      </c>
      <c r="CI252" s="304">
        <f t="shared" ref="CI252:CK252" si="204">CI10+CI12+CI13+CI16+CI55+CI60+CI62+CI66+CI67+CI99+CI102+CI103+CI121+CI122+CI124+CI141+CI144+CI147+CI148+CI152+CI158+CI159+CI177+CI182+CI184+CI186</f>
        <v>1409</v>
      </c>
      <c r="CJ252" s="287">
        <f t="shared" si="204"/>
        <v>0</v>
      </c>
      <c r="CK252" s="287">
        <f t="shared" si="204"/>
        <v>0</v>
      </c>
      <c r="CL252" s="224"/>
      <c r="CM252" s="287">
        <f t="shared" ref="CM252:CN252" si="205">CM10+CM12+CM13+CM16+CM55+CM60+CM62+CM66+CM67+CM99+CM102+CM103+CM121+CM122+CM124+CM141+CM144+CM147+CM148+CM152+CM158+CM159+CM177+CM182+CM184+CM186</f>
        <v>0</v>
      </c>
      <c r="CN252" s="287">
        <f t="shared" si="205"/>
        <v>0</v>
      </c>
      <c r="CO252" s="224"/>
      <c r="CP252" s="65">
        <f t="shared" ref="CP252:DQ252" si="206">CP10+CP12+CP13+CP16+CP55+CP60+CP62+CP66+CP67+CP99+CP102+CP103+CP121+CP122+CP124+CP141+CP144+CP147+CP148+CP152+CP158+CP159+CP177+CP182+CP184+CP186</f>
        <v>26</v>
      </c>
      <c r="CQ252" s="65">
        <f t="shared" si="206"/>
        <v>0</v>
      </c>
      <c r="CR252" s="65">
        <f t="shared" si="206"/>
        <v>0</v>
      </c>
      <c r="CS252" s="65">
        <f t="shared" si="206"/>
        <v>2</v>
      </c>
      <c r="CT252" s="65">
        <f t="shared" si="206"/>
        <v>48</v>
      </c>
      <c r="CU252" s="65">
        <f t="shared" si="206"/>
        <v>0</v>
      </c>
      <c r="CV252" s="65">
        <f t="shared" si="206"/>
        <v>0</v>
      </c>
      <c r="CW252" s="65">
        <f t="shared" si="206"/>
        <v>8</v>
      </c>
      <c r="CX252" s="65">
        <f t="shared" si="206"/>
        <v>0</v>
      </c>
      <c r="CY252" s="65">
        <f t="shared" si="206"/>
        <v>2447</v>
      </c>
      <c r="CZ252" s="65">
        <f t="shared" si="206"/>
        <v>2256</v>
      </c>
      <c r="DA252" s="65">
        <f t="shared" si="206"/>
        <v>191</v>
      </c>
      <c r="DB252" s="65">
        <f t="shared" si="206"/>
        <v>1797</v>
      </c>
      <c r="DC252" s="65">
        <f t="shared" si="206"/>
        <v>1168</v>
      </c>
      <c r="DD252" s="65">
        <f t="shared" si="206"/>
        <v>1619</v>
      </c>
      <c r="DE252" s="65">
        <f t="shared" si="206"/>
        <v>1504</v>
      </c>
      <c r="DF252" s="65">
        <f t="shared" si="206"/>
        <v>1197</v>
      </c>
      <c r="DG252" s="65">
        <f t="shared" si="206"/>
        <v>1561</v>
      </c>
      <c r="DH252" s="65">
        <f t="shared" si="206"/>
        <v>1570</v>
      </c>
      <c r="DI252" s="65">
        <f t="shared" si="206"/>
        <v>125</v>
      </c>
      <c r="DJ252" s="65">
        <f t="shared" si="206"/>
        <v>68</v>
      </c>
      <c r="DK252" s="65">
        <f t="shared" si="206"/>
        <v>116</v>
      </c>
      <c r="DL252" s="65">
        <f t="shared" si="206"/>
        <v>79</v>
      </c>
      <c r="DM252" s="65">
        <f t="shared" si="206"/>
        <v>70</v>
      </c>
      <c r="DN252" s="65">
        <f t="shared" si="206"/>
        <v>113</v>
      </c>
      <c r="DO252" s="65">
        <f t="shared" si="206"/>
        <v>82</v>
      </c>
      <c r="DP252" s="65">
        <f t="shared" si="206"/>
        <v>2447</v>
      </c>
      <c r="DQ252" s="65">
        <f t="shared" si="206"/>
        <v>2431</v>
      </c>
    </row>
    <row r="253" spans="1:126" s="7" customFormat="1" x14ac:dyDescent="0.2">
      <c r="B253" s="174"/>
      <c r="C253" s="27" t="s">
        <v>16</v>
      </c>
      <c r="D253" s="48"/>
      <c r="E253" s="136"/>
      <c r="F253" s="215"/>
      <c r="G253" s="65">
        <f>G187+G185+G180+G174+G160+G158+G156+G154+G152+G149+G133+G131+G113+G81+G73+G71+G68+G67+G64+G62+G60+G59+G57+G54+G53+G48+G46+G42+G38+G11+G10+G7</f>
        <v>32</v>
      </c>
      <c r="H253" s="260">
        <v>9</v>
      </c>
      <c r="I253" s="65"/>
      <c r="J253" s="65">
        <f t="shared" ref="J253:BS253" si="207">J187+J185+J180+J174+J160+J158+J156+J154+J152+J149+J133+J131+J113+J81+J73+J71+J68+J67+J64+J62+J60+J59+J57+J54+J53+J48+J46+J42+J38+J11+J10+J7</f>
        <v>824231</v>
      </c>
      <c r="K253" s="65">
        <f t="shared" si="207"/>
        <v>36542</v>
      </c>
      <c r="L253" s="65">
        <f t="shared" si="207"/>
        <v>0</v>
      </c>
      <c r="M253" s="65">
        <f t="shared" si="207"/>
        <v>32700</v>
      </c>
      <c r="N253" s="65">
        <f t="shared" si="207"/>
        <v>3883</v>
      </c>
      <c r="O253" s="65">
        <f t="shared" si="207"/>
        <v>8551</v>
      </c>
      <c r="P253" s="65">
        <f t="shared" si="207"/>
        <v>3894</v>
      </c>
      <c r="Q253" s="65">
        <f t="shared" si="207"/>
        <v>8173</v>
      </c>
      <c r="R253" s="65">
        <f t="shared" si="207"/>
        <v>206238.73000000004</v>
      </c>
      <c r="S253" s="65">
        <f t="shared" si="207"/>
        <v>122675.76999999997</v>
      </c>
      <c r="T253" s="65">
        <f t="shared" si="207"/>
        <v>3639</v>
      </c>
      <c r="U253" s="65">
        <f t="shared" si="207"/>
        <v>193808.38</v>
      </c>
      <c r="V253" s="65">
        <f t="shared" si="207"/>
        <v>115073.45</v>
      </c>
      <c r="W253" s="65">
        <f t="shared" si="207"/>
        <v>243</v>
      </c>
      <c r="X253" s="65">
        <f t="shared" si="207"/>
        <v>12364.650000000001</v>
      </c>
      <c r="Y253" s="65">
        <f t="shared" si="207"/>
        <v>7561.2000000000007</v>
      </c>
      <c r="Z253" s="65">
        <f t="shared" si="207"/>
        <v>1</v>
      </c>
      <c r="AA253" s="65">
        <f t="shared" si="207"/>
        <v>65.7</v>
      </c>
      <c r="AB253" s="65">
        <f t="shared" si="207"/>
        <v>41.12</v>
      </c>
      <c r="AC253" s="65">
        <f t="shared" si="207"/>
        <v>3322.05</v>
      </c>
      <c r="AD253" s="65">
        <f t="shared" si="207"/>
        <v>587.65</v>
      </c>
      <c r="AE253" s="65">
        <f t="shared" si="207"/>
        <v>0</v>
      </c>
      <c r="AF253" s="65">
        <f t="shared" si="207"/>
        <v>587.65</v>
      </c>
      <c r="AG253" s="65">
        <f t="shared" si="207"/>
        <v>2734.4000000000005</v>
      </c>
      <c r="AH253" s="65">
        <f t="shared" si="207"/>
        <v>0</v>
      </c>
      <c r="AI253" s="65">
        <f t="shared" si="207"/>
        <v>209560.78000000009</v>
      </c>
      <c r="AJ253" s="65">
        <f t="shared" si="207"/>
        <v>0</v>
      </c>
      <c r="AK253" s="65">
        <f t="shared" si="207"/>
        <v>109</v>
      </c>
      <c r="AL253" s="65">
        <f t="shared" si="207"/>
        <v>109</v>
      </c>
      <c r="AM253" s="65">
        <f t="shared" si="207"/>
        <v>109</v>
      </c>
      <c r="AN253" s="65">
        <f t="shared" si="207"/>
        <v>0</v>
      </c>
      <c r="AO253" s="65">
        <f t="shared" si="207"/>
        <v>111</v>
      </c>
      <c r="AP253" s="65">
        <f t="shared" si="207"/>
        <v>173712</v>
      </c>
      <c r="AQ253" s="65">
        <f t="shared" si="207"/>
        <v>1631.5</v>
      </c>
      <c r="AR253" s="65">
        <f t="shared" si="207"/>
        <v>20296</v>
      </c>
      <c r="AS253" s="65">
        <f t="shared" si="207"/>
        <v>11724</v>
      </c>
      <c r="AT253" s="65">
        <f t="shared" si="207"/>
        <v>3592</v>
      </c>
      <c r="AU253" s="65">
        <f t="shared" si="207"/>
        <v>274678</v>
      </c>
      <c r="AV253" s="65">
        <f t="shared" si="207"/>
        <v>153659</v>
      </c>
      <c r="AW253" s="65">
        <f t="shared" si="207"/>
        <v>121019</v>
      </c>
      <c r="AX253" s="65">
        <f t="shared" si="207"/>
        <v>95996</v>
      </c>
      <c r="AY253" s="65">
        <f t="shared" si="207"/>
        <v>9237</v>
      </c>
      <c r="AZ253" s="65">
        <f t="shared" si="207"/>
        <v>32449</v>
      </c>
      <c r="BA253" s="65">
        <f t="shared" si="207"/>
        <v>31009</v>
      </c>
      <c r="BB253" s="65">
        <f t="shared" si="207"/>
        <v>1806</v>
      </c>
      <c r="BC253" s="65">
        <f t="shared" si="207"/>
        <v>419</v>
      </c>
      <c r="BD253" s="65">
        <f t="shared" si="207"/>
        <v>12314</v>
      </c>
      <c r="BE253" s="65">
        <f t="shared" si="207"/>
        <v>9314</v>
      </c>
      <c r="BF253" s="65">
        <f t="shared" si="207"/>
        <v>23</v>
      </c>
      <c r="BG253" s="65">
        <f t="shared" si="207"/>
        <v>415596</v>
      </c>
      <c r="BH253" s="65">
        <f t="shared" si="207"/>
        <v>147977</v>
      </c>
      <c r="BI253" s="65">
        <f t="shared" si="207"/>
        <v>7647</v>
      </c>
      <c r="BJ253" s="65">
        <f t="shared" si="207"/>
        <v>0</v>
      </c>
      <c r="BK253" s="65">
        <f t="shared" si="207"/>
        <v>0</v>
      </c>
      <c r="BL253" s="65">
        <f t="shared" si="207"/>
        <v>0</v>
      </c>
      <c r="BM253" s="65">
        <f t="shared" si="207"/>
        <v>32</v>
      </c>
      <c r="BN253" s="65">
        <f t="shared" si="207"/>
        <v>206238.73000000004</v>
      </c>
      <c r="BO253" s="65">
        <f t="shared" si="207"/>
        <v>122675.76999999997</v>
      </c>
      <c r="BP253" s="65">
        <f t="shared" si="207"/>
        <v>0</v>
      </c>
      <c r="BQ253" s="65">
        <f t="shared" si="207"/>
        <v>0</v>
      </c>
      <c r="BR253" s="65">
        <f t="shared" si="207"/>
        <v>0</v>
      </c>
      <c r="BS253" s="65">
        <f t="shared" si="207"/>
        <v>15</v>
      </c>
      <c r="BT253" s="65">
        <f t="shared" ref="BT253:CH253" si="208">BT187+BT185+BT180+BT174+BT160+BT158+BT156+BT154+BT152+BT149+BT133+BT131+BT113+BT81+BT73+BT71+BT68+BT67+BT64+BT62+BT60+BT59+BT57+BT54+BT53+BT48+BT46+BT42+BT38+BT11+BT10+BT7</f>
        <v>50</v>
      </c>
      <c r="BU253" s="65">
        <f t="shared" si="208"/>
        <v>31009</v>
      </c>
      <c r="BV253" s="65">
        <f t="shared" si="208"/>
        <v>124065</v>
      </c>
      <c r="BW253" s="65">
        <f t="shared" si="208"/>
        <v>0</v>
      </c>
      <c r="BX253" s="65">
        <f t="shared" si="208"/>
        <v>0</v>
      </c>
      <c r="BY253" s="65">
        <f t="shared" si="208"/>
        <v>61976.409999999989</v>
      </c>
      <c r="BZ253" s="65">
        <f t="shared" si="208"/>
        <v>29613.129999999997</v>
      </c>
      <c r="CA253" s="65">
        <f t="shared" si="208"/>
        <v>95644</v>
      </c>
      <c r="CB253" s="65">
        <f t="shared" si="208"/>
        <v>59102</v>
      </c>
      <c r="CC253" s="65">
        <f t="shared" si="208"/>
        <v>21</v>
      </c>
      <c r="CD253" s="65">
        <f t="shared" si="208"/>
        <v>153659</v>
      </c>
      <c r="CE253" s="65">
        <f t="shared" si="208"/>
        <v>11</v>
      </c>
      <c r="CF253" s="65">
        <f t="shared" si="208"/>
        <v>121019</v>
      </c>
      <c r="CG253" s="65">
        <f t="shared" si="208"/>
        <v>32</v>
      </c>
      <c r="CH253" s="65">
        <f t="shared" si="208"/>
        <v>274678</v>
      </c>
      <c r="CI253" s="304">
        <f t="shared" ref="CI253:CK253" si="209">CI7+CI9+CI11+CI14+CI15+CI18+CI20+CI23+CI63+CI69+CI73+CI76+CI77+CI108+CI111+CI115+CI117+CI119+CI120+CI123+CI125+CI140+CI149+CI151+CI165+CI167+CI169+CI172+CI174+CI176+CI178+CI180</f>
        <v>1664</v>
      </c>
      <c r="CJ253" s="287">
        <f t="shared" si="209"/>
        <v>0</v>
      </c>
      <c r="CK253" s="287">
        <f t="shared" si="209"/>
        <v>0</v>
      </c>
      <c r="CL253" s="224"/>
      <c r="CM253" s="287">
        <f t="shared" ref="CM253:CN253" si="210">CM7+CM9+CM11+CM14+CM15+CM18+CM20+CM23+CM63+CM69+CM73+CM76+CM77+CM108+CM111+CM115+CM117+CM119+CM120+CM123+CM125+CM140+CM149+CM151+CM165+CM167+CM169+CM172+CM174+CM176+CM178+CM180</f>
        <v>0</v>
      </c>
      <c r="CN253" s="287">
        <f t="shared" si="210"/>
        <v>0</v>
      </c>
      <c r="CO253" s="224"/>
      <c r="CP253" s="65">
        <f t="shared" ref="CP253:DQ253" si="211">CP7+CP9+CP11+CP14+CP15+CP18+CP20+CP23+CP63+CP69+CP73+CP76+CP77+CP108+CP111+CP115+CP117+CP119+CP120+CP123+CP125+CP140+CP149+CP151+CP165+CP167+CP169+CP172+CP174+CP176+CP178+CP180</f>
        <v>32</v>
      </c>
      <c r="CQ253" s="65">
        <f t="shared" si="211"/>
        <v>0</v>
      </c>
      <c r="CR253" s="65">
        <f t="shared" si="211"/>
        <v>0</v>
      </c>
      <c r="CS253" s="65">
        <f t="shared" si="211"/>
        <v>1</v>
      </c>
      <c r="CT253" s="65">
        <f t="shared" si="211"/>
        <v>55</v>
      </c>
      <c r="CU253" s="65">
        <f t="shared" si="211"/>
        <v>0</v>
      </c>
      <c r="CV253" s="65">
        <f t="shared" si="211"/>
        <v>0</v>
      </c>
      <c r="CW253" s="65">
        <f t="shared" si="211"/>
        <v>1</v>
      </c>
      <c r="CX253" s="65">
        <f t="shared" si="211"/>
        <v>0</v>
      </c>
      <c r="CY253" s="65">
        <f t="shared" si="211"/>
        <v>2863</v>
      </c>
      <c r="CZ253" s="65">
        <f t="shared" si="211"/>
        <v>2615</v>
      </c>
      <c r="DA253" s="65">
        <f t="shared" si="211"/>
        <v>248</v>
      </c>
      <c r="DB253" s="65">
        <f t="shared" si="211"/>
        <v>2025</v>
      </c>
      <c r="DC253" s="65">
        <f t="shared" si="211"/>
        <v>1289</v>
      </c>
      <c r="DD253" s="65">
        <f t="shared" si="211"/>
        <v>1890</v>
      </c>
      <c r="DE253" s="65">
        <f t="shared" si="211"/>
        <v>1585</v>
      </c>
      <c r="DF253" s="65">
        <f t="shared" si="211"/>
        <v>1352</v>
      </c>
      <c r="DG253" s="65">
        <f t="shared" si="211"/>
        <v>1804</v>
      </c>
      <c r="DH253" s="65">
        <f t="shared" si="211"/>
        <v>1681</v>
      </c>
      <c r="DI253" s="65">
        <f t="shared" si="211"/>
        <v>124</v>
      </c>
      <c r="DJ253" s="65">
        <f t="shared" si="211"/>
        <v>77</v>
      </c>
      <c r="DK253" s="65">
        <f t="shared" si="211"/>
        <v>204</v>
      </c>
      <c r="DL253" s="65">
        <f t="shared" si="211"/>
        <v>88</v>
      </c>
      <c r="DM253" s="65">
        <f t="shared" si="211"/>
        <v>79</v>
      </c>
      <c r="DN253" s="65">
        <f t="shared" si="211"/>
        <v>202</v>
      </c>
      <c r="DO253" s="65">
        <f t="shared" si="211"/>
        <v>90</v>
      </c>
      <c r="DP253" s="65">
        <f t="shared" si="211"/>
        <v>2863</v>
      </c>
      <c r="DQ253" s="65">
        <f t="shared" si="211"/>
        <v>2852</v>
      </c>
    </row>
    <row r="254" spans="1:126" s="7" customFormat="1" x14ac:dyDescent="0.2">
      <c r="B254" s="174"/>
      <c r="C254" s="27" t="s">
        <v>17</v>
      </c>
      <c r="D254" s="48"/>
      <c r="E254" s="136"/>
      <c r="F254" s="215"/>
      <c r="G254" s="65">
        <f>G186+G184+G175+G155+G151++G146+G145+G150+G153+G142+G141+G140+G132+G119+G114+G98+G70+G61+G52+G50+G45+G40+G36+G31+G30+G29+G28+G27+G26+G25+G9+G8</f>
        <v>32</v>
      </c>
      <c r="H254" s="260">
        <v>9</v>
      </c>
      <c r="I254" s="65"/>
      <c r="J254" s="65">
        <f t="shared" ref="J254:BS254" si="212">J186+J184+J175+J155+J151++J146+J145+J150+J153+J142+J141+J140+J132+J119+J114+J98+J70+J61+J52+J50+J45+J40+J36+J31+J30+J29+J28+J27+J26+J25+J9+J8</f>
        <v>767552</v>
      </c>
      <c r="K254" s="65">
        <f t="shared" si="212"/>
        <v>31731</v>
      </c>
      <c r="L254" s="65">
        <f t="shared" si="212"/>
        <v>0</v>
      </c>
      <c r="M254" s="65">
        <f t="shared" si="212"/>
        <v>28680</v>
      </c>
      <c r="N254" s="65">
        <f>N186+N184+N175+N155+N151++N146+N145+N150+N153+N142+N141+N140+N132+N119+N114+N98+N70+N61+N52+N50+N45+N40+N36+N31+N30+N29+N28+N27+N26+N25+N9+N8</f>
        <v>2583</v>
      </c>
      <c r="O254" s="65">
        <f t="shared" ref="O254:Q254" si="213">O186+O184+O175+O155+O151++O146+O145+O150+O153+O142+O141+O140+O132+O119+O114+O98+O70+O61+O52+O50+O45+O40+O36+O31+O30+O29+O28+O27+O26+O25+O9+O8</f>
        <v>6898</v>
      </c>
      <c r="P254" s="65">
        <f t="shared" si="213"/>
        <v>2592</v>
      </c>
      <c r="Q254" s="65">
        <f t="shared" si="213"/>
        <v>5910</v>
      </c>
      <c r="R254" s="65">
        <f t="shared" si="212"/>
        <v>169865.55</v>
      </c>
      <c r="S254" s="65">
        <f t="shared" si="212"/>
        <v>103949.29</v>
      </c>
      <c r="T254" s="65">
        <f t="shared" si="212"/>
        <v>2412</v>
      </c>
      <c r="U254" s="65">
        <f t="shared" si="212"/>
        <v>158611.13999999998</v>
      </c>
      <c r="V254" s="65">
        <f t="shared" si="212"/>
        <v>97113.61</v>
      </c>
      <c r="W254" s="65">
        <f t="shared" si="212"/>
        <v>171</v>
      </c>
      <c r="X254" s="65">
        <f t="shared" si="212"/>
        <v>11254.409999999996</v>
      </c>
      <c r="Y254" s="65">
        <f t="shared" si="212"/>
        <v>6835.6799999999994</v>
      </c>
      <c r="Z254" s="65">
        <f t="shared" si="212"/>
        <v>0</v>
      </c>
      <c r="AA254" s="65">
        <f t="shared" si="212"/>
        <v>0</v>
      </c>
      <c r="AB254" s="65">
        <f t="shared" si="212"/>
        <v>0</v>
      </c>
      <c r="AC254" s="65">
        <f t="shared" si="212"/>
        <v>6429.2999999999993</v>
      </c>
      <c r="AD254" s="65">
        <f t="shared" si="212"/>
        <v>1714.8</v>
      </c>
      <c r="AE254" s="65">
        <f t="shared" si="212"/>
        <v>0</v>
      </c>
      <c r="AF254" s="65">
        <f t="shared" si="212"/>
        <v>1714.8</v>
      </c>
      <c r="AG254" s="65">
        <f t="shared" si="212"/>
        <v>4152</v>
      </c>
      <c r="AH254" s="65">
        <f t="shared" si="212"/>
        <v>562.5</v>
      </c>
      <c r="AI254" s="65">
        <f t="shared" si="212"/>
        <v>176294.84999999995</v>
      </c>
      <c r="AJ254" s="65">
        <f t="shared" si="212"/>
        <v>0</v>
      </c>
      <c r="AK254" s="65">
        <f t="shared" si="212"/>
        <v>77</v>
      </c>
      <c r="AL254" s="65">
        <f t="shared" si="212"/>
        <v>77</v>
      </c>
      <c r="AM254" s="65">
        <f t="shared" si="212"/>
        <v>77</v>
      </c>
      <c r="AN254" s="65">
        <f t="shared" si="212"/>
        <v>0</v>
      </c>
      <c r="AO254" s="65">
        <f t="shared" si="212"/>
        <v>77</v>
      </c>
      <c r="AP254" s="65">
        <f t="shared" si="212"/>
        <v>133790.29999999999</v>
      </c>
      <c r="AQ254" s="65">
        <f t="shared" si="212"/>
        <v>1804.17</v>
      </c>
      <c r="AR254" s="65">
        <f t="shared" si="212"/>
        <v>15412.67</v>
      </c>
      <c r="AS254" s="65">
        <f t="shared" si="212"/>
        <v>10536.33</v>
      </c>
      <c r="AT254" s="65">
        <f t="shared" si="212"/>
        <v>5337</v>
      </c>
      <c r="AU254" s="65">
        <f t="shared" si="212"/>
        <v>298787.67</v>
      </c>
      <c r="AV254" s="65">
        <f t="shared" si="212"/>
        <v>66598</v>
      </c>
      <c r="AW254" s="65">
        <f t="shared" si="212"/>
        <v>232189.66999999998</v>
      </c>
      <c r="AX254" s="65">
        <f t="shared" si="212"/>
        <v>62180.333333333336</v>
      </c>
      <c r="AY254" s="65">
        <f t="shared" si="212"/>
        <v>8333.3333333333321</v>
      </c>
      <c r="AZ254" s="65">
        <f t="shared" si="212"/>
        <v>28530</v>
      </c>
      <c r="BA254" s="65">
        <f t="shared" si="212"/>
        <v>25797</v>
      </c>
      <c r="BB254" s="65">
        <f t="shared" si="212"/>
        <v>1312</v>
      </c>
      <c r="BC254" s="65">
        <f t="shared" si="212"/>
        <v>1435</v>
      </c>
      <c r="BD254" s="65">
        <f t="shared" si="212"/>
        <v>8875</v>
      </c>
      <c r="BE254" s="65">
        <f t="shared" si="212"/>
        <v>13932</v>
      </c>
      <c r="BF254" s="65">
        <f t="shared" si="212"/>
        <v>39</v>
      </c>
      <c r="BG254" s="65">
        <f t="shared" si="212"/>
        <v>316982</v>
      </c>
      <c r="BH254" s="65">
        <f t="shared" si="212"/>
        <v>114234</v>
      </c>
      <c r="BI254" s="65">
        <f t="shared" si="212"/>
        <v>4338</v>
      </c>
      <c r="BJ254" s="65">
        <f t="shared" si="212"/>
        <v>1</v>
      </c>
      <c r="BK254" s="65">
        <f t="shared" si="212"/>
        <v>3247.8</v>
      </c>
      <c r="BL254" s="65">
        <f t="shared" si="212"/>
        <v>1740.2</v>
      </c>
      <c r="BM254" s="65">
        <f t="shared" si="212"/>
        <v>28</v>
      </c>
      <c r="BN254" s="65">
        <f t="shared" si="212"/>
        <v>131865.96</v>
      </c>
      <c r="BO254" s="65">
        <f t="shared" si="212"/>
        <v>81151.09</v>
      </c>
      <c r="BP254" s="65">
        <f t="shared" si="212"/>
        <v>3</v>
      </c>
      <c r="BQ254" s="65">
        <f t="shared" si="212"/>
        <v>34751.79</v>
      </c>
      <c r="BR254" s="65">
        <f t="shared" si="212"/>
        <v>21058</v>
      </c>
      <c r="BS254" s="65">
        <f t="shared" si="212"/>
        <v>2</v>
      </c>
      <c r="BT254" s="65">
        <f t="shared" ref="BT254:CH254" si="214">BT186+BT184+BT175+BT155+BT151++BT146+BT145+BT150+BT153+BT142+BT141+BT140+BT132+BT119+BT114+BT98+BT70+BT61+BT52+BT50+BT45+BT40+BT36+BT31+BT30+BT29+BT28+BT27+BT26+BT25+BT9+BT8</f>
        <v>57</v>
      </c>
      <c r="BU254" s="65">
        <f t="shared" si="214"/>
        <v>3289</v>
      </c>
      <c r="BV254" s="65">
        <f t="shared" si="214"/>
        <v>180</v>
      </c>
      <c r="BW254" s="65">
        <f t="shared" si="214"/>
        <v>28</v>
      </c>
      <c r="BX254" s="65">
        <f t="shared" si="214"/>
        <v>6442</v>
      </c>
      <c r="BY254" s="65">
        <f t="shared" si="214"/>
        <v>57243.229999999981</v>
      </c>
      <c r="BZ254" s="65">
        <f t="shared" si="214"/>
        <v>29539.399999999994</v>
      </c>
      <c r="CA254" s="65">
        <f t="shared" si="214"/>
        <v>67303</v>
      </c>
      <c r="CB254" s="65">
        <f t="shared" si="214"/>
        <v>35572</v>
      </c>
      <c r="CC254" s="65">
        <f t="shared" si="214"/>
        <v>11</v>
      </c>
      <c r="CD254" s="65">
        <f t="shared" si="214"/>
        <v>66598</v>
      </c>
      <c r="CE254" s="65">
        <f t="shared" si="214"/>
        <v>21</v>
      </c>
      <c r="CF254" s="65">
        <f t="shared" si="214"/>
        <v>232189.66999999998</v>
      </c>
      <c r="CG254" s="65">
        <f t="shared" si="214"/>
        <v>32</v>
      </c>
      <c r="CH254" s="65">
        <f t="shared" si="214"/>
        <v>298787.67</v>
      </c>
      <c r="CI254" s="304">
        <f t="shared" ref="CI254:DQ254" si="215">CI8+CI17+CI35+CI52+CI56+CI64+CI74+CI75+CI81+CI82+CI93+CI94+CI95+CI96+CI97+CI100+CI101+CI106+CI109+CI114+CI150+CI155+CI156+CI157+CI160+CI161+CI166+CI168+CI170+CI171+CI173+CI175</f>
        <v>1728</v>
      </c>
      <c r="CJ254" s="287">
        <f t="shared" si="215"/>
        <v>0</v>
      </c>
      <c r="CK254" s="287">
        <f t="shared" si="215"/>
        <v>0</v>
      </c>
      <c r="CL254" s="224"/>
      <c r="CM254" s="287">
        <f t="shared" si="215"/>
        <v>0</v>
      </c>
      <c r="CN254" s="287">
        <f t="shared" si="215"/>
        <v>0</v>
      </c>
      <c r="CO254" s="224"/>
      <c r="CP254" s="65">
        <f t="shared" si="215"/>
        <v>32</v>
      </c>
      <c r="CQ254" s="65">
        <f t="shared" si="215"/>
        <v>0</v>
      </c>
      <c r="CR254" s="65">
        <f t="shared" si="215"/>
        <v>0</v>
      </c>
      <c r="CS254" s="65">
        <f t="shared" si="215"/>
        <v>1</v>
      </c>
      <c r="CT254" s="65">
        <f t="shared" si="215"/>
        <v>59</v>
      </c>
      <c r="CU254" s="65">
        <f t="shared" si="215"/>
        <v>0</v>
      </c>
      <c r="CV254" s="65">
        <f t="shared" si="215"/>
        <v>0</v>
      </c>
      <c r="CW254" s="65">
        <f t="shared" si="215"/>
        <v>1</v>
      </c>
      <c r="CX254" s="65">
        <f t="shared" si="215"/>
        <v>0</v>
      </c>
      <c r="CY254" s="65">
        <f t="shared" si="215"/>
        <v>3121</v>
      </c>
      <c r="CZ254" s="65">
        <f t="shared" si="215"/>
        <v>2845</v>
      </c>
      <c r="DA254" s="65">
        <f t="shared" si="215"/>
        <v>276</v>
      </c>
      <c r="DB254" s="65">
        <f t="shared" si="215"/>
        <v>2251</v>
      </c>
      <c r="DC254" s="65">
        <f t="shared" si="215"/>
        <v>1462</v>
      </c>
      <c r="DD254" s="65">
        <f t="shared" si="215"/>
        <v>2014</v>
      </c>
      <c r="DE254" s="65">
        <f t="shared" si="215"/>
        <v>1773</v>
      </c>
      <c r="DF254" s="65">
        <f t="shared" si="215"/>
        <v>1491</v>
      </c>
      <c r="DG254" s="65">
        <f t="shared" si="215"/>
        <v>2001</v>
      </c>
      <c r="DH254" s="65">
        <f t="shared" si="215"/>
        <v>1821</v>
      </c>
      <c r="DI254" s="65">
        <f t="shared" si="215"/>
        <v>162</v>
      </c>
      <c r="DJ254" s="65">
        <f t="shared" si="215"/>
        <v>78</v>
      </c>
      <c r="DK254" s="65">
        <f t="shared" si="215"/>
        <v>189</v>
      </c>
      <c r="DL254" s="65">
        <f t="shared" si="215"/>
        <v>90</v>
      </c>
      <c r="DM254" s="65">
        <f t="shared" si="215"/>
        <v>79</v>
      </c>
      <c r="DN254" s="65">
        <f t="shared" si="215"/>
        <v>192</v>
      </c>
      <c r="DO254" s="65">
        <f t="shared" si="215"/>
        <v>95</v>
      </c>
      <c r="DP254" s="65">
        <f t="shared" si="215"/>
        <v>3121</v>
      </c>
      <c r="DQ254" s="65">
        <f t="shared" si="215"/>
        <v>3101</v>
      </c>
    </row>
    <row r="255" spans="1:126" s="7" customFormat="1" x14ac:dyDescent="0.2">
      <c r="B255" s="174"/>
      <c r="C255" s="27" t="s">
        <v>18</v>
      </c>
      <c r="D255" s="48"/>
      <c r="E255" s="136"/>
      <c r="F255" s="215"/>
      <c r="G255" s="65">
        <f>G43+G41+G35</f>
        <v>3</v>
      </c>
      <c r="H255" s="260">
        <v>12</v>
      </c>
      <c r="I255" s="65"/>
      <c r="J255" s="65">
        <f t="shared" ref="J255:BS255" si="216">J43+J41+J35</f>
        <v>73466</v>
      </c>
      <c r="K255" s="65">
        <f t="shared" si="216"/>
        <v>3429</v>
      </c>
      <c r="L255" s="65">
        <f t="shared" si="216"/>
        <v>0</v>
      </c>
      <c r="M255" s="65">
        <f t="shared" si="216"/>
        <v>1622</v>
      </c>
      <c r="N255" s="65">
        <f>N43+N41+N35</f>
        <v>165</v>
      </c>
      <c r="O255" s="65">
        <f t="shared" ref="O255:Q255" si="217">O43+O41+O35</f>
        <v>363</v>
      </c>
      <c r="P255" s="65">
        <f t="shared" si="217"/>
        <v>165</v>
      </c>
      <c r="Q255" s="65">
        <f t="shared" si="217"/>
        <v>311</v>
      </c>
      <c r="R255" s="65">
        <f t="shared" si="216"/>
        <v>9610.1</v>
      </c>
      <c r="S255" s="65">
        <f t="shared" si="216"/>
        <v>5310.8</v>
      </c>
      <c r="T255" s="65">
        <f t="shared" si="216"/>
        <v>160</v>
      </c>
      <c r="U255" s="65">
        <f t="shared" si="216"/>
        <v>9357.1</v>
      </c>
      <c r="V255" s="65">
        <f t="shared" si="216"/>
        <v>5153.95</v>
      </c>
      <c r="W255" s="65">
        <f t="shared" si="216"/>
        <v>5</v>
      </c>
      <c r="X255" s="65">
        <f t="shared" si="216"/>
        <v>253</v>
      </c>
      <c r="Y255" s="65">
        <f t="shared" si="216"/>
        <v>156.85</v>
      </c>
      <c r="Z255" s="65">
        <f t="shared" si="216"/>
        <v>0</v>
      </c>
      <c r="AA255" s="65">
        <f t="shared" si="216"/>
        <v>0</v>
      </c>
      <c r="AB255" s="65">
        <f t="shared" si="216"/>
        <v>0</v>
      </c>
      <c r="AC255" s="65">
        <f t="shared" si="216"/>
        <v>2115.1</v>
      </c>
      <c r="AD255" s="65">
        <f t="shared" si="216"/>
        <v>1545.3000000000002</v>
      </c>
      <c r="AE255" s="65">
        <f t="shared" si="216"/>
        <v>0</v>
      </c>
      <c r="AF255" s="65">
        <f t="shared" si="216"/>
        <v>1545.3000000000002</v>
      </c>
      <c r="AG255" s="65">
        <f t="shared" si="216"/>
        <v>569.79999999999995</v>
      </c>
      <c r="AH255" s="65">
        <f t="shared" si="216"/>
        <v>0</v>
      </c>
      <c r="AI255" s="65">
        <f t="shared" si="216"/>
        <v>11725.2</v>
      </c>
      <c r="AJ255" s="65">
        <f t="shared" si="216"/>
        <v>0</v>
      </c>
      <c r="AK255" s="65">
        <f t="shared" si="216"/>
        <v>6</v>
      </c>
      <c r="AL255" s="65">
        <f t="shared" si="216"/>
        <v>3</v>
      </c>
      <c r="AM255" s="65">
        <f t="shared" si="216"/>
        <v>3</v>
      </c>
      <c r="AN255" s="65">
        <f t="shared" si="216"/>
        <v>0</v>
      </c>
      <c r="AO255" s="65">
        <f t="shared" si="216"/>
        <v>3</v>
      </c>
      <c r="AP255" s="65">
        <f t="shared" si="216"/>
        <v>9900</v>
      </c>
      <c r="AQ255" s="65">
        <f t="shared" si="216"/>
        <v>15.25</v>
      </c>
      <c r="AR255" s="65">
        <f t="shared" si="216"/>
        <v>2225</v>
      </c>
      <c r="AS255" s="65">
        <f t="shared" si="216"/>
        <v>888</v>
      </c>
      <c r="AT255" s="65">
        <f t="shared" si="216"/>
        <v>117</v>
      </c>
      <c r="AU255" s="65">
        <f t="shared" si="216"/>
        <v>13170</v>
      </c>
      <c r="AV255" s="65">
        <f t="shared" si="216"/>
        <v>0</v>
      </c>
      <c r="AW255" s="65">
        <f t="shared" si="216"/>
        <v>13170</v>
      </c>
      <c r="AX255" s="65">
        <f t="shared" si="216"/>
        <v>0</v>
      </c>
      <c r="AY255" s="65">
        <f t="shared" si="216"/>
        <v>834</v>
      </c>
      <c r="AZ255" s="65">
        <f t="shared" si="216"/>
        <v>3280</v>
      </c>
      <c r="BA255" s="65">
        <f t="shared" si="216"/>
        <v>1652</v>
      </c>
      <c r="BB255" s="65">
        <f t="shared" si="216"/>
        <v>26</v>
      </c>
      <c r="BC255" s="65">
        <f t="shared" si="216"/>
        <v>258</v>
      </c>
      <c r="BD255" s="65">
        <f t="shared" si="216"/>
        <v>583</v>
      </c>
      <c r="BE255" s="65">
        <f t="shared" si="216"/>
        <v>1023</v>
      </c>
      <c r="BF255" s="65">
        <f t="shared" si="216"/>
        <v>3</v>
      </c>
      <c r="BG255" s="65">
        <f t="shared" si="216"/>
        <v>22800</v>
      </c>
      <c r="BH255" s="65">
        <f t="shared" si="216"/>
        <v>9810</v>
      </c>
      <c r="BI255" s="65">
        <f t="shared" si="216"/>
        <v>360</v>
      </c>
      <c r="BJ255" s="65">
        <f t="shared" si="216"/>
        <v>3</v>
      </c>
      <c r="BK255" s="65">
        <f t="shared" si="216"/>
        <v>9610.1</v>
      </c>
      <c r="BL255" s="65">
        <f t="shared" si="216"/>
        <v>5310.8</v>
      </c>
      <c r="BM255" s="65">
        <f t="shared" si="216"/>
        <v>0</v>
      </c>
      <c r="BN255" s="65">
        <f t="shared" si="216"/>
        <v>0</v>
      </c>
      <c r="BO255" s="65">
        <f t="shared" si="216"/>
        <v>0</v>
      </c>
      <c r="BP255" s="65">
        <f t="shared" si="216"/>
        <v>0</v>
      </c>
      <c r="BQ255" s="65">
        <f t="shared" si="216"/>
        <v>0</v>
      </c>
      <c r="BR255" s="65">
        <f t="shared" si="216"/>
        <v>0</v>
      </c>
      <c r="BS255" s="65">
        <f t="shared" si="216"/>
        <v>0</v>
      </c>
      <c r="BT255" s="65">
        <f t="shared" ref="BT255:CH255" si="218">BT43+BT41+BT35</f>
        <v>3</v>
      </c>
      <c r="BU255" s="65">
        <f t="shared" si="218"/>
        <v>1652</v>
      </c>
      <c r="BV255" s="65">
        <f t="shared" si="218"/>
        <v>11004</v>
      </c>
      <c r="BW255" s="65">
        <f t="shared" si="218"/>
        <v>0</v>
      </c>
      <c r="BX255" s="65">
        <f t="shared" si="218"/>
        <v>9900</v>
      </c>
      <c r="BY255" s="65">
        <f t="shared" si="218"/>
        <v>5452.7000000000007</v>
      </c>
      <c r="BZ255" s="65">
        <f t="shared" si="218"/>
        <v>3421.6</v>
      </c>
      <c r="CA255" s="65">
        <f t="shared" si="218"/>
        <v>5802</v>
      </c>
      <c r="CB255" s="65">
        <f t="shared" si="218"/>
        <v>2373</v>
      </c>
      <c r="CC255" s="65">
        <f t="shared" si="218"/>
        <v>0</v>
      </c>
      <c r="CD255" s="65">
        <f t="shared" si="218"/>
        <v>0</v>
      </c>
      <c r="CE255" s="65">
        <f t="shared" si="218"/>
        <v>3</v>
      </c>
      <c r="CF255" s="65">
        <f t="shared" si="218"/>
        <v>13170</v>
      </c>
      <c r="CG255" s="65">
        <f t="shared" si="218"/>
        <v>3</v>
      </c>
      <c r="CH255" s="65">
        <f t="shared" si="218"/>
        <v>13170</v>
      </c>
      <c r="CI255" s="304">
        <f t="shared" ref="CI255:CK255" si="219">CI105+CI110+CI112</f>
        <v>172</v>
      </c>
      <c r="CJ255" s="287">
        <f t="shared" si="219"/>
        <v>0</v>
      </c>
      <c r="CK255" s="287">
        <f t="shared" si="219"/>
        <v>0</v>
      </c>
      <c r="CL255" s="224"/>
      <c r="CM255" s="287">
        <f t="shared" ref="CM255:CN255" si="220">CM105+CM110+CM112</f>
        <v>0</v>
      </c>
      <c r="CN255" s="287">
        <f t="shared" si="220"/>
        <v>0</v>
      </c>
      <c r="CO255" s="224"/>
      <c r="CP255" s="65">
        <f t="shared" ref="CP255:DQ255" si="221">CP105+CP110+CP112</f>
        <v>3</v>
      </c>
      <c r="CQ255" s="65">
        <f t="shared" si="221"/>
        <v>0</v>
      </c>
      <c r="CR255" s="65">
        <f t="shared" si="221"/>
        <v>0</v>
      </c>
      <c r="CS255" s="65">
        <f t="shared" si="221"/>
        <v>0</v>
      </c>
      <c r="CT255" s="65">
        <f t="shared" si="221"/>
        <v>3</v>
      </c>
      <c r="CU255" s="65">
        <f t="shared" si="221"/>
        <v>0</v>
      </c>
      <c r="CV255" s="65">
        <f t="shared" si="221"/>
        <v>0</v>
      </c>
      <c r="CW255" s="65">
        <f t="shared" si="221"/>
        <v>0</v>
      </c>
      <c r="CX255" s="65">
        <f t="shared" si="221"/>
        <v>0</v>
      </c>
      <c r="CY255" s="65">
        <f t="shared" si="221"/>
        <v>155</v>
      </c>
      <c r="CZ255" s="65">
        <f t="shared" si="221"/>
        <v>134</v>
      </c>
      <c r="DA255" s="65">
        <f t="shared" si="221"/>
        <v>21</v>
      </c>
      <c r="DB255" s="65">
        <f t="shared" si="221"/>
        <v>102</v>
      </c>
      <c r="DC255" s="65">
        <f t="shared" si="221"/>
        <v>74</v>
      </c>
      <c r="DD255" s="65">
        <f t="shared" si="221"/>
        <v>102</v>
      </c>
      <c r="DE255" s="65">
        <f t="shared" si="221"/>
        <v>91</v>
      </c>
      <c r="DF255" s="65">
        <f t="shared" si="221"/>
        <v>73</v>
      </c>
      <c r="DG255" s="65">
        <f t="shared" si="221"/>
        <v>104</v>
      </c>
      <c r="DH255" s="65">
        <f t="shared" si="221"/>
        <v>89</v>
      </c>
      <c r="DI255" s="65">
        <f t="shared" si="221"/>
        <v>10</v>
      </c>
      <c r="DJ255" s="65">
        <f t="shared" si="221"/>
        <v>4</v>
      </c>
      <c r="DK255" s="65">
        <f t="shared" si="221"/>
        <v>9</v>
      </c>
      <c r="DL255" s="65">
        <f t="shared" si="221"/>
        <v>4</v>
      </c>
      <c r="DM255" s="65">
        <f t="shared" si="221"/>
        <v>4</v>
      </c>
      <c r="DN255" s="65">
        <f t="shared" si="221"/>
        <v>9</v>
      </c>
      <c r="DO255" s="65">
        <f t="shared" si="221"/>
        <v>4</v>
      </c>
      <c r="DP255" s="65">
        <f t="shared" si="221"/>
        <v>155</v>
      </c>
      <c r="DQ255" s="65">
        <f t="shared" si="221"/>
        <v>155</v>
      </c>
      <c r="DV255" s="280"/>
    </row>
    <row r="256" spans="1:126" s="7" customFormat="1" x14ac:dyDescent="0.2">
      <c r="B256" s="174"/>
      <c r="C256" s="27" t="s">
        <v>315</v>
      </c>
      <c r="D256" s="19"/>
      <c r="E256" s="15"/>
      <c r="F256" s="184"/>
      <c r="G256" s="65">
        <f>G147+G139+G137+G134+G95+G94+G90+G88+G86+G85+G84+G83+G47+G44+G37+G34+G32+G20+G19+G18+G17+G16+G15+G14+G13</f>
        <v>25</v>
      </c>
      <c r="H256" s="262">
        <v>5</v>
      </c>
      <c r="I256" s="65"/>
      <c r="J256" s="65">
        <f t="shared" ref="J256:BS256" si="222">J147+J139+J137+J134+J95+J94+J90+J88+J86+J85+J84+J83+J47+J44+J37+J34+J32+J20+J19+J18+J17+J16+J15+J14+J13</f>
        <v>812732</v>
      </c>
      <c r="K256" s="65">
        <f t="shared" si="222"/>
        <v>48516</v>
      </c>
      <c r="L256" s="65">
        <f t="shared" si="222"/>
        <v>57683.53</v>
      </c>
      <c r="M256" s="65">
        <f t="shared" si="222"/>
        <v>0</v>
      </c>
      <c r="N256" s="65">
        <f t="shared" si="222"/>
        <v>2087</v>
      </c>
      <c r="O256" s="65">
        <f t="shared" si="222"/>
        <v>5129</v>
      </c>
      <c r="P256" s="65">
        <f t="shared" si="222"/>
        <v>2102</v>
      </c>
      <c r="Q256" s="65">
        <f t="shared" si="222"/>
        <v>3848</v>
      </c>
      <c r="R256" s="65">
        <f t="shared" si="222"/>
        <v>143129.25</v>
      </c>
      <c r="S256" s="65">
        <f t="shared" si="222"/>
        <v>84951.829999999973</v>
      </c>
      <c r="T256" s="65">
        <f t="shared" si="222"/>
        <v>1741</v>
      </c>
      <c r="U256" s="65">
        <f t="shared" si="222"/>
        <v>118783.13000000002</v>
      </c>
      <c r="V256" s="65">
        <f t="shared" si="222"/>
        <v>69986.100000000006</v>
      </c>
      <c r="W256" s="65">
        <f t="shared" si="222"/>
        <v>343</v>
      </c>
      <c r="X256" s="65">
        <f t="shared" si="222"/>
        <v>24138.320000000003</v>
      </c>
      <c r="Y256" s="65">
        <f t="shared" si="222"/>
        <v>14965.73</v>
      </c>
      <c r="Z256" s="65">
        <f t="shared" si="222"/>
        <v>3</v>
      </c>
      <c r="AA256" s="65">
        <f t="shared" si="222"/>
        <v>207.8</v>
      </c>
      <c r="AB256" s="65">
        <f t="shared" si="222"/>
        <v>0</v>
      </c>
      <c r="AC256" s="65">
        <f t="shared" si="222"/>
        <v>33346.959999999992</v>
      </c>
      <c r="AD256" s="65">
        <f t="shared" si="222"/>
        <v>13802.960000000001</v>
      </c>
      <c r="AE256" s="65">
        <f t="shared" si="222"/>
        <v>0</v>
      </c>
      <c r="AF256" s="65">
        <f t="shared" si="222"/>
        <v>13802.960000000001</v>
      </c>
      <c r="AG256" s="65">
        <f t="shared" si="222"/>
        <v>17268.900000000001</v>
      </c>
      <c r="AH256" s="65">
        <f t="shared" si="222"/>
        <v>2275.1</v>
      </c>
      <c r="AI256" s="65">
        <f t="shared" si="222"/>
        <v>176476.20999999993</v>
      </c>
      <c r="AJ256" s="65">
        <f t="shared" si="222"/>
        <v>20</v>
      </c>
      <c r="AK256" s="65">
        <f t="shared" si="222"/>
        <v>0</v>
      </c>
      <c r="AL256" s="65">
        <f t="shared" si="222"/>
        <v>119</v>
      </c>
      <c r="AM256" s="65">
        <f t="shared" si="222"/>
        <v>2</v>
      </c>
      <c r="AN256" s="65">
        <f t="shared" si="222"/>
        <v>5</v>
      </c>
      <c r="AO256" s="65">
        <f t="shared" si="222"/>
        <v>34</v>
      </c>
      <c r="AP256" s="65">
        <f t="shared" si="222"/>
        <v>121809.76</v>
      </c>
      <c r="AQ256" s="65">
        <f t="shared" si="222"/>
        <v>1652.125</v>
      </c>
      <c r="AR256" s="65">
        <f t="shared" si="222"/>
        <v>11458</v>
      </c>
      <c r="AS256" s="65">
        <f t="shared" si="222"/>
        <v>10889.34</v>
      </c>
      <c r="AT256" s="65">
        <f t="shared" si="222"/>
        <v>2540</v>
      </c>
      <c r="AU256" s="65">
        <f t="shared" si="222"/>
        <v>122028</v>
      </c>
      <c r="AV256" s="65">
        <f t="shared" si="222"/>
        <v>1746</v>
      </c>
      <c r="AW256" s="65">
        <f t="shared" si="222"/>
        <v>120282</v>
      </c>
      <c r="AX256" s="65">
        <f t="shared" si="222"/>
        <v>0</v>
      </c>
      <c r="AY256" s="65">
        <f t="shared" si="222"/>
        <v>3501</v>
      </c>
      <c r="AZ256" s="65">
        <f t="shared" si="222"/>
        <v>48390</v>
      </c>
      <c r="BA256" s="65">
        <f t="shared" si="222"/>
        <v>48706</v>
      </c>
      <c r="BB256" s="65">
        <f t="shared" si="222"/>
        <v>495</v>
      </c>
      <c r="BC256" s="65">
        <f t="shared" si="222"/>
        <v>249</v>
      </c>
      <c r="BD256" s="65">
        <f t="shared" si="222"/>
        <v>8243</v>
      </c>
      <c r="BE256" s="65">
        <f t="shared" si="222"/>
        <v>9169</v>
      </c>
      <c r="BF256" s="65">
        <f t="shared" si="222"/>
        <v>12</v>
      </c>
      <c r="BG256" s="65">
        <f t="shared" si="222"/>
        <v>162821.79999999999</v>
      </c>
      <c r="BH256" s="65">
        <f t="shared" si="222"/>
        <v>8300.4</v>
      </c>
      <c r="BI256" s="65">
        <f t="shared" si="222"/>
        <v>0</v>
      </c>
      <c r="BJ256" s="65">
        <f t="shared" si="222"/>
        <v>25</v>
      </c>
      <c r="BK256" s="65">
        <f t="shared" si="222"/>
        <v>143129.25</v>
      </c>
      <c r="BL256" s="65">
        <f t="shared" si="222"/>
        <v>84951.829999999973</v>
      </c>
      <c r="BM256" s="65">
        <f t="shared" si="222"/>
        <v>0</v>
      </c>
      <c r="BN256" s="65">
        <f t="shared" si="222"/>
        <v>0</v>
      </c>
      <c r="BO256" s="65">
        <f t="shared" si="222"/>
        <v>0</v>
      </c>
      <c r="BP256" s="65">
        <f t="shared" si="222"/>
        <v>0</v>
      </c>
      <c r="BQ256" s="65">
        <f t="shared" si="222"/>
        <v>0</v>
      </c>
      <c r="BR256" s="65">
        <f t="shared" si="222"/>
        <v>0</v>
      </c>
      <c r="BS256" s="65">
        <f t="shared" si="222"/>
        <v>0</v>
      </c>
      <c r="BT256" s="65">
        <f t="shared" ref="BT256:CH256" si="223">BT147+BT139+BT137+BT134+BT95+BT94+BT90+BT88+BT86+BT85+BT84+BT83+BT47+BT44+BT37+BT34+BT32+BT20+BT19+BT18+BT17+BT16+BT15+BT14+BT13</f>
        <v>60</v>
      </c>
      <c r="BU256" s="65">
        <f t="shared" si="223"/>
        <v>47980</v>
      </c>
      <c r="BV256" s="65">
        <f t="shared" si="223"/>
        <v>103605</v>
      </c>
      <c r="BW256" s="65">
        <f t="shared" si="223"/>
        <v>36</v>
      </c>
      <c r="BX256" s="65">
        <f t="shared" si="223"/>
        <v>121809.76</v>
      </c>
      <c r="BY256" s="65">
        <f t="shared" si="223"/>
        <v>64750.37999999999</v>
      </c>
      <c r="BZ256" s="65">
        <f t="shared" si="223"/>
        <v>15583.669999999998</v>
      </c>
      <c r="CA256" s="65">
        <f t="shared" si="223"/>
        <v>112151</v>
      </c>
      <c r="CB256" s="65">
        <f t="shared" si="223"/>
        <v>63635</v>
      </c>
      <c r="CC256" s="65">
        <f t="shared" si="223"/>
        <v>1</v>
      </c>
      <c r="CD256" s="65">
        <f t="shared" si="223"/>
        <v>1746</v>
      </c>
      <c r="CE256" s="65">
        <f t="shared" si="223"/>
        <v>24</v>
      </c>
      <c r="CF256" s="65">
        <f t="shared" si="223"/>
        <v>120282</v>
      </c>
      <c r="CG256" s="65">
        <f t="shared" si="223"/>
        <v>25</v>
      </c>
      <c r="CH256" s="65">
        <f t="shared" si="223"/>
        <v>122028</v>
      </c>
      <c r="CI256" s="304">
        <f t="shared" ref="CI256" si="224">CI79+CI80+CI83+CI84+CI85+CI86+CI87+CI88+CI98+CI104+CI107+CI113+CI116+CI126+CI127+CI128+CI129+CI131+CI133+CI134+CI135+CI142+CI153+CI154</f>
        <v>1149</v>
      </c>
      <c r="CJ256" s="287">
        <f t="shared" ref="CJ256:CK256" si="225">CJ79+CJ80+CJ83+CJ84+CJ85+CJ86+CJ87+CJ88+CJ98+CJ104+CJ107+CJ113+CJ116+CJ126+CJ127+CJ128+CJ129+CJ131+CJ133+CJ134+CJ135+CJ142+CJ153+CJ154+CJ163</f>
        <v>0</v>
      </c>
      <c r="CK256" s="287">
        <f t="shared" si="225"/>
        <v>0</v>
      </c>
      <c r="CL256" s="224"/>
      <c r="CM256" s="287">
        <f t="shared" ref="CM256:CN256" si="226">CM79+CM80+CM83+CM84+CM85+CM86+CM87+CM88+CM98+CM104+CM107+CM113+CM116+CM126+CM127+CM128+CM129+CM131+CM133+CM134+CM135+CM142+CM153+CM154+CM163</f>
        <v>0</v>
      </c>
      <c r="CN256" s="287">
        <f t="shared" si="226"/>
        <v>0</v>
      </c>
      <c r="CO256" s="224"/>
      <c r="CP256" s="65">
        <f t="shared" ref="CP256:DQ256" si="227">CP79+CP80+CP83+CP84+CP85+CP86+CP87+CP88+CP98+CP104+CP107+CP113+CP116+CP126+CP127+CP128+CP129+CP131+CP133+CP134+CP135+CP142+CP153+CP154+CP163</f>
        <v>25</v>
      </c>
      <c r="CQ256" s="65">
        <f t="shared" si="227"/>
        <v>0</v>
      </c>
      <c r="CR256" s="65">
        <f t="shared" si="227"/>
        <v>0</v>
      </c>
      <c r="CS256" s="65">
        <f t="shared" si="227"/>
        <v>0</v>
      </c>
      <c r="CT256" s="65">
        <f t="shared" si="227"/>
        <v>47</v>
      </c>
      <c r="CU256" s="65">
        <f t="shared" si="227"/>
        <v>0</v>
      </c>
      <c r="CV256" s="65">
        <f t="shared" si="227"/>
        <v>0</v>
      </c>
      <c r="CW256" s="65">
        <f t="shared" si="227"/>
        <v>0</v>
      </c>
      <c r="CX256" s="65">
        <f t="shared" si="227"/>
        <v>0</v>
      </c>
      <c r="CY256" s="65">
        <f t="shared" si="227"/>
        <v>2415</v>
      </c>
      <c r="CZ256" s="65">
        <f t="shared" si="227"/>
        <v>2226</v>
      </c>
      <c r="DA256" s="65">
        <f t="shared" si="227"/>
        <v>189</v>
      </c>
      <c r="DB256" s="65">
        <f t="shared" si="227"/>
        <v>1740</v>
      </c>
      <c r="DC256" s="65">
        <f t="shared" si="227"/>
        <v>1120</v>
      </c>
      <c r="DD256" s="65">
        <f t="shared" si="227"/>
        <v>1509</v>
      </c>
      <c r="DE256" s="65">
        <f t="shared" si="227"/>
        <v>1419</v>
      </c>
      <c r="DF256" s="65">
        <f t="shared" si="227"/>
        <v>1129</v>
      </c>
      <c r="DG256" s="65">
        <f t="shared" si="227"/>
        <v>1495</v>
      </c>
      <c r="DH256" s="65">
        <f t="shared" si="227"/>
        <v>1442</v>
      </c>
      <c r="DI256" s="65">
        <f t="shared" si="227"/>
        <v>107</v>
      </c>
      <c r="DJ256" s="65">
        <f t="shared" si="227"/>
        <v>56</v>
      </c>
      <c r="DK256" s="65">
        <f t="shared" si="227"/>
        <v>162</v>
      </c>
      <c r="DL256" s="65">
        <f t="shared" si="227"/>
        <v>65</v>
      </c>
      <c r="DM256" s="65">
        <f t="shared" si="227"/>
        <v>56</v>
      </c>
      <c r="DN256" s="65">
        <f t="shared" si="227"/>
        <v>161</v>
      </c>
      <c r="DO256" s="65">
        <f t="shared" si="227"/>
        <v>65</v>
      </c>
      <c r="DP256" s="65">
        <f t="shared" si="227"/>
        <v>2415</v>
      </c>
      <c r="DQ256" s="65">
        <f t="shared" si="227"/>
        <v>2388</v>
      </c>
    </row>
    <row r="257" spans="2:121" s="7" customFormat="1" x14ac:dyDescent="0.2">
      <c r="B257" s="174"/>
      <c r="C257" s="245" t="s">
        <v>337</v>
      </c>
      <c r="D257" s="19"/>
      <c r="E257" s="24"/>
      <c r="F257" s="174"/>
      <c r="G257" s="63"/>
      <c r="H257" s="268">
        <v>9</v>
      </c>
      <c r="I257" s="66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118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6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39"/>
      <c r="BT257" s="39"/>
      <c r="BU257" s="39"/>
      <c r="BV257" s="39"/>
      <c r="BW257" s="39"/>
      <c r="BX257" s="63"/>
      <c r="BY257" s="84"/>
      <c r="BZ257" s="84"/>
      <c r="CI257" s="299"/>
      <c r="CL257" s="222"/>
      <c r="CO257" s="222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  <c r="DF257" s="239"/>
      <c r="DG257" s="239"/>
      <c r="DH257" s="239"/>
      <c r="DI257" s="239"/>
      <c r="DJ257" s="239"/>
      <c r="DK257" s="239"/>
      <c r="DL257" s="239"/>
      <c r="DM257" s="239"/>
      <c r="DN257" s="239"/>
      <c r="DO257" s="239"/>
      <c r="DP257" s="239"/>
      <c r="DQ257" s="239"/>
    </row>
    <row r="258" spans="2:121" ht="20.25" x14ac:dyDescent="0.2">
      <c r="C258" s="245" t="s">
        <v>338</v>
      </c>
      <c r="D258" s="29"/>
      <c r="E258" s="31"/>
      <c r="F258" s="133"/>
      <c r="G258" s="68"/>
      <c r="H258" s="262">
        <v>5</v>
      </c>
      <c r="I258" s="31"/>
      <c r="N258" s="81"/>
      <c r="O258" s="81"/>
      <c r="R258" s="3"/>
      <c r="S258" s="32"/>
      <c r="U258" s="33"/>
      <c r="V258" s="33"/>
      <c r="AD258" s="32"/>
      <c r="BJ258" s="82"/>
      <c r="BK258" s="82"/>
      <c r="BL258" s="82"/>
      <c r="BM258" s="82"/>
      <c r="BN258" s="82"/>
      <c r="BO258" s="82"/>
      <c r="BP258" s="82"/>
      <c r="BQ258" s="82"/>
      <c r="CI258" s="290"/>
      <c r="CM258" s="3"/>
      <c r="CN258" s="3"/>
    </row>
    <row r="259" spans="2:121" x14ac:dyDescent="0.2">
      <c r="C259" s="27" t="s">
        <v>343</v>
      </c>
      <c r="D259" s="29"/>
      <c r="E259" s="31"/>
      <c r="F259" s="133"/>
      <c r="G259" s="257">
        <f>G124+G117+G110+G111</f>
        <v>4</v>
      </c>
      <c r="H259" s="262">
        <v>5</v>
      </c>
      <c r="I259" s="257"/>
      <c r="J259" s="257">
        <f t="shared" ref="J259:BS259" si="228">J124+J117+J110+J111</f>
        <v>57932</v>
      </c>
      <c r="K259" s="257">
        <f t="shared" si="228"/>
        <v>4448</v>
      </c>
      <c r="L259" s="257">
        <f t="shared" si="228"/>
        <v>3158</v>
      </c>
      <c r="M259" s="257">
        <f t="shared" si="228"/>
        <v>962</v>
      </c>
      <c r="N259" s="257">
        <f t="shared" si="228"/>
        <v>208</v>
      </c>
      <c r="O259" s="257">
        <f t="shared" si="228"/>
        <v>429</v>
      </c>
      <c r="P259" s="257">
        <f t="shared" si="228"/>
        <v>208</v>
      </c>
      <c r="Q259" s="257">
        <f>Q124+Q117+Q110+Q111</f>
        <v>438</v>
      </c>
      <c r="R259" s="257">
        <f t="shared" si="228"/>
        <v>11212.11</v>
      </c>
      <c r="S259" s="257">
        <f t="shared" si="228"/>
        <v>6105.4500000000007</v>
      </c>
      <c r="T259" s="257">
        <f t="shared" si="228"/>
        <v>197</v>
      </c>
      <c r="U259" s="257">
        <f t="shared" si="228"/>
        <v>10655.45</v>
      </c>
      <c r="V259" s="257">
        <f t="shared" si="228"/>
        <v>5772.73</v>
      </c>
      <c r="W259" s="257">
        <f t="shared" si="228"/>
        <v>11</v>
      </c>
      <c r="X259" s="257">
        <f t="shared" si="228"/>
        <v>556.66</v>
      </c>
      <c r="Y259" s="257">
        <f t="shared" si="228"/>
        <v>332.72</v>
      </c>
      <c r="Z259" s="257">
        <f t="shared" si="228"/>
        <v>0</v>
      </c>
      <c r="AA259" s="257">
        <f t="shared" si="228"/>
        <v>0</v>
      </c>
      <c r="AB259" s="257">
        <f t="shared" si="228"/>
        <v>0</v>
      </c>
      <c r="AC259" s="257">
        <f t="shared" si="228"/>
        <v>54.7</v>
      </c>
      <c r="AD259" s="257">
        <f t="shared" si="228"/>
        <v>0</v>
      </c>
      <c r="AE259" s="257">
        <f t="shared" si="228"/>
        <v>0</v>
      </c>
      <c r="AF259" s="257">
        <f t="shared" si="228"/>
        <v>0</v>
      </c>
      <c r="AG259" s="257">
        <f t="shared" si="228"/>
        <v>54.7</v>
      </c>
      <c r="AH259" s="257">
        <f t="shared" si="228"/>
        <v>0</v>
      </c>
      <c r="AI259" s="257">
        <f t="shared" si="228"/>
        <v>11266.810000000001</v>
      </c>
      <c r="AJ259" s="257">
        <f t="shared" si="228"/>
        <v>0</v>
      </c>
      <c r="AK259" s="257">
        <f t="shared" si="228"/>
        <v>0</v>
      </c>
      <c r="AL259" s="257">
        <f t="shared" si="228"/>
        <v>11</v>
      </c>
      <c r="AM259" s="257">
        <f t="shared" si="228"/>
        <v>11</v>
      </c>
      <c r="AN259" s="257">
        <f t="shared" si="228"/>
        <v>3</v>
      </c>
      <c r="AO259" s="257">
        <f t="shared" si="228"/>
        <v>4</v>
      </c>
      <c r="AP259" s="257">
        <f t="shared" si="228"/>
        <v>10016</v>
      </c>
      <c r="AQ259" s="257">
        <f t="shared" si="228"/>
        <v>0</v>
      </c>
      <c r="AR259" s="257">
        <f t="shared" si="228"/>
        <v>1717</v>
      </c>
      <c r="AS259" s="257">
        <f t="shared" si="228"/>
        <v>1466</v>
      </c>
      <c r="AT259" s="257">
        <f t="shared" si="228"/>
        <v>350</v>
      </c>
      <c r="AU259" s="257">
        <f t="shared" si="228"/>
        <v>15110</v>
      </c>
      <c r="AV259" s="257">
        <f t="shared" si="228"/>
        <v>0</v>
      </c>
      <c r="AW259" s="257">
        <f t="shared" si="228"/>
        <v>15110</v>
      </c>
      <c r="AX259" s="257">
        <f t="shared" si="228"/>
        <v>0</v>
      </c>
      <c r="AY259" s="257">
        <f t="shared" si="228"/>
        <v>722</v>
      </c>
      <c r="AZ259" s="257">
        <f t="shared" si="228"/>
        <v>4314</v>
      </c>
      <c r="BA259" s="257">
        <f t="shared" si="228"/>
        <v>4314</v>
      </c>
      <c r="BB259" s="257">
        <f t="shared" si="228"/>
        <v>20</v>
      </c>
      <c r="BC259" s="257">
        <f t="shared" si="228"/>
        <v>38</v>
      </c>
      <c r="BD259" s="257">
        <f t="shared" si="228"/>
        <v>507</v>
      </c>
      <c r="BE259" s="257">
        <f t="shared" si="228"/>
        <v>209</v>
      </c>
      <c r="BF259" s="257">
        <f t="shared" si="228"/>
        <v>3</v>
      </c>
      <c r="BG259" s="257">
        <f t="shared" si="228"/>
        <v>17172</v>
      </c>
      <c r="BH259" s="257">
        <f t="shared" si="228"/>
        <v>1400</v>
      </c>
      <c r="BI259" s="257">
        <f t="shared" si="228"/>
        <v>0</v>
      </c>
      <c r="BJ259" s="257">
        <f t="shared" si="228"/>
        <v>4</v>
      </c>
      <c r="BK259" s="257">
        <f t="shared" si="228"/>
        <v>11212.11</v>
      </c>
      <c r="BL259" s="257">
        <f t="shared" si="228"/>
        <v>6105.4500000000007</v>
      </c>
      <c r="BM259" s="257">
        <f t="shared" si="228"/>
        <v>0</v>
      </c>
      <c r="BN259" s="257">
        <f t="shared" si="228"/>
        <v>0</v>
      </c>
      <c r="BO259" s="257">
        <f t="shared" si="228"/>
        <v>0</v>
      </c>
      <c r="BP259" s="257">
        <f t="shared" si="228"/>
        <v>0</v>
      </c>
      <c r="BQ259" s="257">
        <f t="shared" si="228"/>
        <v>0</v>
      </c>
      <c r="BR259" s="257">
        <f t="shared" si="228"/>
        <v>0</v>
      </c>
      <c r="BS259" s="257">
        <f t="shared" si="228"/>
        <v>0</v>
      </c>
      <c r="BT259" s="257">
        <f t="shared" ref="BT259:CH259" si="229">BT124+BT117+BT110+BT111</f>
        <v>3</v>
      </c>
      <c r="BU259" s="257">
        <f t="shared" si="229"/>
        <v>3504</v>
      </c>
      <c r="BV259" s="257">
        <f t="shared" si="229"/>
        <v>8042</v>
      </c>
      <c r="BW259" s="257">
        <f t="shared" si="229"/>
        <v>0</v>
      </c>
      <c r="BX259" s="257">
        <f t="shared" si="229"/>
        <v>10016</v>
      </c>
      <c r="BY259" s="257">
        <f t="shared" si="229"/>
        <v>6009.880000000001</v>
      </c>
      <c r="BZ259" s="257">
        <f t="shared" si="229"/>
        <v>2100.4899999999998</v>
      </c>
      <c r="CA259" s="257">
        <f t="shared" si="229"/>
        <v>9381</v>
      </c>
      <c r="CB259" s="257">
        <f t="shared" si="229"/>
        <v>4933</v>
      </c>
      <c r="CC259" s="257">
        <f t="shared" si="229"/>
        <v>0</v>
      </c>
      <c r="CD259" s="257">
        <f t="shared" si="229"/>
        <v>0</v>
      </c>
      <c r="CE259" s="257">
        <f t="shared" si="229"/>
        <v>4</v>
      </c>
      <c r="CF259" s="257">
        <f t="shared" si="229"/>
        <v>15110</v>
      </c>
      <c r="CG259" s="257">
        <f t="shared" si="229"/>
        <v>4</v>
      </c>
      <c r="CH259" s="257">
        <f t="shared" si="229"/>
        <v>15110</v>
      </c>
      <c r="CI259" s="290">
        <f t="shared" ref="CI259:CK259" si="230">CI54+CI137+CI138+CI139</f>
        <v>204</v>
      </c>
      <c r="CJ259" s="3">
        <f t="shared" si="230"/>
        <v>0</v>
      </c>
      <c r="CK259" s="3">
        <f t="shared" si="230"/>
        <v>0</v>
      </c>
      <c r="CL259" s="224"/>
      <c r="CM259" s="3">
        <f t="shared" ref="CM259:CN259" si="231">CM54+CM137+CM138+CM139</f>
        <v>0</v>
      </c>
      <c r="CN259" s="3">
        <f t="shared" si="231"/>
        <v>0</v>
      </c>
      <c r="CO259" s="224"/>
      <c r="CP259" s="237">
        <f t="shared" ref="CP259:DQ259" si="232">CP54+CP137+CP138+CP139</f>
        <v>4</v>
      </c>
      <c r="CQ259" s="238">
        <f t="shared" si="232"/>
        <v>0</v>
      </c>
      <c r="CR259" s="238">
        <f t="shared" si="232"/>
        <v>0</v>
      </c>
      <c r="CS259" s="238">
        <f t="shared" si="232"/>
        <v>0</v>
      </c>
      <c r="CT259" s="238">
        <f t="shared" si="232"/>
        <v>5</v>
      </c>
      <c r="CU259" s="238">
        <f t="shared" si="232"/>
        <v>0</v>
      </c>
      <c r="CV259" s="238">
        <f t="shared" si="232"/>
        <v>0</v>
      </c>
      <c r="CW259" s="238">
        <f t="shared" si="232"/>
        <v>0</v>
      </c>
      <c r="CX259" s="238">
        <f t="shared" si="232"/>
        <v>0</v>
      </c>
      <c r="CY259" s="238">
        <f t="shared" si="232"/>
        <v>271</v>
      </c>
      <c r="CZ259" s="238">
        <f t="shared" si="232"/>
        <v>242</v>
      </c>
      <c r="DA259" s="238">
        <f t="shared" si="232"/>
        <v>29</v>
      </c>
      <c r="DB259" s="238">
        <f t="shared" si="232"/>
        <v>194</v>
      </c>
      <c r="DC259" s="238">
        <f t="shared" si="232"/>
        <v>113</v>
      </c>
      <c r="DD259" s="238">
        <f t="shared" si="232"/>
        <v>179</v>
      </c>
      <c r="DE259" s="238">
        <f t="shared" si="232"/>
        <v>151</v>
      </c>
      <c r="DF259" s="238">
        <f t="shared" si="232"/>
        <v>126</v>
      </c>
      <c r="DG259" s="238">
        <f t="shared" si="232"/>
        <v>161</v>
      </c>
      <c r="DH259" s="238">
        <f t="shared" si="232"/>
        <v>175</v>
      </c>
      <c r="DI259" s="238">
        <f t="shared" si="232"/>
        <v>19</v>
      </c>
      <c r="DJ259" s="238">
        <f t="shared" si="232"/>
        <v>6</v>
      </c>
      <c r="DK259" s="238">
        <f t="shared" si="232"/>
        <v>35</v>
      </c>
      <c r="DL259" s="238">
        <f t="shared" si="232"/>
        <v>6</v>
      </c>
      <c r="DM259" s="238">
        <f t="shared" si="232"/>
        <v>6</v>
      </c>
      <c r="DN259" s="238">
        <f t="shared" si="232"/>
        <v>35</v>
      </c>
      <c r="DO259" s="238">
        <f t="shared" si="232"/>
        <v>6</v>
      </c>
      <c r="DP259" s="238">
        <f t="shared" si="232"/>
        <v>271</v>
      </c>
      <c r="DQ259" s="238">
        <f t="shared" si="232"/>
        <v>267</v>
      </c>
    </row>
    <row r="260" spans="2:121" x14ac:dyDescent="0.2">
      <c r="D260" s="29"/>
      <c r="E260" s="31"/>
      <c r="F260" s="133"/>
      <c r="H260" s="31"/>
      <c r="I260" s="31"/>
      <c r="R260" s="29"/>
      <c r="S260" s="32"/>
      <c r="U260" s="33"/>
      <c r="V260" s="33"/>
      <c r="W260" s="68"/>
      <c r="X260" s="68"/>
      <c r="AD260" s="32"/>
      <c r="BJ260" s="29"/>
      <c r="BK260" s="29"/>
      <c r="BM260" s="29"/>
      <c r="BN260" s="29"/>
    </row>
    <row r="261" spans="2:121" x14ac:dyDescent="0.2">
      <c r="D261" s="29"/>
      <c r="E261" s="31"/>
      <c r="F261" s="133"/>
      <c r="H261" s="31"/>
      <c r="I261" s="31"/>
      <c r="R261" s="32"/>
      <c r="S261" s="32"/>
      <c r="U261" s="33"/>
      <c r="V261" s="33"/>
      <c r="AD261" s="32"/>
    </row>
    <row r="262" spans="2:121" x14ac:dyDescent="0.2">
      <c r="D262" s="29"/>
      <c r="E262" s="31"/>
      <c r="F262" s="133"/>
      <c r="H262" s="260"/>
      <c r="I262" s="31"/>
      <c r="R262" s="32"/>
      <c r="S262" s="32"/>
      <c r="U262" s="33"/>
      <c r="V262" s="33"/>
      <c r="AD262" s="32"/>
    </row>
    <row r="263" spans="2:121" x14ac:dyDescent="0.2">
      <c r="D263" s="29"/>
      <c r="E263" s="31"/>
      <c r="F263" s="133"/>
      <c r="H263" s="31"/>
      <c r="I263" s="31"/>
      <c r="R263" s="32"/>
      <c r="S263" s="32"/>
      <c r="U263" s="33"/>
      <c r="V263" s="33"/>
      <c r="AD263" s="32"/>
    </row>
    <row r="264" spans="2:121" x14ac:dyDescent="0.2">
      <c r="D264" s="29"/>
      <c r="E264" s="31"/>
      <c r="F264" s="133"/>
      <c r="H264" s="31"/>
      <c r="I264" s="31"/>
      <c r="R264" s="32"/>
      <c r="S264" s="32"/>
      <c r="U264" s="33"/>
      <c r="V264" s="33"/>
      <c r="AD264" s="32"/>
    </row>
    <row r="265" spans="2:121" x14ac:dyDescent="0.2">
      <c r="B265" s="339"/>
      <c r="C265" s="339"/>
      <c r="D265" s="339"/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  <c r="AA265" s="339"/>
      <c r="AB265" s="339"/>
      <c r="AC265" s="339"/>
      <c r="AD265" s="339"/>
      <c r="AE265" s="339"/>
      <c r="AF265" s="339"/>
      <c r="AG265" s="339"/>
      <c r="AH265" s="339"/>
      <c r="AI265" s="339"/>
      <c r="AJ265" s="339"/>
      <c r="AK265" s="339"/>
      <c r="AL265" s="339"/>
      <c r="AM265" s="339"/>
      <c r="AN265" s="339"/>
      <c r="AO265" s="339"/>
      <c r="AP265" s="339"/>
      <c r="AQ265" s="339"/>
      <c r="AR265" s="339"/>
      <c r="AS265" s="339"/>
      <c r="AT265" s="339"/>
      <c r="AU265" s="339"/>
      <c r="AV265" s="339"/>
      <c r="AW265" s="339"/>
      <c r="AX265" s="339"/>
      <c r="AY265" s="339"/>
      <c r="AZ265" s="339"/>
      <c r="BA265" s="339"/>
      <c r="BB265" s="339"/>
      <c r="BC265" s="339"/>
      <c r="BD265" s="339"/>
      <c r="BE265" s="339"/>
      <c r="BF265" s="339"/>
      <c r="BG265" s="339"/>
      <c r="BH265" s="339"/>
      <c r="BI265" s="339"/>
      <c r="BJ265" s="339"/>
      <c r="BK265" s="339"/>
      <c r="BL265" s="339"/>
      <c r="BM265" s="339"/>
      <c r="BN265" s="339"/>
      <c r="BO265" s="339"/>
      <c r="BP265" s="339"/>
      <c r="BQ265" s="339"/>
      <c r="BR265" s="339"/>
      <c r="BS265" s="339"/>
      <c r="BT265" s="339"/>
      <c r="BU265" s="339"/>
      <c r="BV265" s="339"/>
      <c r="BW265" s="339"/>
      <c r="BX265" s="339"/>
      <c r="BY265" s="339"/>
      <c r="BZ265" s="339"/>
    </row>
    <row r="266" spans="2:121" x14ac:dyDescent="0.2">
      <c r="D266" s="29"/>
      <c r="E266" s="31"/>
      <c r="F266" s="133"/>
      <c r="H266" s="31"/>
      <c r="I266" s="31"/>
      <c r="R266" s="32"/>
      <c r="S266" s="32"/>
      <c r="U266" s="33"/>
      <c r="V266" s="33"/>
      <c r="AD266" s="32"/>
    </row>
    <row r="267" spans="2:121" x14ac:dyDescent="0.2">
      <c r="D267" s="29"/>
      <c r="E267" s="31"/>
      <c r="F267" s="133"/>
      <c r="H267" s="31"/>
      <c r="I267" s="31"/>
      <c r="R267" s="32"/>
      <c r="S267" s="32"/>
      <c r="U267" s="33"/>
      <c r="V267" s="33"/>
      <c r="AD267" s="32"/>
    </row>
    <row r="268" spans="2:121" x14ac:dyDescent="0.2">
      <c r="D268" s="29"/>
      <c r="E268" s="31"/>
      <c r="F268" s="133"/>
      <c r="H268" s="31"/>
      <c r="I268" s="31"/>
      <c r="R268" s="32"/>
      <c r="S268" s="32"/>
      <c r="U268" s="33"/>
      <c r="V268" s="33"/>
      <c r="AD268" s="32"/>
    </row>
    <row r="269" spans="2:121" x14ac:dyDescent="0.2">
      <c r="D269" s="29"/>
      <c r="E269" s="31"/>
      <c r="F269" s="133"/>
      <c r="H269" s="31"/>
      <c r="I269" s="31"/>
      <c r="R269" s="32"/>
      <c r="S269" s="32"/>
      <c r="U269" s="33"/>
      <c r="V269" s="33"/>
      <c r="AD269" s="32"/>
    </row>
    <row r="270" spans="2:121" x14ac:dyDescent="0.2">
      <c r="D270" s="29"/>
      <c r="E270" s="31"/>
      <c r="F270" s="133"/>
      <c r="H270" s="31"/>
      <c r="I270" s="31"/>
      <c r="R270" s="32"/>
      <c r="S270" s="32"/>
      <c r="U270" s="33"/>
      <c r="V270" s="33"/>
      <c r="AD270" s="32"/>
    </row>
    <row r="271" spans="2:121" x14ac:dyDescent="0.2">
      <c r="D271" s="29"/>
      <c r="E271" s="31"/>
      <c r="F271" s="133"/>
      <c r="H271" s="31"/>
      <c r="I271" s="31"/>
      <c r="R271" s="32"/>
      <c r="S271" s="32"/>
      <c r="U271" s="33"/>
      <c r="V271" s="33"/>
      <c r="AD271" s="32"/>
    </row>
    <row r="272" spans="2:121" x14ac:dyDescent="0.2">
      <c r="D272" s="29"/>
      <c r="E272" s="31"/>
      <c r="F272" s="133"/>
      <c r="H272" s="31"/>
      <c r="I272" s="31"/>
      <c r="R272" s="32"/>
      <c r="S272" s="32"/>
      <c r="U272" s="33"/>
      <c r="V272" s="33"/>
      <c r="AD272" s="32"/>
    </row>
    <row r="273" spans="4:40" x14ac:dyDescent="0.2">
      <c r="D273" s="29"/>
      <c r="E273" s="31"/>
      <c r="F273" s="133"/>
      <c r="H273" s="31"/>
      <c r="I273" s="31"/>
      <c r="R273" s="32"/>
      <c r="S273" s="32"/>
      <c r="U273" s="33"/>
      <c r="V273" s="33"/>
      <c r="AD273" s="32"/>
    </row>
    <row r="274" spans="4:40" x14ac:dyDescent="0.2">
      <c r="D274" s="29"/>
      <c r="E274" s="31"/>
      <c r="F274" s="133"/>
      <c r="H274" s="31"/>
      <c r="I274" s="31"/>
      <c r="R274" s="32"/>
      <c r="S274" s="32"/>
      <c r="U274" s="33"/>
      <c r="V274" s="33"/>
      <c r="AD274" s="32"/>
    </row>
    <row r="275" spans="4:40" x14ac:dyDescent="0.2">
      <c r="D275" s="29"/>
      <c r="E275" s="31"/>
      <c r="F275" s="133"/>
      <c r="H275" s="31"/>
      <c r="I275" s="31"/>
      <c r="R275" s="32"/>
      <c r="S275" s="32"/>
      <c r="U275" s="33"/>
      <c r="V275" s="33"/>
      <c r="AD275" s="32"/>
    </row>
    <row r="276" spans="4:40" x14ac:dyDescent="0.2">
      <c r="D276" s="29"/>
      <c r="E276" s="31"/>
      <c r="F276" s="133"/>
      <c r="H276" s="31"/>
      <c r="I276" s="31"/>
      <c r="R276" s="32"/>
      <c r="S276" s="32"/>
      <c r="U276" s="33"/>
      <c r="V276" s="33"/>
      <c r="AD276" s="32"/>
    </row>
    <row r="277" spans="4:40" x14ac:dyDescent="0.2">
      <c r="D277" s="29"/>
      <c r="E277" s="31"/>
      <c r="F277" s="133"/>
      <c r="H277" s="31"/>
      <c r="I277" s="31"/>
      <c r="R277" s="32"/>
      <c r="S277" s="32"/>
      <c r="U277" s="33"/>
      <c r="V277" s="33"/>
      <c r="AD277" s="32"/>
    </row>
    <row r="278" spans="4:40" x14ac:dyDescent="0.2">
      <c r="D278" s="29"/>
      <c r="E278" s="31"/>
      <c r="F278" s="133"/>
      <c r="H278" s="31"/>
      <c r="I278" s="31"/>
      <c r="R278" s="32"/>
      <c r="S278" s="32"/>
      <c r="U278" s="33"/>
      <c r="V278" s="33"/>
      <c r="AD278" s="32"/>
    </row>
    <row r="279" spans="4:40" x14ac:dyDescent="0.2">
      <c r="D279" s="29"/>
      <c r="E279" s="31"/>
      <c r="F279" s="133"/>
      <c r="H279" s="31"/>
      <c r="I279" s="31"/>
      <c r="R279" s="32"/>
      <c r="S279" s="32"/>
      <c r="U279" s="33"/>
      <c r="V279" s="33"/>
      <c r="AD279" s="32"/>
    </row>
    <row r="280" spans="4:40" x14ac:dyDescent="0.2">
      <c r="D280" s="29"/>
      <c r="E280" s="31"/>
      <c r="F280" s="133"/>
      <c r="H280" s="31"/>
      <c r="I280" s="31"/>
      <c r="R280" s="32"/>
      <c r="S280" s="32"/>
      <c r="U280" s="33"/>
      <c r="V280" s="33"/>
      <c r="AD280" s="32"/>
    </row>
    <row r="281" spans="4:40" x14ac:dyDescent="0.2">
      <c r="D281" s="29"/>
      <c r="E281" s="31"/>
      <c r="F281" s="133"/>
      <c r="H281" s="31"/>
      <c r="I281" s="31"/>
      <c r="R281" s="32"/>
      <c r="S281" s="32"/>
      <c r="U281" s="33"/>
      <c r="V281" s="33"/>
      <c r="AD281" s="32"/>
    </row>
    <row r="282" spans="4:40" x14ac:dyDescent="0.2">
      <c r="D282" s="29"/>
      <c r="E282" s="31"/>
      <c r="F282" s="133"/>
      <c r="G282" s="32"/>
      <c r="H282" s="31"/>
      <c r="I282" s="31"/>
      <c r="J282" s="32"/>
      <c r="K282" s="32"/>
      <c r="N282" s="32"/>
      <c r="O282" s="32"/>
      <c r="P282" s="32"/>
      <c r="Q282" s="32"/>
      <c r="R282" s="32"/>
      <c r="S282" s="32"/>
      <c r="T282" s="32"/>
      <c r="U282" s="32"/>
      <c r="V282" s="32"/>
      <c r="AD282" s="32"/>
      <c r="AE282" s="119"/>
      <c r="AF282" s="32"/>
      <c r="AG282" s="32"/>
      <c r="AH282" s="32"/>
      <c r="AJ282" s="32"/>
      <c r="AK282" s="32"/>
      <c r="AL282" s="32"/>
      <c r="AM282" s="32"/>
      <c r="AN282" s="32"/>
    </row>
    <row r="283" spans="4:40" x14ac:dyDescent="0.2">
      <c r="D283" s="29"/>
      <c r="E283" s="31"/>
      <c r="F283" s="133"/>
      <c r="H283" s="31"/>
      <c r="I283" s="31"/>
      <c r="R283" s="32"/>
      <c r="S283" s="32"/>
      <c r="U283" s="33"/>
      <c r="V283" s="33"/>
      <c r="AD283" s="32"/>
    </row>
    <row r="284" spans="4:40" x14ac:dyDescent="0.2">
      <c r="D284" s="29"/>
      <c r="E284" s="31"/>
      <c r="F284" s="133"/>
      <c r="H284" s="31"/>
      <c r="I284" s="31"/>
      <c r="R284" s="32"/>
      <c r="S284" s="32"/>
      <c r="U284" s="33"/>
      <c r="V284" s="33"/>
      <c r="AD284" s="32"/>
    </row>
    <row r="285" spans="4:40" x14ac:dyDescent="0.2">
      <c r="D285" s="29"/>
      <c r="E285" s="31"/>
      <c r="F285" s="133"/>
      <c r="H285" s="31"/>
      <c r="I285" s="31"/>
      <c r="R285" s="32"/>
      <c r="S285" s="32"/>
      <c r="U285" s="33"/>
      <c r="V285" s="33"/>
      <c r="AD285" s="32"/>
    </row>
    <row r="286" spans="4:40" x14ac:dyDescent="0.2">
      <c r="D286" s="29"/>
      <c r="E286" s="31"/>
      <c r="F286" s="133"/>
      <c r="H286" s="31"/>
      <c r="I286" s="31"/>
      <c r="R286" s="32"/>
      <c r="S286" s="32"/>
      <c r="U286" s="33"/>
      <c r="V286" s="33"/>
      <c r="AD286" s="32"/>
    </row>
    <row r="287" spans="4:40" x14ac:dyDescent="0.2">
      <c r="D287" s="29"/>
      <c r="E287" s="31"/>
      <c r="F287" s="133"/>
      <c r="H287" s="31"/>
      <c r="I287" s="31"/>
      <c r="R287" s="32"/>
      <c r="S287" s="32"/>
      <c r="U287" s="33"/>
      <c r="V287" s="33"/>
      <c r="AD287" s="32"/>
    </row>
    <row r="288" spans="4:40" x14ac:dyDescent="0.2">
      <c r="D288" s="29"/>
      <c r="E288" s="31"/>
      <c r="F288" s="133"/>
      <c r="H288" s="31"/>
      <c r="I288" s="31"/>
      <c r="R288" s="32"/>
      <c r="S288" s="32"/>
      <c r="U288" s="33"/>
      <c r="V288" s="33"/>
      <c r="AD288" s="32"/>
    </row>
    <row r="289" spans="4:30" x14ac:dyDescent="0.2">
      <c r="D289" s="29"/>
      <c r="E289" s="31"/>
      <c r="F289" s="133"/>
      <c r="H289" s="31"/>
      <c r="I289" s="31"/>
      <c r="R289" s="32"/>
      <c r="S289" s="32"/>
      <c r="U289" s="33"/>
      <c r="V289" s="33"/>
      <c r="AD289" s="32"/>
    </row>
    <row r="290" spans="4:30" x14ac:dyDescent="0.2">
      <c r="D290" s="29"/>
      <c r="E290" s="31"/>
      <c r="F290" s="133"/>
      <c r="H290" s="31"/>
      <c r="I290" s="31"/>
      <c r="R290" s="32"/>
      <c r="S290" s="32"/>
      <c r="U290" s="33"/>
      <c r="V290" s="33"/>
      <c r="AD290" s="32"/>
    </row>
    <row r="291" spans="4:30" x14ac:dyDescent="0.2">
      <c r="D291" s="29"/>
      <c r="E291" s="31"/>
      <c r="F291" s="133"/>
      <c r="H291" s="31"/>
      <c r="I291" s="31"/>
      <c r="R291" s="32"/>
      <c r="S291" s="32"/>
      <c r="U291" s="33"/>
      <c r="V291" s="33"/>
      <c r="AD291" s="32"/>
    </row>
    <row r="292" spans="4:30" x14ac:dyDescent="0.2">
      <c r="D292" s="29"/>
      <c r="E292" s="31"/>
      <c r="F292" s="133"/>
      <c r="H292" s="31"/>
      <c r="I292" s="31"/>
      <c r="R292" s="32"/>
      <c r="S292" s="32"/>
      <c r="U292" s="33"/>
      <c r="V292" s="33"/>
      <c r="AD292" s="32"/>
    </row>
    <row r="293" spans="4:30" x14ac:dyDescent="0.2">
      <c r="D293" s="29"/>
      <c r="E293" s="31"/>
      <c r="F293" s="133"/>
      <c r="H293" s="31"/>
      <c r="I293" s="31"/>
      <c r="R293" s="32"/>
      <c r="S293" s="32"/>
      <c r="U293" s="33"/>
      <c r="V293" s="33"/>
      <c r="AD293" s="32"/>
    </row>
    <row r="294" spans="4:30" x14ac:dyDescent="0.2">
      <c r="D294" s="29"/>
      <c r="E294" s="31"/>
      <c r="F294" s="133"/>
      <c r="H294" s="31"/>
      <c r="I294" s="31"/>
      <c r="R294" s="32"/>
      <c r="S294" s="32"/>
      <c r="U294" s="33"/>
      <c r="V294" s="33"/>
      <c r="AD294" s="32"/>
    </row>
    <row r="295" spans="4:30" x14ac:dyDescent="0.2">
      <c r="D295" s="29"/>
      <c r="E295" s="31"/>
      <c r="F295" s="133"/>
      <c r="H295" s="31"/>
      <c r="I295" s="31"/>
      <c r="R295" s="32"/>
      <c r="S295" s="32"/>
      <c r="U295" s="33"/>
      <c r="V295" s="33"/>
      <c r="AD295" s="32"/>
    </row>
    <row r="296" spans="4:30" x14ac:dyDescent="0.2">
      <c r="D296" s="29"/>
      <c r="E296" s="31"/>
      <c r="F296" s="133"/>
      <c r="H296" s="31"/>
      <c r="I296" s="31"/>
      <c r="R296" s="32"/>
      <c r="S296" s="32"/>
      <c r="U296" s="33"/>
      <c r="V296" s="33"/>
      <c r="AD296" s="32"/>
    </row>
    <row r="297" spans="4:30" x14ac:dyDescent="0.2">
      <c r="D297" s="29"/>
      <c r="E297" s="31"/>
      <c r="F297" s="133"/>
      <c r="H297" s="31"/>
      <c r="I297" s="31"/>
      <c r="R297" s="32"/>
      <c r="S297" s="32"/>
      <c r="U297" s="33"/>
      <c r="V297" s="33"/>
      <c r="AD297" s="32"/>
    </row>
    <row r="298" spans="4:30" x14ac:dyDescent="0.2">
      <c r="D298" s="29"/>
      <c r="E298" s="31"/>
      <c r="F298" s="133"/>
      <c r="H298" s="31"/>
      <c r="I298" s="31"/>
      <c r="R298" s="32"/>
      <c r="S298" s="32"/>
      <c r="U298" s="33"/>
      <c r="V298" s="33"/>
      <c r="AD298" s="32"/>
    </row>
    <row r="299" spans="4:30" x14ac:dyDescent="0.2">
      <c r="D299" s="29"/>
      <c r="E299" s="31"/>
      <c r="F299" s="133"/>
      <c r="H299" s="31"/>
      <c r="I299" s="31"/>
      <c r="R299" s="32"/>
      <c r="S299" s="32"/>
      <c r="U299" s="33"/>
      <c r="V299" s="33"/>
      <c r="AD299" s="32"/>
    </row>
    <row r="300" spans="4:30" x14ac:dyDescent="0.2">
      <c r="D300" s="29"/>
      <c r="E300" s="31"/>
      <c r="F300" s="133"/>
      <c r="H300" s="31"/>
      <c r="I300" s="31"/>
      <c r="R300" s="32"/>
      <c r="S300" s="32"/>
      <c r="U300" s="33"/>
      <c r="V300" s="33"/>
      <c r="AD300" s="32"/>
    </row>
    <row r="301" spans="4:30" x14ac:dyDescent="0.2">
      <c r="D301" s="29"/>
      <c r="E301" s="31"/>
      <c r="F301" s="133"/>
      <c r="H301" s="31"/>
      <c r="I301" s="31"/>
      <c r="R301" s="32"/>
      <c r="S301" s="32"/>
      <c r="U301" s="33"/>
      <c r="V301" s="33"/>
      <c r="AD301" s="32"/>
    </row>
    <row r="302" spans="4:30" x14ac:dyDescent="0.2">
      <c r="D302" s="29"/>
      <c r="E302" s="31"/>
      <c r="F302" s="133"/>
      <c r="H302" s="31"/>
      <c r="I302" s="31"/>
      <c r="R302" s="32"/>
      <c r="S302" s="32"/>
      <c r="U302" s="33"/>
      <c r="V302" s="33"/>
      <c r="AD302" s="32"/>
    </row>
    <row r="303" spans="4:30" x14ac:dyDescent="0.2">
      <c r="D303" s="29"/>
      <c r="E303" s="31"/>
      <c r="F303" s="133"/>
      <c r="H303" s="31"/>
      <c r="I303" s="31"/>
      <c r="R303" s="32"/>
      <c r="S303" s="32"/>
      <c r="U303" s="33"/>
      <c r="V303" s="33"/>
      <c r="AD303" s="32"/>
    </row>
    <row r="304" spans="4:30" x14ac:dyDescent="0.2">
      <c r="D304" s="29"/>
      <c r="E304" s="31"/>
      <c r="F304" s="133"/>
      <c r="H304" s="31"/>
      <c r="I304" s="31"/>
      <c r="R304" s="32"/>
      <c r="S304" s="32"/>
      <c r="U304" s="33"/>
      <c r="V304" s="33"/>
      <c r="AD304" s="32"/>
    </row>
    <row r="305" spans="4:30" x14ac:dyDescent="0.2">
      <c r="D305" s="29"/>
      <c r="E305" s="31"/>
      <c r="F305" s="133"/>
      <c r="H305" s="31"/>
      <c r="I305" s="31"/>
      <c r="R305" s="32"/>
      <c r="S305" s="32"/>
      <c r="U305" s="33"/>
      <c r="V305" s="33"/>
      <c r="AD305" s="32"/>
    </row>
    <row r="306" spans="4:30" x14ac:dyDescent="0.2">
      <c r="D306" s="29"/>
      <c r="E306" s="31"/>
      <c r="F306" s="133"/>
      <c r="H306" s="31"/>
      <c r="I306" s="31"/>
      <c r="R306" s="32"/>
      <c r="S306" s="32"/>
      <c r="U306" s="33"/>
      <c r="V306" s="33"/>
      <c r="AD306" s="32"/>
    </row>
    <row r="307" spans="4:30" x14ac:dyDescent="0.2">
      <c r="D307" s="29"/>
      <c r="E307" s="31"/>
      <c r="F307" s="133"/>
      <c r="H307" s="31"/>
      <c r="I307" s="31"/>
      <c r="R307" s="32"/>
      <c r="S307" s="32"/>
      <c r="U307" s="33"/>
      <c r="V307" s="33"/>
      <c r="AD307" s="32"/>
    </row>
    <row r="308" spans="4:30" x14ac:dyDescent="0.2">
      <c r="D308" s="29"/>
      <c r="E308" s="31"/>
      <c r="F308" s="133"/>
      <c r="H308" s="31"/>
      <c r="I308" s="31"/>
      <c r="R308" s="32"/>
      <c r="S308" s="32"/>
      <c r="U308" s="33"/>
      <c r="V308" s="33"/>
      <c r="AD308" s="32"/>
    </row>
    <row r="309" spans="4:30" x14ac:dyDescent="0.2">
      <c r="D309" s="29"/>
      <c r="E309" s="31"/>
      <c r="F309" s="133"/>
      <c r="H309" s="31"/>
      <c r="I309" s="31"/>
      <c r="R309" s="32"/>
      <c r="S309" s="32"/>
      <c r="U309" s="33"/>
      <c r="V309" s="33"/>
      <c r="AD309" s="32"/>
    </row>
    <row r="310" spans="4:30" x14ac:dyDescent="0.2">
      <c r="D310" s="29"/>
      <c r="E310" s="31"/>
      <c r="F310" s="133"/>
      <c r="H310" s="31"/>
      <c r="I310" s="31"/>
      <c r="R310" s="32"/>
      <c r="S310" s="32"/>
      <c r="U310" s="33"/>
      <c r="V310" s="33"/>
      <c r="AD310" s="32"/>
    </row>
    <row r="311" spans="4:30" x14ac:dyDescent="0.2">
      <c r="D311" s="29"/>
      <c r="E311" s="31"/>
      <c r="F311" s="133"/>
      <c r="H311" s="31"/>
      <c r="I311" s="31"/>
      <c r="R311" s="32"/>
      <c r="S311" s="32"/>
      <c r="U311" s="33"/>
      <c r="V311" s="33"/>
      <c r="AD311" s="32"/>
    </row>
    <row r="312" spans="4:30" x14ac:dyDescent="0.2">
      <c r="D312" s="29"/>
      <c r="E312" s="31"/>
      <c r="F312" s="133"/>
      <c r="H312" s="31"/>
      <c r="I312" s="31"/>
      <c r="R312" s="32"/>
      <c r="S312" s="32"/>
      <c r="U312" s="33"/>
      <c r="V312" s="33"/>
      <c r="AD312" s="32"/>
    </row>
    <row r="313" spans="4:30" x14ac:dyDescent="0.2">
      <c r="D313" s="29"/>
      <c r="E313" s="31"/>
      <c r="F313" s="133"/>
      <c r="H313" s="31"/>
      <c r="I313" s="31"/>
      <c r="R313" s="32"/>
      <c r="S313" s="32"/>
      <c r="U313" s="33"/>
      <c r="V313" s="33"/>
      <c r="AD313" s="32"/>
    </row>
    <row r="314" spans="4:30" x14ac:dyDescent="0.2">
      <c r="D314" s="29"/>
      <c r="E314" s="31"/>
      <c r="F314" s="133"/>
      <c r="H314" s="31"/>
      <c r="I314" s="31"/>
      <c r="R314" s="32"/>
      <c r="S314" s="32"/>
      <c r="U314" s="33"/>
      <c r="V314" s="33"/>
      <c r="AD314" s="32"/>
    </row>
    <row r="315" spans="4:30" x14ac:dyDescent="0.2">
      <c r="D315" s="29"/>
      <c r="E315" s="31"/>
      <c r="F315" s="133"/>
      <c r="H315" s="31"/>
      <c r="I315" s="31"/>
      <c r="R315" s="32"/>
      <c r="S315" s="32"/>
      <c r="U315" s="33"/>
      <c r="V315" s="33"/>
      <c r="AD315" s="32"/>
    </row>
    <row r="316" spans="4:30" x14ac:dyDescent="0.2">
      <c r="D316" s="29"/>
      <c r="E316" s="31"/>
      <c r="F316" s="133"/>
      <c r="H316" s="31"/>
      <c r="I316" s="31"/>
      <c r="R316" s="32"/>
      <c r="S316" s="32"/>
      <c r="U316" s="33"/>
      <c r="V316" s="33"/>
      <c r="AD316" s="32"/>
    </row>
    <row r="317" spans="4:30" x14ac:dyDescent="0.2">
      <c r="D317" s="29"/>
      <c r="E317" s="31"/>
      <c r="F317" s="133"/>
      <c r="H317" s="31"/>
      <c r="I317" s="31"/>
      <c r="R317" s="32"/>
      <c r="S317" s="32"/>
      <c r="U317" s="33"/>
      <c r="V317" s="33"/>
      <c r="AD317" s="32"/>
    </row>
    <row r="318" spans="4:30" x14ac:dyDescent="0.2">
      <c r="D318" s="29"/>
      <c r="E318" s="31"/>
      <c r="F318" s="133"/>
      <c r="H318" s="31"/>
      <c r="I318" s="31"/>
      <c r="R318" s="32"/>
      <c r="S318" s="32"/>
      <c r="U318" s="33"/>
      <c r="V318" s="33"/>
      <c r="AD318" s="32"/>
    </row>
    <row r="319" spans="4:30" x14ac:dyDescent="0.2">
      <c r="D319" s="29"/>
      <c r="E319" s="31"/>
      <c r="F319" s="133"/>
      <c r="H319" s="31"/>
      <c r="I319" s="31"/>
      <c r="R319" s="32"/>
      <c r="S319" s="32"/>
      <c r="U319" s="33"/>
      <c r="V319" s="33"/>
      <c r="AD319" s="32"/>
    </row>
    <row r="320" spans="4:30" x14ac:dyDescent="0.2">
      <c r="D320" s="29"/>
      <c r="E320" s="31"/>
      <c r="F320" s="133"/>
      <c r="H320" s="31"/>
      <c r="I320" s="31"/>
      <c r="R320" s="32"/>
      <c r="S320" s="32"/>
      <c r="U320" s="33"/>
      <c r="V320" s="33"/>
      <c r="AD320" s="32"/>
    </row>
    <row r="321" spans="4:30" x14ac:dyDescent="0.2">
      <c r="D321" s="29"/>
      <c r="E321" s="31"/>
      <c r="F321" s="133"/>
      <c r="H321" s="31"/>
      <c r="I321" s="31"/>
      <c r="R321" s="32"/>
      <c r="S321" s="32"/>
      <c r="U321" s="33"/>
      <c r="V321" s="33"/>
      <c r="AD321" s="32"/>
    </row>
    <row r="322" spans="4:30" x14ac:dyDescent="0.2">
      <c r="D322" s="29"/>
      <c r="E322" s="31"/>
      <c r="F322" s="133"/>
      <c r="H322" s="31"/>
      <c r="I322" s="31"/>
      <c r="R322" s="32"/>
      <c r="S322" s="32"/>
      <c r="U322" s="33"/>
      <c r="V322" s="33"/>
      <c r="AD322" s="32"/>
    </row>
    <row r="323" spans="4:30" x14ac:dyDescent="0.2">
      <c r="D323" s="29"/>
      <c r="E323" s="31"/>
      <c r="F323" s="133"/>
      <c r="H323" s="31"/>
      <c r="I323" s="31"/>
      <c r="R323" s="32"/>
      <c r="S323" s="32"/>
      <c r="U323" s="33"/>
      <c r="V323" s="33"/>
      <c r="AD323" s="32"/>
    </row>
    <row r="324" spans="4:30" x14ac:dyDescent="0.2">
      <c r="D324" s="29"/>
      <c r="E324" s="31"/>
      <c r="F324" s="133"/>
      <c r="H324" s="31"/>
      <c r="I324" s="31"/>
      <c r="R324" s="32"/>
      <c r="S324" s="32"/>
      <c r="U324" s="33"/>
      <c r="V324" s="33"/>
      <c r="AD324" s="32"/>
    </row>
    <row r="325" spans="4:30" x14ac:dyDescent="0.2">
      <c r="D325" s="29"/>
      <c r="E325" s="31"/>
      <c r="F325" s="133"/>
      <c r="H325" s="31"/>
      <c r="I325" s="31"/>
      <c r="R325" s="32"/>
      <c r="S325" s="32"/>
      <c r="U325" s="33"/>
      <c r="V325" s="33"/>
      <c r="AD325" s="32"/>
    </row>
    <row r="326" spans="4:30" x14ac:dyDescent="0.2">
      <c r="D326" s="29"/>
      <c r="E326" s="31"/>
      <c r="F326" s="133"/>
      <c r="H326" s="31"/>
      <c r="I326" s="31"/>
      <c r="R326" s="32"/>
      <c r="S326" s="32"/>
      <c r="U326" s="33"/>
      <c r="V326" s="33"/>
      <c r="AD326" s="32"/>
    </row>
    <row r="327" spans="4:30" x14ac:dyDescent="0.2">
      <c r="D327" s="29"/>
      <c r="E327" s="31"/>
      <c r="F327" s="133"/>
      <c r="H327" s="31"/>
      <c r="I327" s="31"/>
      <c r="R327" s="32"/>
      <c r="S327" s="32"/>
      <c r="U327" s="33"/>
      <c r="V327" s="33"/>
      <c r="AD327" s="32"/>
    </row>
    <row r="328" spans="4:30" x14ac:dyDescent="0.2">
      <c r="D328" s="29"/>
      <c r="E328" s="31"/>
      <c r="F328" s="133"/>
      <c r="H328" s="31"/>
      <c r="I328" s="31"/>
      <c r="R328" s="32"/>
      <c r="S328" s="32"/>
      <c r="U328" s="33"/>
      <c r="V328" s="33"/>
      <c r="AD328" s="32"/>
    </row>
    <row r="329" spans="4:30" x14ac:dyDescent="0.2">
      <c r="D329" s="29"/>
      <c r="E329" s="31"/>
      <c r="F329" s="133"/>
      <c r="H329" s="31"/>
      <c r="I329" s="31"/>
      <c r="U329" s="33"/>
      <c r="V329" s="33"/>
    </row>
    <row r="330" spans="4:30" x14ac:dyDescent="0.2">
      <c r="D330" s="29"/>
      <c r="E330" s="31"/>
      <c r="F330" s="133"/>
      <c r="H330" s="31"/>
      <c r="I330" s="31"/>
      <c r="R330" s="32"/>
      <c r="S330" s="32"/>
      <c r="U330" s="33"/>
      <c r="V330" s="33"/>
      <c r="AD330" s="32"/>
    </row>
    <row r="331" spans="4:30" x14ac:dyDescent="0.2">
      <c r="D331" s="29"/>
      <c r="E331" s="31"/>
      <c r="F331" s="133"/>
      <c r="H331" s="31"/>
      <c r="I331" s="31"/>
      <c r="R331" s="32"/>
      <c r="S331" s="32"/>
      <c r="U331" s="33"/>
      <c r="V331" s="33"/>
      <c r="AD331" s="32"/>
    </row>
    <row r="332" spans="4:30" x14ac:dyDescent="0.2">
      <c r="D332" s="29"/>
      <c r="E332" s="31"/>
      <c r="F332" s="133"/>
      <c r="H332" s="31"/>
      <c r="I332" s="31"/>
      <c r="R332" s="32"/>
      <c r="S332" s="32"/>
      <c r="U332" s="33"/>
      <c r="V332" s="33"/>
      <c r="AD332" s="32"/>
    </row>
    <row r="333" spans="4:30" x14ac:dyDescent="0.2">
      <c r="D333" s="29"/>
      <c r="E333" s="31"/>
      <c r="F333" s="133"/>
      <c r="H333" s="31"/>
      <c r="I333" s="31"/>
      <c r="R333" s="32"/>
      <c r="S333" s="32"/>
      <c r="U333" s="33"/>
      <c r="V333" s="33"/>
      <c r="AD333" s="32"/>
    </row>
    <row r="334" spans="4:30" x14ac:dyDescent="0.2">
      <c r="D334" s="29"/>
      <c r="E334" s="31"/>
      <c r="F334" s="133"/>
      <c r="H334" s="31"/>
      <c r="I334" s="31"/>
      <c r="R334" s="32"/>
      <c r="S334" s="32"/>
      <c r="U334" s="33"/>
      <c r="V334" s="33"/>
      <c r="AD334" s="32"/>
    </row>
    <row r="335" spans="4:30" x14ac:dyDescent="0.2">
      <c r="D335" s="29"/>
      <c r="E335" s="31"/>
      <c r="F335" s="133"/>
      <c r="H335" s="31"/>
      <c r="I335" s="31"/>
      <c r="R335" s="32"/>
      <c r="S335" s="32"/>
      <c r="U335" s="33"/>
      <c r="V335" s="33"/>
      <c r="AD335" s="32"/>
    </row>
    <row r="336" spans="4:30" x14ac:dyDescent="0.2">
      <c r="D336" s="29"/>
      <c r="E336" s="31"/>
      <c r="F336" s="133"/>
      <c r="H336" s="31"/>
      <c r="I336" s="31"/>
      <c r="R336" s="32"/>
      <c r="S336" s="32"/>
      <c r="U336" s="33"/>
      <c r="V336" s="33"/>
      <c r="AD336" s="32"/>
    </row>
    <row r="337" spans="4:30" x14ac:dyDescent="0.2">
      <c r="D337" s="29"/>
      <c r="E337" s="31"/>
      <c r="F337" s="133"/>
      <c r="H337" s="31"/>
      <c r="I337" s="31"/>
      <c r="R337" s="32"/>
      <c r="S337" s="32"/>
      <c r="U337" s="33"/>
      <c r="V337" s="33"/>
      <c r="AD337" s="32"/>
    </row>
    <row r="338" spans="4:30" x14ac:dyDescent="0.2">
      <c r="D338" s="29"/>
      <c r="E338" s="31"/>
      <c r="F338" s="133"/>
      <c r="H338" s="31"/>
      <c r="I338" s="31"/>
      <c r="R338" s="32"/>
      <c r="S338" s="32"/>
      <c r="U338" s="33"/>
      <c r="V338" s="33"/>
      <c r="AD338" s="32"/>
    </row>
    <row r="339" spans="4:30" x14ac:dyDescent="0.2">
      <c r="D339" s="29"/>
      <c r="E339" s="31"/>
      <c r="F339" s="133"/>
      <c r="H339" s="31"/>
      <c r="I339" s="31"/>
      <c r="R339" s="32"/>
      <c r="S339" s="32"/>
      <c r="U339" s="33"/>
      <c r="V339" s="33"/>
      <c r="AD339" s="32"/>
    </row>
    <row r="340" spans="4:30" x14ac:dyDescent="0.2">
      <c r="D340" s="29"/>
      <c r="E340" s="31"/>
      <c r="F340" s="133"/>
      <c r="H340" s="31"/>
      <c r="I340" s="31"/>
      <c r="R340" s="32"/>
      <c r="S340" s="32"/>
      <c r="U340" s="33"/>
      <c r="V340" s="33"/>
      <c r="AD340" s="32"/>
    </row>
    <row r="341" spans="4:30" x14ac:dyDescent="0.2">
      <c r="D341" s="29"/>
      <c r="E341" s="31"/>
      <c r="F341" s="133"/>
      <c r="H341" s="31"/>
      <c r="I341" s="31"/>
      <c r="R341" s="32"/>
      <c r="S341" s="32"/>
      <c r="U341" s="33"/>
      <c r="V341" s="33"/>
      <c r="AD341" s="32"/>
    </row>
    <row r="342" spans="4:30" x14ac:dyDescent="0.2">
      <c r="D342" s="29"/>
      <c r="E342" s="31"/>
      <c r="F342" s="133"/>
      <c r="H342" s="31"/>
      <c r="I342" s="31"/>
      <c r="R342" s="32"/>
      <c r="S342" s="32"/>
      <c r="U342" s="33"/>
      <c r="V342" s="33"/>
      <c r="AD342" s="32"/>
    </row>
    <row r="343" spans="4:30" x14ac:dyDescent="0.2">
      <c r="D343" s="29"/>
      <c r="E343" s="31"/>
      <c r="F343" s="133"/>
      <c r="H343" s="31"/>
      <c r="I343" s="31"/>
      <c r="R343" s="32"/>
      <c r="S343" s="32"/>
      <c r="U343" s="33"/>
      <c r="V343" s="33"/>
      <c r="AD343" s="32"/>
    </row>
    <row r="344" spans="4:30" x14ac:dyDescent="0.2">
      <c r="D344" s="29"/>
      <c r="E344" s="31"/>
      <c r="F344" s="133"/>
      <c r="H344" s="31"/>
      <c r="I344" s="31"/>
      <c r="R344" s="32"/>
      <c r="S344" s="32"/>
      <c r="U344" s="33"/>
      <c r="V344" s="33"/>
      <c r="AD344" s="32"/>
    </row>
    <row r="345" spans="4:30" x14ac:dyDescent="0.2">
      <c r="D345" s="29"/>
      <c r="E345" s="31"/>
      <c r="F345" s="133"/>
      <c r="H345" s="31"/>
      <c r="I345" s="31"/>
      <c r="R345" s="32"/>
      <c r="S345" s="32"/>
      <c r="U345" s="33"/>
      <c r="V345" s="33"/>
      <c r="AD345" s="32"/>
    </row>
    <row r="346" spans="4:30" x14ac:dyDescent="0.2">
      <c r="D346" s="29"/>
      <c r="E346" s="31"/>
      <c r="F346" s="133"/>
      <c r="H346" s="31"/>
      <c r="I346" s="31"/>
      <c r="R346" s="32"/>
      <c r="S346" s="32"/>
      <c r="U346" s="33"/>
      <c r="V346" s="33"/>
      <c r="AD346" s="32"/>
    </row>
    <row r="347" spans="4:30" x14ac:dyDescent="0.2">
      <c r="D347" s="29"/>
      <c r="E347" s="31"/>
      <c r="F347" s="133"/>
      <c r="H347" s="31"/>
      <c r="I347" s="31"/>
      <c r="R347" s="32"/>
      <c r="S347" s="32"/>
      <c r="U347" s="33"/>
      <c r="V347" s="33"/>
      <c r="AD347" s="32"/>
    </row>
    <row r="348" spans="4:30" x14ac:dyDescent="0.2">
      <c r="D348" s="29"/>
      <c r="E348" s="31"/>
      <c r="F348" s="133"/>
      <c r="H348" s="31"/>
      <c r="I348" s="31"/>
      <c r="R348" s="32"/>
      <c r="S348" s="32"/>
      <c r="U348" s="33"/>
      <c r="V348" s="33"/>
      <c r="AD348" s="32"/>
    </row>
    <row r="349" spans="4:30" x14ac:dyDescent="0.2">
      <c r="D349" s="29"/>
      <c r="E349" s="31"/>
      <c r="F349" s="133"/>
      <c r="H349" s="31"/>
      <c r="I349" s="31"/>
      <c r="R349" s="32"/>
      <c r="S349" s="32"/>
      <c r="U349" s="33"/>
      <c r="V349" s="33"/>
      <c r="AD349" s="32"/>
    </row>
    <row r="350" spans="4:30" x14ac:dyDescent="0.2">
      <c r="D350" s="29"/>
      <c r="E350" s="31"/>
      <c r="F350" s="133"/>
      <c r="H350" s="31"/>
      <c r="I350" s="31"/>
      <c r="R350" s="32"/>
      <c r="S350" s="32"/>
      <c r="U350" s="33"/>
      <c r="V350" s="33"/>
      <c r="AD350" s="32"/>
    </row>
    <row r="351" spans="4:30" x14ac:dyDescent="0.2">
      <c r="D351" s="29"/>
      <c r="E351" s="31"/>
      <c r="F351" s="133"/>
      <c r="H351" s="31"/>
      <c r="I351" s="31"/>
      <c r="R351" s="32"/>
      <c r="S351" s="32"/>
      <c r="U351" s="33"/>
      <c r="V351" s="33"/>
      <c r="AD351" s="32"/>
    </row>
    <row r="352" spans="4:30" x14ac:dyDescent="0.2">
      <c r="D352" s="29"/>
      <c r="E352" s="31"/>
      <c r="F352" s="133"/>
      <c r="H352" s="31"/>
      <c r="I352" s="31"/>
      <c r="R352" s="32"/>
      <c r="S352" s="32"/>
      <c r="U352" s="33"/>
      <c r="V352" s="33"/>
      <c r="AD352" s="32"/>
    </row>
    <row r="353" spans="4:30" x14ac:dyDescent="0.2">
      <c r="D353" s="29"/>
      <c r="E353" s="31"/>
      <c r="F353" s="133"/>
      <c r="H353" s="31"/>
      <c r="I353" s="31"/>
      <c r="R353" s="32"/>
      <c r="S353" s="32"/>
      <c r="U353" s="33"/>
      <c r="V353" s="33"/>
      <c r="AD353" s="32"/>
    </row>
    <row r="354" spans="4:30" x14ac:dyDescent="0.2">
      <c r="D354" s="29"/>
      <c r="E354" s="31"/>
      <c r="F354" s="133"/>
      <c r="H354" s="31"/>
      <c r="I354" s="31"/>
      <c r="R354" s="32"/>
      <c r="S354" s="32"/>
      <c r="U354" s="33"/>
      <c r="V354" s="33"/>
      <c r="AD354" s="32"/>
    </row>
    <row r="355" spans="4:30" x14ac:dyDescent="0.2">
      <c r="D355" s="29"/>
      <c r="E355" s="31"/>
      <c r="F355" s="133"/>
      <c r="H355" s="31"/>
      <c r="I355" s="31"/>
      <c r="R355" s="32"/>
      <c r="S355" s="32"/>
      <c r="U355" s="33"/>
      <c r="V355" s="33"/>
      <c r="AD355" s="32"/>
    </row>
    <row r="356" spans="4:30" x14ac:dyDescent="0.2">
      <c r="D356" s="29"/>
      <c r="E356" s="31"/>
      <c r="F356" s="133"/>
      <c r="H356" s="31"/>
      <c r="I356" s="31"/>
      <c r="R356" s="32"/>
      <c r="S356" s="32"/>
      <c r="U356" s="33"/>
      <c r="V356" s="33"/>
      <c r="AD356" s="32"/>
    </row>
    <row r="357" spans="4:30" x14ac:dyDescent="0.2">
      <c r="D357" s="29"/>
      <c r="E357" s="31"/>
      <c r="F357" s="133"/>
      <c r="H357" s="31"/>
      <c r="I357" s="31"/>
      <c r="R357" s="32"/>
      <c r="S357" s="32"/>
      <c r="U357" s="33"/>
      <c r="V357" s="33"/>
      <c r="AD357" s="32"/>
    </row>
    <row r="358" spans="4:30" x14ac:dyDescent="0.2">
      <c r="D358" s="29"/>
      <c r="E358" s="31"/>
      <c r="F358" s="133"/>
      <c r="H358" s="31"/>
      <c r="I358" s="31"/>
      <c r="R358" s="32"/>
      <c r="S358" s="32"/>
      <c r="U358" s="33"/>
      <c r="V358" s="33"/>
      <c r="AD358" s="32"/>
    </row>
    <row r="359" spans="4:30" x14ac:dyDescent="0.2">
      <c r="D359" s="29"/>
      <c r="E359" s="31"/>
      <c r="F359" s="133"/>
      <c r="H359" s="31"/>
      <c r="I359" s="31"/>
      <c r="R359" s="32"/>
      <c r="S359" s="32"/>
      <c r="U359" s="33"/>
      <c r="V359" s="33"/>
      <c r="AD359" s="32"/>
    </row>
    <row r="360" spans="4:30" x14ac:dyDescent="0.2">
      <c r="D360" s="29"/>
      <c r="E360" s="31"/>
      <c r="F360" s="133"/>
      <c r="H360" s="31"/>
      <c r="I360" s="31"/>
      <c r="R360" s="32"/>
      <c r="S360" s="32"/>
      <c r="U360" s="33"/>
      <c r="V360" s="33"/>
      <c r="AD360" s="32"/>
    </row>
    <row r="361" spans="4:30" x14ac:dyDescent="0.2">
      <c r="D361" s="29"/>
      <c r="E361" s="31"/>
      <c r="F361" s="133"/>
      <c r="H361" s="31"/>
      <c r="I361" s="31"/>
      <c r="R361" s="32"/>
      <c r="S361" s="32"/>
      <c r="U361" s="33"/>
      <c r="V361" s="33"/>
      <c r="AD361" s="32"/>
    </row>
    <row r="362" spans="4:30" x14ac:dyDescent="0.2">
      <c r="D362" s="29"/>
      <c r="E362" s="31"/>
      <c r="F362" s="133"/>
      <c r="H362" s="31"/>
      <c r="I362" s="31"/>
      <c r="R362" s="32"/>
      <c r="S362" s="32"/>
      <c r="U362" s="33"/>
      <c r="V362" s="33"/>
      <c r="AD362" s="32"/>
    </row>
    <row r="363" spans="4:30" x14ac:dyDescent="0.2">
      <c r="D363" s="29"/>
      <c r="E363" s="31"/>
      <c r="F363" s="133"/>
      <c r="H363" s="31"/>
      <c r="I363" s="31"/>
      <c r="R363" s="32"/>
      <c r="S363" s="32"/>
      <c r="U363" s="33"/>
      <c r="V363" s="33"/>
      <c r="AD363" s="32"/>
    </row>
    <row r="364" spans="4:30" x14ac:dyDescent="0.2">
      <c r="D364" s="29"/>
      <c r="E364" s="31"/>
      <c r="F364" s="133"/>
      <c r="H364" s="31"/>
      <c r="I364" s="31"/>
      <c r="R364" s="32"/>
      <c r="S364" s="32"/>
      <c r="U364" s="33"/>
      <c r="V364" s="33"/>
      <c r="AD364" s="32"/>
    </row>
    <row r="365" spans="4:30" x14ac:dyDescent="0.2">
      <c r="D365" s="29"/>
      <c r="E365" s="31"/>
      <c r="F365" s="133"/>
      <c r="H365" s="31"/>
      <c r="I365" s="31"/>
      <c r="R365" s="32"/>
      <c r="S365" s="32"/>
      <c r="U365" s="33"/>
      <c r="V365" s="33"/>
      <c r="AD365" s="32"/>
    </row>
    <row r="366" spans="4:30" x14ac:dyDescent="0.2">
      <c r="D366" s="29"/>
      <c r="E366" s="31"/>
      <c r="F366" s="133"/>
      <c r="H366" s="31"/>
      <c r="I366" s="31"/>
      <c r="R366" s="32"/>
      <c r="S366" s="32"/>
      <c r="U366" s="33"/>
      <c r="V366" s="33"/>
      <c r="AD366" s="32"/>
    </row>
    <row r="367" spans="4:30" x14ac:dyDescent="0.2">
      <c r="D367" s="29"/>
      <c r="E367" s="31"/>
      <c r="F367" s="133"/>
      <c r="H367" s="31"/>
      <c r="I367" s="31"/>
      <c r="R367" s="32"/>
      <c r="S367" s="32"/>
      <c r="U367" s="33"/>
      <c r="V367" s="33"/>
      <c r="AD367" s="32"/>
    </row>
    <row r="368" spans="4:30" x14ac:dyDescent="0.2">
      <c r="D368" s="29"/>
      <c r="E368" s="31"/>
      <c r="F368" s="133"/>
      <c r="H368" s="31"/>
      <c r="I368" s="31"/>
      <c r="R368" s="32"/>
      <c r="S368" s="32"/>
      <c r="U368" s="33"/>
      <c r="V368" s="33"/>
      <c r="AD368" s="32"/>
    </row>
    <row r="369" spans="4:40" x14ac:dyDescent="0.2">
      <c r="D369" s="29"/>
      <c r="E369" s="31"/>
      <c r="F369" s="133"/>
      <c r="H369" s="31"/>
      <c r="I369" s="31"/>
      <c r="R369" s="32"/>
      <c r="S369" s="32"/>
      <c r="U369" s="33"/>
      <c r="V369" s="33"/>
      <c r="AD369" s="32"/>
    </row>
    <row r="370" spans="4:40" x14ac:dyDescent="0.2">
      <c r="E370" s="31"/>
      <c r="F370" s="133"/>
      <c r="H370" s="31"/>
      <c r="I370" s="31"/>
      <c r="R370" s="32"/>
      <c r="S370" s="32"/>
      <c r="U370" s="33"/>
      <c r="V370" s="33"/>
      <c r="AD370" s="32"/>
    </row>
    <row r="371" spans="4:40" x14ac:dyDescent="0.2">
      <c r="E371" s="31"/>
      <c r="F371" s="133"/>
      <c r="H371" s="31"/>
      <c r="I371" s="31"/>
      <c r="R371" s="32"/>
      <c r="S371" s="32"/>
      <c r="U371" s="33"/>
      <c r="V371" s="33"/>
      <c r="AD371" s="32"/>
    </row>
    <row r="372" spans="4:40" x14ac:dyDescent="0.2">
      <c r="E372" s="31"/>
      <c r="F372" s="133"/>
      <c r="H372" s="31"/>
      <c r="I372" s="31"/>
      <c r="R372" s="32"/>
      <c r="S372" s="32"/>
      <c r="U372" s="33"/>
      <c r="V372" s="33"/>
      <c r="AD372" s="32"/>
    </row>
    <row r="373" spans="4:40" x14ac:dyDescent="0.2">
      <c r="E373" s="31"/>
      <c r="F373" s="133"/>
      <c r="H373" s="31"/>
      <c r="I373" s="31"/>
      <c r="R373" s="32"/>
      <c r="S373" s="32"/>
      <c r="U373" s="33"/>
      <c r="V373" s="33"/>
      <c r="AD373" s="32"/>
    </row>
    <row r="374" spans="4:40" x14ac:dyDescent="0.2">
      <c r="E374" s="31"/>
      <c r="F374" s="133"/>
      <c r="H374" s="31"/>
      <c r="I374" s="31"/>
      <c r="R374" s="32"/>
      <c r="S374" s="32"/>
      <c r="U374" s="33"/>
      <c r="V374" s="33"/>
      <c r="AD374" s="32"/>
    </row>
    <row r="375" spans="4:40" x14ac:dyDescent="0.2">
      <c r="E375" s="31"/>
      <c r="F375" s="133"/>
      <c r="H375" s="31"/>
      <c r="I375" s="31"/>
      <c r="R375" s="32"/>
      <c r="S375" s="32"/>
      <c r="U375" s="33"/>
      <c r="V375" s="33"/>
      <c r="AD375" s="32"/>
    </row>
    <row r="376" spans="4:40" x14ac:dyDescent="0.2">
      <c r="E376" s="31"/>
      <c r="F376" s="133"/>
      <c r="H376" s="31"/>
      <c r="I376" s="31"/>
      <c r="R376" s="32"/>
      <c r="S376" s="32"/>
      <c r="U376" s="33"/>
      <c r="V376" s="33"/>
      <c r="AD376" s="32"/>
    </row>
    <row r="377" spans="4:40" x14ac:dyDescent="0.2">
      <c r="E377" s="31"/>
      <c r="F377" s="133"/>
      <c r="H377" s="31"/>
      <c r="I377" s="31"/>
      <c r="R377" s="32"/>
      <c r="S377" s="32"/>
      <c r="U377" s="33"/>
      <c r="V377" s="33"/>
      <c r="AD377" s="32"/>
    </row>
    <row r="378" spans="4:40" x14ac:dyDescent="0.2">
      <c r="E378" s="31"/>
      <c r="F378" s="133"/>
      <c r="H378" s="31"/>
      <c r="I378" s="31"/>
      <c r="R378" s="32"/>
      <c r="S378" s="32"/>
      <c r="U378" s="33"/>
      <c r="V378" s="33"/>
      <c r="AD378" s="32"/>
    </row>
    <row r="379" spans="4:40" x14ac:dyDescent="0.2">
      <c r="E379" s="31"/>
      <c r="F379" s="133"/>
      <c r="H379" s="31"/>
      <c r="I379" s="31"/>
      <c r="R379" s="32"/>
      <c r="S379" s="32"/>
      <c r="U379" s="33"/>
      <c r="V379" s="33"/>
      <c r="AD379" s="32"/>
    </row>
    <row r="380" spans="4:40" x14ac:dyDescent="0.2">
      <c r="E380" s="31"/>
      <c r="F380" s="133"/>
      <c r="H380" s="31"/>
      <c r="I380" s="31"/>
      <c r="R380" s="32"/>
      <c r="S380" s="32"/>
      <c r="U380" s="33"/>
      <c r="V380" s="33"/>
      <c r="AD380" s="32"/>
    </row>
    <row r="381" spans="4:40" x14ac:dyDescent="0.2">
      <c r="E381" s="31"/>
      <c r="F381" s="133"/>
      <c r="H381" s="31"/>
      <c r="I381" s="31"/>
      <c r="R381" s="32"/>
      <c r="S381" s="32"/>
      <c r="U381" s="33"/>
      <c r="V381" s="33"/>
      <c r="AD381" s="32"/>
    </row>
    <row r="382" spans="4:40" x14ac:dyDescent="0.2">
      <c r="E382" s="31"/>
      <c r="F382" s="133"/>
      <c r="H382" s="31"/>
      <c r="I382" s="31"/>
      <c r="R382" s="32"/>
      <c r="S382" s="32"/>
      <c r="U382" s="33"/>
      <c r="V382" s="33"/>
      <c r="AD382" s="32"/>
    </row>
    <row r="383" spans="4:40" x14ac:dyDescent="0.2">
      <c r="E383" s="31"/>
      <c r="F383" s="133"/>
      <c r="G383" s="32"/>
      <c r="H383" s="31"/>
      <c r="I383" s="31"/>
      <c r="J383" s="32"/>
      <c r="K383" s="32"/>
      <c r="N383" s="32"/>
      <c r="O383" s="32"/>
      <c r="P383" s="32"/>
      <c r="Q383" s="32"/>
      <c r="R383" s="32"/>
      <c r="S383" s="32"/>
      <c r="T383" s="32"/>
      <c r="U383" s="32"/>
      <c r="V383" s="32"/>
      <c r="AD383" s="32"/>
      <c r="AE383" s="119"/>
      <c r="AF383" s="32"/>
      <c r="AG383" s="32"/>
      <c r="AH383" s="32"/>
      <c r="AJ383" s="32"/>
      <c r="AK383" s="32"/>
      <c r="AL383" s="32"/>
      <c r="AM383" s="32"/>
      <c r="AN383" s="32"/>
    </row>
    <row r="384" spans="4:40" x14ac:dyDescent="0.2">
      <c r="E384" s="31"/>
      <c r="F384" s="133"/>
      <c r="H384" s="31"/>
      <c r="I384" s="31"/>
      <c r="R384" s="32"/>
      <c r="S384" s="32"/>
      <c r="U384" s="33"/>
      <c r="V384" s="33"/>
      <c r="AD384" s="32"/>
    </row>
    <row r="385" spans="5:30" x14ac:dyDescent="0.2">
      <c r="E385" s="31"/>
      <c r="F385" s="133"/>
      <c r="H385" s="31"/>
      <c r="I385" s="31"/>
      <c r="R385" s="32"/>
      <c r="S385" s="32"/>
      <c r="U385" s="33"/>
      <c r="V385" s="33"/>
      <c r="AD385" s="32"/>
    </row>
    <row r="386" spans="5:30" x14ac:dyDescent="0.2">
      <c r="E386" s="31"/>
      <c r="F386" s="133"/>
      <c r="H386" s="31"/>
      <c r="I386" s="31"/>
      <c r="R386" s="32"/>
      <c r="S386" s="32"/>
      <c r="U386" s="33"/>
      <c r="V386" s="33"/>
      <c r="AD386" s="32"/>
    </row>
    <row r="387" spans="5:30" x14ac:dyDescent="0.2">
      <c r="E387" s="31"/>
      <c r="F387" s="133"/>
      <c r="H387" s="31"/>
      <c r="I387" s="31"/>
      <c r="R387" s="32"/>
      <c r="S387" s="32"/>
      <c r="U387" s="33"/>
      <c r="V387" s="33"/>
      <c r="AD387" s="32"/>
    </row>
    <row r="388" spans="5:30" x14ac:dyDescent="0.2">
      <c r="E388" s="31"/>
      <c r="F388" s="133"/>
      <c r="H388" s="31"/>
      <c r="I388" s="31"/>
      <c r="R388" s="32"/>
      <c r="S388" s="32"/>
      <c r="U388" s="33"/>
      <c r="V388" s="33"/>
      <c r="AD388" s="32"/>
    </row>
    <row r="389" spans="5:30" x14ac:dyDescent="0.2">
      <c r="E389" s="31"/>
      <c r="F389" s="133"/>
      <c r="H389" s="31"/>
      <c r="I389" s="31"/>
      <c r="R389" s="32"/>
      <c r="S389" s="32"/>
      <c r="U389" s="33"/>
      <c r="V389" s="33"/>
      <c r="AD389" s="32"/>
    </row>
    <row r="390" spans="5:30" x14ac:dyDescent="0.2">
      <c r="E390" s="31"/>
      <c r="F390" s="133"/>
      <c r="H390" s="31"/>
      <c r="I390" s="31"/>
      <c r="R390" s="32"/>
      <c r="S390" s="32"/>
      <c r="U390" s="33"/>
      <c r="V390" s="33"/>
      <c r="AD390" s="32"/>
    </row>
    <row r="391" spans="5:30" x14ac:dyDescent="0.2">
      <c r="E391" s="31"/>
      <c r="F391" s="133"/>
      <c r="H391" s="31"/>
      <c r="I391" s="31"/>
      <c r="R391" s="32"/>
      <c r="S391" s="32"/>
      <c r="U391" s="33"/>
      <c r="V391" s="33"/>
      <c r="AD391" s="32"/>
    </row>
    <row r="392" spans="5:30" x14ac:dyDescent="0.2">
      <c r="E392" s="31"/>
      <c r="F392" s="133"/>
      <c r="H392" s="31"/>
      <c r="I392" s="31"/>
      <c r="R392" s="32"/>
      <c r="S392" s="32"/>
      <c r="U392" s="33"/>
      <c r="V392" s="33"/>
      <c r="AD392" s="32"/>
    </row>
    <row r="393" spans="5:30" x14ac:dyDescent="0.2">
      <c r="E393" s="31"/>
      <c r="F393" s="133"/>
      <c r="H393" s="31"/>
      <c r="I393" s="31"/>
      <c r="R393" s="32"/>
      <c r="S393" s="32"/>
      <c r="U393" s="33"/>
      <c r="V393" s="33"/>
      <c r="AD393" s="32"/>
    </row>
    <row r="394" spans="5:30" x14ac:dyDescent="0.2">
      <c r="E394" s="31"/>
      <c r="F394" s="133"/>
      <c r="H394" s="31"/>
      <c r="I394" s="31"/>
      <c r="R394" s="32"/>
      <c r="S394" s="32"/>
      <c r="U394" s="33"/>
      <c r="V394" s="33"/>
      <c r="AD394" s="32"/>
    </row>
    <row r="395" spans="5:30" x14ac:dyDescent="0.2">
      <c r="E395" s="31"/>
      <c r="F395" s="133"/>
      <c r="H395" s="31"/>
      <c r="I395" s="31"/>
      <c r="R395" s="32"/>
      <c r="S395" s="32"/>
      <c r="U395" s="33"/>
      <c r="V395" s="33"/>
      <c r="AD395" s="32"/>
    </row>
    <row r="396" spans="5:30" x14ac:dyDescent="0.2">
      <c r="E396" s="31"/>
      <c r="F396" s="133"/>
      <c r="H396" s="31"/>
      <c r="I396" s="31"/>
      <c r="R396" s="32"/>
      <c r="S396" s="32"/>
      <c r="U396" s="33"/>
      <c r="V396" s="33"/>
      <c r="AD396" s="32"/>
    </row>
    <row r="397" spans="5:30" x14ac:dyDescent="0.2">
      <c r="E397" s="31"/>
      <c r="F397" s="133"/>
      <c r="H397" s="31"/>
      <c r="I397" s="31"/>
      <c r="R397" s="32"/>
      <c r="S397" s="32"/>
      <c r="U397" s="33"/>
      <c r="V397" s="33"/>
      <c r="AD397" s="32"/>
    </row>
    <row r="398" spans="5:30" x14ac:dyDescent="0.2">
      <c r="E398" s="31"/>
      <c r="F398" s="133"/>
      <c r="H398" s="31"/>
      <c r="I398" s="31"/>
      <c r="R398" s="32"/>
      <c r="S398" s="32"/>
      <c r="U398" s="33"/>
      <c r="V398" s="33"/>
      <c r="AD398" s="32"/>
    </row>
    <row r="399" spans="5:30" x14ac:dyDescent="0.2">
      <c r="E399" s="31"/>
      <c r="F399" s="133"/>
      <c r="H399" s="31"/>
      <c r="I399" s="31"/>
      <c r="R399" s="32"/>
      <c r="S399" s="32"/>
      <c r="U399" s="33"/>
      <c r="V399" s="33"/>
      <c r="AD399" s="32"/>
    </row>
    <row r="400" spans="5:30" x14ac:dyDescent="0.2">
      <c r="E400" s="31"/>
      <c r="F400" s="133"/>
      <c r="H400" s="31"/>
      <c r="I400" s="31"/>
      <c r="R400" s="32"/>
      <c r="S400" s="32"/>
      <c r="U400" s="33"/>
      <c r="V400" s="33"/>
      <c r="AD400" s="32"/>
    </row>
    <row r="401" spans="5:30" x14ac:dyDescent="0.2">
      <c r="E401" s="31"/>
      <c r="F401" s="133"/>
      <c r="H401" s="31"/>
      <c r="I401" s="31"/>
      <c r="R401" s="32"/>
      <c r="S401" s="32"/>
      <c r="U401" s="33"/>
      <c r="V401" s="33"/>
      <c r="AD401" s="32"/>
    </row>
    <row r="402" spans="5:30" x14ac:dyDescent="0.2">
      <c r="E402" s="31"/>
      <c r="F402" s="133"/>
      <c r="H402" s="31"/>
      <c r="I402" s="31"/>
      <c r="R402" s="32"/>
      <c r="S402" s="32"/>
      <c r="U402" s="33"/>
      <c r="V402" s="33"/>
      <c r="AD402" s="32"/>
    </row>
    <row r="403" spans="5:30" x14ac:dyDescent="0.2">
      <c r="E403" s="31"/>
      <c r="F403" s="133"/>
      <c r="H403" s="31"/>
      <c r="I403" s="31"/>
      <c r="R403" s="32"/>
      <c r="S403" s="32"/>
      <c r="U403" s="33"/>
      <c r="V403" s="33"/>
      <c r="AD403" s="32"/>
    </row>
    <row r="404" spans="5:30" x14ac:dyDescent="0.2">
      <c r="E404" s="31"/>
      <c r="F404" s="133"/>
      <c r="H404" s="31"/>
      <c r="I404" s="31"/>
      <c r="R404" s="32"/>
      <c r="S404" s="32"/>
      <c r="U404" s="33"/>
      <c r="V404" s="33"/>
      <c r="AD404" s="32"/>
    </row>
    <row r="405" spans="5:30" x14ac:dyDescent="0.2">
      <c r="E405" s="31"/>
      <c r="F405" s="133"/>
      <c r="H405" s="31"/>
      <c r="I405" s="31"/>
      <c r="R405" s="32"/>
      <c r="S405" s="32"/>
      <c r="U405" s="33"/>
      <c r="V405" s="33"/>
      <c r="AD405" s="32"/>
    </row>
    <row r="406" spans="5:30" x14ac:dyDescent="0.2">
      <c r="E406" s="31"/>
      <c r="F406" s="133"/>
      <c r="H406" s="31"/>
      <c r="I406" s="31"/>
      <c r="R406" s="32"/>
      <c r="S406" s="32"/>
      <c r="U406" s="33"/>
      <c r="V406" s="33"/>
      <c r="AD406" s="32"/>
    </row>
    <row r="407" spans="5:30" x14ac:dyDescent="0.2">
      <c r="E407" s="31"/>
      <c r="F407" s="133"/>
      <c r="H407" s="31"/>
      <c r="I407" s="31"/>
      <c r="R407" s="32"/>
      <c r="S407" s="32"/>
      <c r="U407" s="33"/>
      <c r="V407" s="33"/>
      <c r="AD407" s="32"/>
    </row>
    <row r="408" spans="5:30" x14ac:dyDescent="0.2">
      <c r="E408" s="31"/>
      <c r="F408" s="133"/>
      <c r="H408" s="31"/>
      <c r="I408" s="31"/>
      <c r="R408" s="32"/>
      <c r="S408" s="32"/>
      <c r="U408" s="33"/>
      <c r="V408" s="33"/>
      <c r="AD408" s="32"/>
    </row>
    <row r="409" spans="5:30" x14ac:dyDescent="0.2">
      <c r="E409" s="31"/>
      <c r="F409" s="133"/>
      <c r="H409" s="31"/>
      <c r="I409" s="31"/>
      <c r="R409" s="32"/>
      <c r="S409" s="32"/>
      <c r="U409" s="33"/>
      <c r="V409" s="33"/>
      <c r="AD409" s="32"/>
    </row>
    <row r="410" spans="5:30" x14ac:dyDescent="0.2">
      <c r="E410" s="31"/>
      <c r="F410" s="133"/>
      <c r="H410" s="31"/>
      <c r="I410" s="31"/>
      <c r="R410" s="32"/>
      <c r="S410" s="32"/>
      <c r="U410" s="33"/>
      <c r="V410" s="33"/>
      <c r="AD410" s="32"/>
    </row>
    <row r="411" spans="5:30" x14ac:dyDescent="0.2">
      <c r="E411" s="31"/>
      <c r="F411" s="133"/>
      <c r="H411" s="31"/>
      <c r="I411" s="31"/>
      <c r="R411" s="32"/>
      <c r="S411" s="32"/>
      <c r="U411" s="33"/>
      <c r="V411" s="33"/>
      <c r="AD411" s="32"/>
    </row>
    <row r="412" spans="5:30" x14ac:dyDescent="0.2">
      <c r="E412" s="31"/>
      <c r="F412" s="133"/>
      <c r="H412" s="31"/>
      <c r="I412" s="31"/>
      <c r="R412" s="32"/>
      <c r="S412" s="32"/>
      <c r="U412" s="33"/>
      <c r="V412" s="33"/>
      <c r="AD412" s="32"/>
    </row>
    <row r="413" spans="5:30" x14ac:dyDescent="0.2">
      <c r="E413" s="31"/>
      <c r="F413" s="133"/>
      <c r="H413" s="31"/>
      <c r="I413" s="31"/>
      <c r="R413" s="32"/>
      <c r="S413" s="32"/>
      <c r="U413" s="33"/>
      <c r="V413" s="33"/>
      <c r="AD413" s="32"/>
    </row>
    <row r="414" spans="5:30" x14ac:dyDescent="0.2">
      <c r="E414" s="31"/>
      <c r="F414" s="133"/>
      <c r="H414" s="31"/>
      <c r="I414" s="31"/>
      <c r="R414" s="32"/>
      <c r="S414" s="32"/>
      <c r="U414" s="33"/>
      <c r="V414" s="33"/>
      <c r="AD414" s="32"/>
    </row>
    <row r="415" spans="5:30" x14ac:dyDescent="0.2">
      <c r="E415" s="31"/>
      <c r="F415" s="133"/>
      <c r="H415" s="31"/>
      <c r="I415" s="31"/>
      <c r="R415" s="32"/>
      <c r="S415" s="32"/>
      <c r="U415" s="33"/>
      <c r="V415" s="33"/>
      <c r="AD415" s="32"/>
    </row>
    <row r="416" spans="5:30" x14ac:dyDescent="0.2">
      <c r="E416" s="31"/>
      <c r="F416" s="133"/>
      <c r="H416" s="31"/>
      <c r="I416" s="31"/>
      <c r="R416" s="32"/>
      <c r="S416" s="32"/>
      <c r="U416" s="33"/>
      <c r="V416" s="33"/>
      <c r="AD416" s="32"/>
    </row>
    <row r="417" spans="5:30" x14ac:dyDescent="0.2">
      <c r="E417" s="31"/>
      <c r="F417" s="133"/>
      <c r="H417" s="31"/>
      <c r="I417" s="31"/>
      <c r="R417" s="32"/>
      <c r="S417" s="32"/>
      <c r="U417" s="33"/>
      <c r="V417" s="33"/>
      <c r="AD417" s="32"/>
    </row>
    <row r="418" spans="5:30" x14ac:dyDescent="0.2">
      <c r="E418" s="31"/>
      <c r="F418" s="133"/>
      <c r="H418" s="31"/>
      <c r="I418" s="31"/>
      <c r="R418" s="32"/>
      <c r="S418" s="32"/>
      <c r="U418" s="33"/>
      <c r="V418" s="33"/>
      <c r="AD418" s="32"/>
    </row>
    <row r="419" spans="5:30" x14ac:dyDescent="0.2">
      <c r="E419" s="31"/>
      <c r="F419" s="133"/>
      <c r="H419" s="31"/>
      <c r="I419" s="31"/>
      <c r="R419" s="32"/>
      <c r="S419" s="32"/>
      <c r="U419" s="33"/>
      <c r="V419" s="33"/>
      <c r="AD419" s="32"/>
    </row>
    <row r="420" spans="5:30" x14ac:dyDescent="0.2">
      <c r="E420" s="31"/>
      <c r="F420" s="133"/>
      <c r="H420" s="31"/>
      <c r="I420" s="31"/>
      <c r="R420" s="32"/>
      <c r="S420" s="32"/>
      <c r="U420" s="33"/>
      <c r="V420" s="33"/>
      <c r="AD420" s="32"/>
    </row>
    <row r="421" spans="5:30" x14ac:dyDescent="0.2">
      <c r="E421" s="31"/>
      <c r="F421" s="133"/>
      <c r="H421" s="31"/>
      <c r="I421" s="31"/>
      <c r="R421" s="32"/>
      <c r="S421" s="32"/>
      <c r="U421" s="33"/>
      <c r="V421" s="33"/>
      <c r="AD421" s="32"/>
    </row>
    <row r="422" spans="5:30" x14ac:dyDescent="0.2">
      <c r="E422" s="31"/>
      <c r="F422" s="133"/>
      <c r="H422" s="31"/>
      <c r="I422" s="31"/>
      <c r="R422" s="32"/>
      <c r="S422" s="32"/>
      <c r="U422" s="33"/>
      <c r="V422" s="33"/>
      <c r="AD422" s="32"/>
    </row>
    <row r="423" spans="5:30" x14ac:dyDescent="0.2">
      <c r="E423" s="31"/>
      <c r="F423" s="133"/>
      <c r="H423" s="31"/>
      <c r="I423" s="31"/>
      <c r="R423" s="32"/>
      <c r="S423" s="32"/>
      <c r="U423" s="33"/>
      <c r="V423" s="33"/>
      <c r="AD423" s="32"/>
    </row>
    <row r="424" spans="5:30" x14ac:dyDescent="0.2">
      <c r="E424" s="31"/>
      <c r="F424" s="133"/>
      <c r="H424" s="31"/>
      <c r="I424" s="31"/>
      <c r="R424" s="32"/>
      <c r="S424" s="32"/>
      <c r="U424" s="33"/>
      <c r="V424" s="33"/>
      <c r="AD424" s="32"/>
    </row>
    <row r="425" spans="5:30" x14ac:dyDescent="0.2">
      <c r="E425" s="31"/>
      <c r="F425" s="133"/>
      <c r="H425" s="31"/>
      <c r="I425" s="31"/>
      <c r="R425" s="32"/>
      <c r="S425" s="32"/>
      <c r="U425" s="33"/>
      <c r="V425" s="33"/>
      <c r="AD425" s="32"/>
    </row>
    <row r="426" spans="5:30" x14ac:dyDescent="0.2">
      <c r="E426" s="31"/>
      <c r="F426" s="133"/>
      <c r="H426" s="31"/>
      <c r="I426" s="31"/>
      <c r="R426" s="32"/>
      <c r="S426" s="32"/>
      <c r="U426" s="33"/>
      <c r="V426" s="33"/>
      <c r="AD426" s="32"/>
    </row>
    <row r="427" spans="5:30" x14ac:dyDescent="0.2">
      <c r="E427" s="31"/>
      <c r="F427" s="133"/>
      <c r="H427" s="31"/>
      <c r="I427" s="31"/>
      <c r="R427" s="32"/>
      <c r="S427" s="32"/>
      <c r="U427" s="33"/>
      <c r="V427" s="33"/>
      <c r="AD427" s="32"/>
    </row>
    <row r="428" spans="5:30" x14ac:dyDescent="0.2">
      <c r="E428" s="31"/>
      <c r="F428" s="133"/>
      <c r="H428" s="31"/>
      <c r="I428" s="31"/>
      <c r="R428" s="32"/>
      <c r="S428" s="32"/>
      <c r="U428" s="33"/>
      <c r="V428" s="33"/>
      <c r="AD428" s="32"/>
    </row>
    <row r="429" spans="5:30" x14ac:dyDescent="0.2">
      <c r="E429" s="31"/>
      <c r="F429" s="133"/>
      <c r="H429" s="31"/>
      <c r="I429" s="31"/>
      <c r="R429" s="32"/>
      <c r="S429" s="32"/>
      <c r="U429" s="33"/>
      <c r="V429" s="33"/>
      <c r="AD429" s="32"/>
    </row>
    <row r="430" spans="5:30" x14ac:dyDescent="0.2">
      <c r="E430" s="31"/>
      <c r="F430" s="133"/>
      <c r="H430" s="31"/>
      <c r="I430" s="31"/>
      <c r="R430" s="32"/>
      <c r="S430" s="32"/>
      <c r="U430" s="33"/>
      <c r="V430" s="33"/>
      <c r="AD430" s="32"/>
    </row>
    <row r="431" spans="5:30" x14ac:dyDescent="0.2">
      <c r="E431" s="31"/>
      <c r="F431" s="133"/>
      <c r="H431" s="31"/>
      <c r="I431" s="31"/>
      <c r="R431" s="32"/>
      <c r="S431" s="32"/>
      <c r="U431" s="33"/>
      <c r="V431" s="33"/>
      <c r="AD431" s="32"/>
    </row>
    <row r="432" spans="5:30" x14ac:dyDescent="0.2">
      <c r="E432" s="31"/>
      <c r="F432" s="133"/>
      <c r="H432" s="31"/>
      <c r="I432" s="31"/>
      <c r="R432" s="32"/>
      <c r="S432" s="32"/>
      <c r="U432" s="33"/>
      <c r="V432" s="33"/>
      <c r="AD432" s="32"/>
    </row>
    <row r="433" spans="5:30" x14ac:dyDescent="0.2">
      <c r="E433" s="31"/>
      <c r="F433" s="133"/>
      <c r="H433" s="31"/>
      <c r="I433" s="31"/>
      <c r="R433" s="32"/>
      <c r="S433" s="32"/>
      <c r="U433" s="33"/>
      <c r="V433" s="33"/>
      <c r="AD433" s="32"/>
    </row>
    <row r="434" spans="5:30" x14ac:dyDescent="0.2">
      <c r="E434" s="31"/>
      <c r="F434" s="133"/>
      <c r="H434" s="31"/>
      <c r="I434" s="31"/>
      <c r="R434" s="32"/>
      <c r="S434" s="32"/>
      <c r="U434" s="33"/>
      <c r="V434" s="33"/>
      <c r="AD434" s="32"/>
    </row>
    <row r="435" spans="5:30" x14ac:dyDescent="0.2">
      <c r="E435" s="31"/>
      <c r="F435" s="133"/>
      <c r="H435" s="31"/>
      <c r="I435" s="31"/>
      <c r="R435" s="32"/>
      <c r="S435" s="32"/>
      <c r="U435" s="33"/>
      <c r="V435" s="33"/>
      <c r="AD435" s="32"/>
    </row>
    <row r="436" spans="5:30" x14ac:dyDescent="0.2">
      <c r="E436" s="31"/>
      <c r="F436" s="133"/>
      <c r="H436" s="31"/>
      <c r="I436" s="31"/>
      <c r="R436" s="32"/>
      <c r="S436" s="32"/>
      <c r="U436" s="33"/>
      <c r="V436" s="33"/>
      <c r="AD436" s="32"/>
    </row>
    <row r="437" spans="5:30" x14ac:dyDescent="0.2">
      <c r="E437" s="31"/>
      <c r="F437" s="133"/>
      <c r="H437" s="31"/>
      <c r="I437" s="31"/>
      <c r="R437" s="32"/>
      <c r="S437" s="32"/>
      <c r="U437" s="33"/>
      <c r="V437" s="33"/>
      <c r="AD437" s="32"/>
    </row>
    <row r="438" spans="5:30" x14ac:dyDescent="0.2">
      <c r="E438" s="31"/>
      <c r="F438" s="133"/>
      <c r="H438" s="31"/>
      <c r="I438" s="31"/>
      <c r="R438" s="32"/>
      <c r="S438" s="32"/>
      <c r="U438" s="33"/>
      <c r="V438" s="33"/>
      <c r="AD438" s="32"/>
    </row>
    <row r="439" spans="5:30" x14ac:dyDescent="0.2">
      <c r="E439" s="31"/>
      <c r="F439" s="133"/>
      <c r="H439" s="31"/>
      <c r="I439" s="31"/>
      <c r="R439" s="32"/>
      <c r="S439" s="32"/>
      <c r="U439" s="33"/>
      <c r="V439" s="33"/>
      <c r="AD439" s="32"/>
    </row>
    <row r="440" spans="5:30" x14ac:dyDescent="0.2">
      <c r="E440" s="31"/>
      <c r="F440" s="133"/>
      <c r="H440" s="31"/>
      <c r="I440" s="31"/>
      <c r="R440" s="32"/>
      <c r="S440" s="32"/>
      <c r="U440" s="33"/>
      <c r="V440" s="33"/>
      <c r="AD440" s="32"/>
    </row>
    <row r="441" spans="5:30" x14ac:dyDescent="0.2">
      <c r="E441" s="31"/>
      <c r="F441" s="133"/>
      <c r="H441" s="31"/>
      <c r="I441" s="31"/>
      <c r="R441" s="32"/>
      <c r="S441" s="32"/>
      <c r="U441" s="33"/>
      <c r="V441" s="33"/>
      <c r="AD441" s="32"/>
    </row>
    <row r="442" spans="5:30" x14ac:dyDescent="0.2">
      <c r="E442" s="31"/>
      <c r="F442" s="133"/>
      <c r="H442" s="31"/>
      <c r="I442" s="31"/>
      <c r="R442" s="32"/>
      <c r="S442" s="32"/>
      <c r="U442" s="33"/>
      <c r="V442" s="33"/>
      <c r="AD442" s="32"/>
    </row>
    <row r="443" spans="5:30" x14ac:dyDescent="0.2">
      <c r="E443" s="31"/>
      <c r="F443" s="133"/>
      <c r="H443" s="31"/>
      <c r="I443" s="31"/>
      <c r="R443" s="32"/>
      <c r="S443" s="32"/>
      <c r="U443" s="33"/>
      <c r="V443" s="33"/>
      <c r="AD443" s="32"/>
    </row>
    <row r="444" spans="5:30" x14ac:dyDescent="0.2">
      <c r="E444" s="31"/>
      <c r="F444" s="133"/>
      <c r="H444" s="31"/>
      <c r="I444" s="31"/>
      <c r="R444" s="32"/>
      <c r="S444" s="32"/>
      <c r="U444" s="33"/>
      <c r="V444" s="33"/>
      <c r="AD444" s="32"/>
    </row>
    <row r="445" spans="5:30" x14ac:dyDescent="0.2">
      <c r="E445" s="31"/>
      <c r="F445" s="133"/>
      <c r="H445" s="31"/>
      <c r="I445" s="31"/>
      <c r="R445" s="32"/>
      <c r="S445" s="32"/>
      <c r="U445" s="33"/>
      <c r="V445" s="33"/>
      <c r="AD445" s="32"/>
    </row>
    <row r="446" spans="5:30" x14ac:dyDescent="0.2">
      <c r="E446" s="31"/>
      <c r="F446" s="133"/>
      <c r="H446" s="31"/>
      <c r="I446" s="31"/>
      <c r="R446" s="32"/>
      <c r="S446" s="32"/>
      <c r="U446" s="33"/>
      <c r="V446" s="33"/>
      <c r="AD446" s="32"/>
    </row>
    <row r="447" spans="5:30" x14ac:dyDescent="0.2">
      <c r="E447" s="31"/>
      <c r="F447" s="133"/>
      <c r="H447" s="31"/>
      <c r="I447" s="31"/>
      <c r="R447" s="32"/>
      <c r="S447" s="32"/>
      <c r="U447" s="33"/>
      <c r="V447" s="33"/>
      <c r="AD447" s="32"/>
    </row>
    <row r="448" spans="5:30" x14ac:dyDescent="0.2">
      <c r="E448" s="31"/>
      <c r="F448" s="133"/>
      <c r="H448" s="31"/>
      <c r="I448" s="31"/>
      <c r="R448" s="32"/>
      <c r="S448" s="32"/>
      <c r="U448" s="33"/>
      <c r="V448" s="33"/>
      <c r="AD448" s="32"/>
    </row>
    <row r="449" spans="5:40" x14ac:dyDescent="0.2">
      <c r="E449" s="31"/>
      <c r="F449" s="133"/>
      <c r="H449" s="31"/>
      <c r="I449" s="31"/>
      <c r="R449" s="32"/>
      <c r="S449" s="32"/>
      <c r="U449" s="33"/>
      <c r="V449" s="33"/>
      <c r="AD449" s="32"/>
    </row>
    <row r="450" spans="5:40" x14ac:dyDescent="0.2">
      <c r="E450" s="31"/>
      <c r="F450" s="133"/>
      <c r="H450" s="31"/>
      <c r="I450" s="31"/>
      <c r="R450" s="32"/>
      <c r="S450" s="32"/>
      <c r="U450" s="33"/>
      <c r="V450" s="33"/>
      <c r="AD450" s="32"/>
    </row>
    <row r="451" spans="5:40" x14ac:dyDescent="0.2">
      <c r="E451" s="31"/>
      <c r="F451" s="133"/>
      <c r="H451" s="31"/>
      <c r="I451" s="31"/>
      <c r="R451" s="32"/>
      <c r="S451" s="32"/>
      <c r="U451" s="33"/>
      <c r="V451" s="33"/>
      <c r="AD451" s="32"/>
    </row>
    <row r="452" spans="5:40" x14ac:dyDescent="0.2">
      <c r="E452" s="31"/>
      <c r="F452" s="133"/>
      <c r="H452" s="31"/>
      <c r="I452" s="31"/>
      <c r="R452" s="32"/>
      <c r="S452" s="32"/>
      <c r="U452" s="33"/>
      <c r="V452" s="33"/>
      <c r="AD452" s="32"/>
    </row>
    <row r="453" spans="5:40" x14ac:dyDescent="0.2">
      <c r="E453" s="31"/>
      <c r="F453" s="133"/>
      <c r="H453" s="31"/>
      <c r="I453" s="31"/>
      <c r="R453" s="32"/>
      <c r="S453" s="32"/>
      <c r="U453" s="33"/>
      <c r="V453" s="33"/>
      <c r="AD453" s="32"/>
    </row>
    <row r="454" spans="5:40" x14ac:dyDescent="0.2">
      <c r="E454" s="31"/>
      <c r="F454" s="133"/>
      <c r="H454" s="31"/>
      <c r="I454" s="31"/>
      <c r="R454" s="32"/>
      <c r="S454" s="32"/>
      <c r="U454" s="33"/>
      <c r="V454" s="33"/>
      <c r="AD454" s="32"/>
    </row>
    <row r="455" spans="5:40" x14ac:dyDescent="0.2">
      <c r="E455" s="31"/>
      <c r="F455" s="133"/>
      <c r="H455" s="31"/>
      <c r="I455" s="31"/>
      <c r="R455" s="32"/>
      <c r="S455" s="32"/>
      <c r="U455" s="33"/>
      <c r="V455" s="33"/>
      <c r="AD455" s="32"/>
    </row>
    <row r="456" spans="5:40" x14ac:dyDescent="0.2">
      <c r="E456" s="31"/>
      <c r="F456" s="133"/>
      <c r="H456" s="31"/>
      <c r="I456" s="31"/>
      <c r="R456" s="32"/>
      <c r="S456" s="32"/>
      <c r="U456" s="33"/>
      <c r="V456" s="33"/>
      <c r="AD456" s="32"/>
    </row>
    <row r="457" spans="5:40" x14ac:dyDescent="0.2">
      <c r="E457" s="31"/>
      <c r="F457" s="133"/>
      <c r="H457" s="31"/>
      <c r="I457" s="31"/>
      <c r="R457" s="32"/>
      <c r="S457" s="32"/>
      <c r="U457" s="33"/>
      <c r="V457" s="33"/>
      <c r="AD457" s="32"/>
    </row>
    <row r="458" spans="5:40" x14ac:dyDescent="0.2">
      <c r="E458" s="31"/>
      <c r="F458" s="133"/>
      <c r="H458" s="31"/>
      <c r="I458" s="31"/>
      <c r="R458" s="32"/>
      <c r="S458" s="32"/>
      <c r="U458" s="33"/>
      <c r="V458" s="33"/>
      <c r="AD458" s="32"/>
    </row>
    <row r="459" spans="5:40" x14ac:dyDescent="0.2">
      <c r="E459" s="31"/>
      <c r="F459" s="133"/>
      <c r="G459" s="32"/>
      <c r="H459" s="31"/>
      <c r="I459" s="31"/>
      <c r="J459" s="32"/>
      <c r="K459" s="32"/>
      <c r="N459" s="32"/>
      <c r="O459" s="32"/>
      <c r="P459" s="32"/>
      <c r="Q459" s="32"/>
      <c r="R459" s="32"/>
      <c r="S459" s="32"/>
      <c r="T459" s="32"/>
      <c r="U459" s="32"/>
      <c r="V459" s="32"/>
      <c r="AD459" s="32"/>
      <c r="AE459" s="119"/>
      <c r="AF459" s="32"/>
      <c r="AG459" s="32"/>
      <c r="AH459" s="32"/>
      <c r="AJ459" s="32"/>
      <c r="AK459" s="32"/>
      <c r="AL459" s="32"/>
      <c r="AM459" s="32"/>
      <c r="AN459" s="32"/>
    </row>
    <row r="460" spans="5:40" x14ac:dyDescent="0.2">
      <c r="E460" s="31"/>
      <c r="F460" s="133"/>
      <c r="H460" s="31"/>
      <c r="I460" s="31"/>
      <c r="R460" s="32"/>
      <c r="S460" s="32"/>
      <c r="U460" s="33"/>
      <c r="V460" s="33"/>
      <c r="AD460" s="32"/>
    </row>
    <row r="461" spans="5:40" x14ac:dyDescent="0.2">
      <c r="E461" s="31"/>
      <c r="F461" s="133"/>
      <c r="H461" s="31"/>
      <c r="I461" s="31"/>
      <c r="R461" s="32"/>
      <c r="S461" s="32"/>
      <c r="U461" s="33"/>
      <c r="V461" s="33"/>
      <c r="AD461" s="32"/>
    </row>
    <row r="462" spans="5:40" x14ac:dyDescent="0.2">
      <c r="E462" s="31"/>
      <c r="F462" s="133"/>
      <c r="H462" s="31"/>
      <c r="I462" s="31"/>
      <c r="R462" s="32"/>
      <c r="S462" s="32"/>
      <c r="U462" s="33"/>
      <c r="V462" s="33"/>
      <c r="AD462" s="32"/>
    </row>
    <row r="463" spans="5:40" x14ac:dyDescent="0.2">
      <c r="E463" s="31"/>
      <c r="F463" s="133"/>
      <c r="H463" s="31"/>
      <c r="I463" s="31"/>
      <c r="R463" s="32"/>
      <c r="S463" s="32"/>
      <c r="U463" s="33"/>
      <c r="V463" s="33"/>
      <c r="AD463" s="32"/>
    </row>
    <row r="464" spans="5:40" x14ac:dyDescent="0.2">
      <c r="E464" s="31"/>
      <c r="F464" s="133"/>
      <c r="H464" s="31"/>
      <c r="I464" s="31"/>
      <c r="R464" s="32"/>
      <c r="S464" s="32"/>
      <c r="U464" s="33"/>
      <c r="V464" s="33"/>
      <c r="AD464" s="32"/>
    </row>
    <row r="465" spans="5:30" x14ac:dyDescent="0.2">
      <c r="E465" s="31"/>
      <c r="F465" s="133"/>
      <c r="H465" s="31"/>
      <c r="I465" s="31"/>
      <c r="R465" s="32"/>
      <c r="S465" s="32"/>
      <c r="U465" s="33"/>
      <c r="V465" s="33"/>
      <c r="AD465" s="32"/>
    </row>
    <row r="466" spans="5:30" x14ac:dyDescent="0.2">
      <c r="E466" s="31"/>
      <c r="F466" s="133"/>
      <c r="H466" s="31"/>
      <c r="I466" s="31"/>
      <c r="R466" s="32"/>
      <c r="S466" s="32"/>
      <c r="U466" s="33"/>
      <c r="V466" s="33"/>
      <c r="AD466" s="32"/>
    </row>
    <row r="467" spans="5:30" x14ac:dyDescent="0.2">
      <c r="E467" s="31"/>
      <c r="F467" s="133"/>
      <c r="H467" s="31"/>
      <c r="I467" s="31"/>
      <c r="R467" s="32"/>
      <c r="S467" s="32"/>
      <c r="U467" s="33"/>
      <c r="V467" s="33"/>
      <c r="AD467" s="32"/>
    </row>
    <row r="468" spans="5:30" x14ac:dyDescent="0.2">
      <c r="E468" s="31"/>
      <c r="F468" s="133"/>
      <c r="H468" s="31"/>
      <c r="I468" s="31"/>
      <c r="R468" s="32"/>
      <c r="S468" s="32"/>
      <c r="U468" s="33"/>
      <c r="V468" s="33"/>
      <c r="AD468" s="32"/>
    </row>
    <row r="469" spans="5:30" x14ac:dyDescent="0.2">
      <c r="E469" s="31"/>
      <c r="F469" s="133"/>
      <c r="H469" s="31"/>
      <c r="I469" s="31"/>
      <c r="R469" s="32"/>
      <c r="S469" s="32"/>
      <c r="U469" s="33"/>
      <c r="V469" s="33"/>
      <c r="AD469" s="32"/>
    </row>
    <row r="470" spans="5:30" x14ac:dyDescent="0.2">
      <c r="E470" s="31"/>
      <c r="F470" s="133"/>
      <c r="H470" s="31"/>
      <c r="I470" s="31"/>
      <c r="R470" s="32"/>
      <c r="S470" s="32"/>
      <c r="U470" s="33"/>
      <c r="V470" s="33"/>
      <c r="AD470" s="32"/>
    </row>
    <row r="471" spans="5:30" x14ac:dyDescent="0.2">
      <c r="E471" s="31"/>
      <c r="F471" s="133"/>
      <c r="H471" s="31"/>
      <c r="I471" s="31"/>
      <c r="R471" s="32"/>
      <c r="S471" s="32"/>
      <c r="U471" s="33"/>
      <c r="V471" s="33"/>
      <c r="AD471" s="32"/>
    </row>
    <row r="472" spans="5:30" x14ac:dyDescent="0.2">
      <c r="E472" s="31"/>
      <c r="F472" s="133"/>
      <c r="H472" s="31"/>
      <c r="I472" s="31"/>
      <c r="R472" s="32"/>
      <c r="S472" s="32"/>
      <c r="U472" s="33"/>
      <c r="V472" s="33"/>
      <c r="AD472" s="32"/>
    </row>
    <row r="473" spans="5:30" x14ac:dyDescent="0.2">
      <c r="E473" s="31"/>
      <c r="F473" s="133"/>
      <c r="H473" s="31"/>
      <c r="I473" s="31"/>
      <c r="R473" s="32"/>
      <c r="S473" s="32"/>
      <c r="U473" s="33"/>
      <c r="V473" s="33"/>
      <c r="AD473" s="32"/>
    </row>
    <row r="474" spans="5:30" x14ac:dyDescent="0.2">
      <c r="E474" s="31"/>
      <c r="F474" s="133"/>
      <c r="H474" s="31"/>
      <c r="I474" s="31"/>
      <c r="R474" s="32"/>
      <c r="S474" s="32"/>
      <c r="U474" s="33"/>
      <c r="V474" s="33"/>
      <c r="AD474" s="32"/>
    </row>
    <row r="475" spans="5:30" x14ac:dyDescent="0.2">
      <c r="E475" s="31"/>
      <c r="F475" s="133"/>
      <c r="H475" s="31"/>
      <c r="I475" s="31"/>
      <c r="R475" s="32"/>
      <c r="S475" s="32"/>
      <c r="U475" s="33"/>
      <c r="V475" s="33"/>
      <c r="AD475" s="32"/>
    </row>
    <row r="476" spans="5:30" x14ac:dyDescent="0.2">
      <c r="E476" s="31"/>
      <c r="F476" s="133"/>
      <c r="H476" s="31"/>
      <c r="I476" s="31"/>
      <c r="R476" s="32"/>
      <c r="S476" s="32"/>
      <c r="U476" s="33"/>
      <c r="V476" s="33"/>
      <c r="AD476" s="32"/>
    </row>
    <row r="477" spans="5:30" x14ac:dyDescent="0.2">
      <c r="E477" s="31"/>
      <c r="F477" s="133"/>
      <c r="H477" s="31"/>
      <c r="I477" s="31"/>
      <c r="R477" s="32"/>
      <c r="S477" s="32"/>
      <c r="U477" s="33"/>
      <c r="V477" s="33"/>
      <c r="AD477" s="32"/>
    </row>
    <row r="478" spans="5:30" x14ac:dyDescent="0.2">
      <c r="E478" s="31"/>
      <c r="F478" s="133"/>
      <c r="H478" s="31"/>
      <c r="I478" s="31"/>
      <c r="R478" s="32"/>
      <c r="S478" s="32"/>
      <c r="U478" s="33"/>
      <c r="V478" s="33"/>
      <c r="AD478" s="32"/>
    </row>
    <row r="479" spans="5:30" x14ac:dyDescent="0.2">
      <c r="E479" s="31"/>
      <c r="F479" s="133"/>
      <c r="H479" s="31"/>
      <c r="I479" s="31"/>
      <c r="R479" s="32"/>
      <c r="S479" s="32"/>
      <c r="U479" s="33"/>
      <c r="V479" s="33"/>
      <c r="AD479" s="32"/>
    </row>
    <row r="480" spans="5:30" x14ac:dyDescent="0.2">
      <c r="E480" s="31"/>
      <c r="F480" s="133"/>
      <c r="H480" s="31"/>
      <c r="I480" s="31"/>
      <c r="R480" s="32"/>
      <c r="S480" s="32"/>
      <c r="U480" s="33"/>
      <c r="V480" s="33"/>
      <c r="AD480" s="32"/>
    </row>
    <row r="481" spans="5:30" x14ac:dyDescent="0.2">
      <c r="E481" s="31"/>
      <c r="F481" s="133"/>
      <c r="H481" s="31"/>
      <c r="I481" s="31"/>
      <c r="R481" s="32"/>
      <c r="S481" s="32"/>
      <c r="U481" s="33"/>
      <c r="V481" s="33"/>
      <c r="AD481" s="32"/>
    </row>
    <row r="482" spans="5:30" x14ac:dyDescent="0.2">
      <c r="E482" s="31"/>
      <c r="F482" s="133"/>
      <c r="H482" s="31"/>
      <c r="I482" s="31"/>
      <c r="R482" s="32"/>
      <c r="S482" s="32"/>
      <c r="U482" s="33"/>
      <c r="V482" s="33"/>
      <c r="AD482" s="32"/>
    </row>
    <row r="483" spans="5:30" x14ac:dyDescent="0.2">
      <c r="E483" s="31"/>
      <c r="F483" s="133"/>
      <c r="H483" s="31"/>
      <c r="I483" s="31"/>
      <c r="R483" s="32"/>
      <c r="S483" s="32"/>
      <c r="U483" s="33"/>
      <c r="V483" s="33"/>
      <c r="AD483" s="32"/>
    </row>
    <row r="484" spans="5:30" x14ac:dyDescent="0.2">
      <c r="E484" s="31"/>
      <c r="F484" s="133"/>
      <c r="H484" s="31"/>
      <c r="I484" s="31"/>
      <c r="R484" s="32"/>
      <c r="S484" s="32"/>
      <c r="U484" s="33"/>
      <c r="V484" s="33"/>
      <c r="AD484" s="32"/>
    </row>
    <row r="485" spans="5:30" x14ac:dyDescent="0.2">
      <c r="E485" s="31"/>
      <c r="F485" s="133"/>
      <c r="H485" s="31"/>
      <c r="I485" s="31"/>
      <c r="R485" s="32"/>
      <c r="S485" s="32"/>
      <c r="U485" s="33"/>
      <c r="V485" s="33"/>
      <c r="AD485" s="32"/>
    </row>
    <row r="486" spans="5:30" x14ac:dyDescent="0.2">
      <c r="E486" s="31"/>
      <c r="F486" s="133"/>
      <c r="H486" s="31"/>
      <c r="I486" s="31"/>
      <c r="R486" s="32"/>
      <c r="S486" s="32"/>
      <c r="U486" s="33"/>
      <c r="V486" s="33"/>
      <c r="AD486" s="32"/>
    </row>
    <row r="487" spans="5:30" x14ac:dyDescent="0.2">
      <c r="E487" s="31"/>
      <c r="F487" s="133"/>
      <c r="H487" s="31"/>
      <c r="I487" s="31"/>
      <c r="R487" s="32"/>
      <c r="S487" s="32"/>
      <c r="U487" s="33"/>
      <c r="V487" s="33"/>
      <c r="AD487" s="32"/>
    </row>
    <row r="488" spans="5:30" x14ac:dyDescent="0.2">
      <c r="E488" s="31"/>
      <c r="F488" s="133"/>
      <c r="H488" s="31"/>
      <c r="I488" s="31"/>
      <c r="R488" s="32"/>
      <c r="S488" s="32"/>
      <c r="U488" s="33"/>
      <c r="V488" s="33"/>
      <c r="AD488" s="32"/>
    </row>
    <row r="489" spans="5:30" x14ac:dyDescent="0.2">
      <c r="E489" s="31"/>
      <c r="F489" s="133"/>
      <c r="H489" s="31"/>
      <c r="I489" s="31"/>
      <c r="R489" s="32"/>
      <c r="S489" s="32"/>
      <c r="U489" s="33"/>
      <c r="V489" s="33"/>
      <c r="AD489" s="32"/>
    </row>
    <row r="490" spans="5:30" x14ac:dyDescent="0.2">
      <c r="E490" s="31"/>
      <c r="F490" s="133"/>
      <c r="H490" s="31"/>
      <c r="I490" s="31"/>
      <c r="R490" s="32"/>
      <c r="S490" s="32"/>
      <c r="U490" s="33"/>
      <c r="V490" s="33"/>
      <c r="AD490" s="32"/>
    </row>
    <row r="491" spans="5:30" x14ac:dyDescent="0.2">
      <c r="E491" s="31"/>
      <c r="F491" s="133"/>
      <c r="H491" s="31"/>
      <c r="I491" s="31"/>
      <c r="R491" s="32"/>
      <c r="S491" s="32"/>
      <c r="U491" s="33"/>
      <c r="V491" s="33"/>
      <c r="AD491" s="32"/>
    </row>
    <row r="492" spans="5:30" x14ac:dyDescent="0.2">
      <c r="E492" s="31"/>
      <c r="F492" s="133"/>
      <c r="H492" s="31"/>
      <c r="I492" s="31"/>
      <c r="R492" s="32"/>
      <c r="S492" s="32"/>
      <c r="U492" s="33"/>
      <c r="V492" s="33"/>
      <c r="AD492" s="32"/>
    </row>
    <row r="493" spans="5:30" x14ac:dyDescent="0.2">
      <c r="E493" s="31"/>
      <c r="F493" s="133"/>
      <c r="H493" s="31"/>
      <c r="I493" s="31"/>
      <c r="R493" s="32"/>
      <c r="S493" s="32"/>
      <c r="U493" s="33"/>
      <c r="V493" s="33"/>
      <c r="AD493" s="32"/>
    </row>
    <row r="494" spans="5:30" x14ac:dyDescent="0.2">
      <c r="E494" s="31"/>
      <c r="F494" s="133"/>
      <c r="H494" s="31"/>
      <c r="I494" s="31"/>
      <c r="R494" s="32"/>
      <c r="S494" s="32"/>
      <c r="U494" s="33"/>
      <c r="V494" s="33"/>
      <c r="AD494" s="32"/>
    </row>
    <row r="495" spans="5:30" x14ac:dyDescent="0.2">
      <c r="E495" s="31"/>
      <c r="F495" s="133"/>
      <c r="H495" s="31"/>
      <c r="I495" s="31"/>
      <c r="R495" s="32"/>
      <c r="S495" s="32"/>
      <c r="U495" s="33"/>
      <c r="V495" s="33"/>
      <c r="AD495" s="32"/>
    </row>
    <row r="496" spans="5:30" x14ac:dyDescent="0.2">
      <c r="E496" s="31"/>
      <c r="F496" s="133"/>
      <c r="H496" s="31"/>
      <c r="I496" s="31"/>
      <c r="R496" s="32"/>
      <c r="S496" s="32"/>
      <c r="U496" s="33"/>
      <c r="V496" s="33"/>
      <c r="AD496" s="32"/>
    </row>
    <row r="497" spans="5:30" x14ac:dyDescent="0.2">
      <c r="E497" s="31"/>
      <c r="F497" s="133"/>
      <c r="H497" s="31"/>
      <c r="I497" s="31"/>
      <c r="R497" s="32"/>
      <c r="S497" s="32"/>
      <c r="U497" s="33"/>
      <c r="V497" s="33"/>
      <c r="AD497" s="32"/>
    </row>
    <row r="498" spans="5:30" x14ac:dyDescent="0.2">
      <c r="E498" s="31"/>
      <c r="F498" s="133"/>
      <c r="H498" s="31"/>
      <c r="I498" s="31"/>
      <c r="R498" s="32"/>
      <c r="S498" s="32"/>
      <c r="U498" s="33"/>
      <c r="V498" s="33"/>
      <c r="AD498" s="32"/>
    </row>
    <row r="499" spans="5:30" x14ac:dyDescent="0.2">
      <c r="E499" s="31"/>
      <c r="F499" s="133"/>
      <c r="H499" s="31"/>
      <c r="I499" s="31"/>
      <c r="R499" s="32"/>
      <c r="S499" s="32"/>
      <c r="U499" s="33"/>
      <c r="V499" s="33"/>
      <c r="AD499" s="32"/>
    </row>
    <row r="500" spans="5:30" x14ac:dyDescent="0.2">
      <c r="E500" s="31"/>
      <c r="F500" s="133"/>
      <c r="H500" s="31"/>
      <c r="I500" s="31"/>
      <c r="R500" s="32"/>
      <c r="S500" s="32"/>
      <c r="U500" s="33"/>
      <c r="V500" s="33"/>
      <c r="AD500" s="32"/>
    </row>
    <row r="501" spans="5:30" x14ac:dyDescent="0.2">
      <c r="E501" s="31"/>
      <c r="F501" s="133"/>
      <c r="H501" s="31"/>
      <c r="I501" s="31"/>
      <c r="R501" s="32"/>
      <c r="S501" s="32"/>
      <c r="U501" s="33"/>
      <c r="V501" s="33"/>
      <c r="AD501" s="32"/>
    </row>
    <row r="502" spans="5:30" x14ac:dyDescent="0.2">
      <c r="E502" s="31"/>
      <c r="F502" s="133"/>
      <c r="H502" s="31"/>
      <c r="I502" s="31"/>
      <c r="R502" s="32"/>
      <c r="S502" s="32"/>
      <c r="U502" s="33"/>
      <c r="V502" s="33"/>
      <c r="AD502" s="32"/>
    </row>
    <row r="503" spans="5:30" x14ac:dyDescent="0.2">
      <c r="E503" s="31"/>
      <c r="F503" s="133"/>
      <c r="H503" s="31"/>
      <c r="I503" s="31"/>
      <c r="R503" s="32"/>
      <c r="S503" s="32"/>
      <c r="U503" s="33"/>
      <c r="V503" s="33"/>
      <c r="AD503" s="32"/>
    </row>
    <row r="504" spans="5:30" x14ac:dyDescent="0.2">
      <c r="E504" s="31"/>
      <c r="F504" s="133"/>
      <c r="H504" s="31"/>
      <c r="I504" s="31"/>
      <c r="R504" s="32"/>
      <c r="S504" s="32"/>
      <c r="U504" s="33"/>
      <c r="V504" s="33"/>
      <c r="AD504" s="32"/>
    </row>
    <row r="505" spans="5:30" x14ac:dyDescent="0.2">
      <c r="E505" s="31"/>
      <c r="F505" s="133"/>
      <c r="H505" s="31"/>
      <c r="I505" s="31"/>
      <c r="R505" s="32"/>
      <c r="S505" s="32"/>
      <c r="U505" s="33"/>
      <c r="V505" s="33"/>
      <c r="AD505" s="32"/>
    </row>
    <row r="506" spans="5:30" x14ac:dyDescent="0.2">
      <c r="E506" s="31"/>
      <c r="F506" s="133"/>
      <c r="H506" s="31"/>
      <c r="I506" s="31"/>
      <c r="R506" s="32"/>
      <c r="S506" s="32"/>
      <c r="U506" s="33"/>
      <c r="V506" s="33"/>
      <c r="AD506" s="32"/>
    </row>
    <row r="507" spans="5:30" x14ac:dyDescent="0.2">
      <c r="E507" s="31"/>
      <c r="F507" s="133"/>
      <c r="H507" s="31"/>
      <c r="I507" s="31"/>
      <c r="R507" s="32"/>
      <c r="S507" s="32"/>
      <c r="U507" s="33"/>
      <c r="V507" s="33"/>
      <c r="AD507" s="32"/>
    </row>
    <row r="508" spans="5:30" x14ac:dyDescent="0.2">
      <c r="E508" s="31"/>
      <c r="F508" s="133"/>
      <c r="H508" s="31"/>
      <c r="I508" s="31"/>
      <c r="R508" s="32"/>
      <c r="S508" s="32"/>
      <c r="U508" s="33"/>
      <c r="V508" s="33"/>
      <c r="AD508" s="32"/>
    </row>
    <row r="509" spans="5:30" x14ac:dyDescent="0.2">
      <c r="E509" s="31"/>
      <c r="F509" s="133"/>
      <c r="H509" s="31"/>
      <c r="I509" s="31"/>
      <c r="R509" s="32"/>
      <c r="S509" s="32"/>
      <c r="U509" s="33"/>
      <c r="V509" s="33"/>
      <c r="AD509" s="32"/>
    </row>
    <row r="510" spans="5:30" x14ac:dyDescent="0.2">
      <c r="E510" s="31"/>
      <c r="F510" s="133"/>
      <c r="H510" s="31"/>
      <c r="I510" s="31"/>
      <c r="R510" s="32"/>
      <c r="S510" s="32"/>
      <c r="U510" s="33"/>
      <c r="V510" s="33"/>
      <c r="AD510" s="32"/>
    </row>
    <row r="511" spans="5:30" x14ac:dyDescent="0.2">
      <c r="E511" s="31"/>
      <c r="F511" s="133"/>
      <c r="H511" s="31"/>
      <c r="I511" s="31"/>
      <c r="R511" s="32"/>
      <c r="S511" s="32"/>
      <c r="U511" s="33"/>
      <c r="V511" s="33"/>
      <c r="AD511" s="32"/>
    </row>
    <row r="512" spans="5:30" x14ac:dyDescent="0.2">
      <c r="E512" s="31"/>
      <c r="F512" s="133"/>
      <c r="H512" s="31"/>
      <c r="I512" s="31"/>
      <c r="R512" s="32"/>
      <c r="S512" s="32"/>
      <c r="U512" s="33"/>
      <c r="V512" s="33"/>
      <c r="AD512" s="32"/>
    </row>
    <row r="513" spans="5:30" x14ac:dyDescent="0.2">
      <c r="E513" s="31"/>
      <c r="F513" s="133"/>
      <c r="H513" s="31"/>
      <c r="I513" s="31"/>
      <c r="R513" s="32"/>
      <c r="S513" s="32"/>
      <c r="U513" s="33"/>
      <c r="V513" s="33"/>
      <c r="AD513" s="32"/>
    </row>
    <row r="514" spans="5:30" x14ac:dyDescent="0.2">
      <c r="E514" s="31"/>
      <c r="F514" s="133"/>
      <c r="H514" s="31"/>
      <c r="I514" s="31"/>
      <c r="R514" s="32"/>
      <c r="S514" s="32"/>
      <c r="U514" s="33"/>
      <c r="V514" s="33"/>
      <c r="AD514" s="32"/>
    </row>
    <row r="515" spans="5:30" x14ac:dyDescent="0.2">
      <c r="E515" s="31"/>
      <c r="F515" s="133"/>
      <c r="H515" s="31"/>
      <c r="I515" s="31"/>
      <c r="R515" s="32"/>
      <c r="S515" s="32"/>
      <c r="U515" s="33"/>
      <c r="V515" s="33"/>
      <c r="AD515" s="32"/>
    </row>
    <row r="516" spans="5:30" x14ac:dyDescent="0.2">
      <c r="E516" s="31"/>
      <c r="F516" s="133"/>
      <c r="H516" s="31"/>
      <c r="I516" s="31"/>
      <c r="R516" s="32"/>
      <c r="S516" s="32"/>
      <c r="U516" s="33"/>
      <c r="V516" s="33"/>
      <c r="AD516" s="32"/>
    </row>
    <row r="517" spans="5:30" x14ac:dyDescent="0.2">
      <c r="E517" s="31"/>
      <c r="F517" s="133"/>
      <c r="H517" s="31"/>
      <c r="I517" s="31"/>
      <c r="R517" s="32"/>
      <c r="S517" s="32"/>
      <c r="U517" s="33"/>
      <c r="V517" s="33"/>
      <c r="AD517" s="32"/>
    </row>
    <row r="518" spans="5:30" x14ac:dyDescent="0.2">
      <c r="E518" s="31"/>
      <c r="F518" s="133"/>
      <c r="H518" s="31"/>
      <c r="I518" s="31"/>
      <c r="R518" s="32"/>
      <c r="S518" s="32"/>
      <c r="U518" s="33"/>
      <c r="V518" s="33"/>
      <c r="AD518" s="32"/>
    </row>
    <row r="519" spans="5:30" x14ac:dyDescent="0.2">
      <c r="E519" s="31"/>
      <c r="F519" s="133"/>
      <c r="H519" s="31"/>
      <c r="I519" s="31"/>
      <c r="R519" s="32"/>
      <c r="S519" s="32"/>
      <c r="U519" s="33"/>
      <c r="V519" s="33"/>
      <c r="AD519" s="32"/>
    </row>
    <row r="520" spans="5:30" x14ac:dyDescent="0.2">
      <c r="E520" s="31"/>
      <c r="F520" s="133"/>
      <c r="H520" s="31"/>
      <c r="I520" s="31"/>
      <c r="R520" s="32"/>
      <c r="S520" s="32"/>
      <c r="U520" s="33"/>
      <c r="V520" s="33"/>
      <c r="AD520" s="32"/>
    </row>
    <row r="521" spans="5:30" x14ac:dyDescent="0.2">
      <c r="E521" s="31"/>
      <c r="F521" s="133"/>
      <c r="H521" s="31"/>
      <c r="I521" s="31"/>
      <c r="R521" s="32"/>
      <c r="S521" s="32"/>
      <c r="U521" s="33"/>
      <c r="V521" s="33"/>
      <c r="AD521" s="32"/>
    </row>
    <row r="522" spans="5:30" x14ac:dyDescent="0.2">
      <c r="E522" s="31"/>
      <c r="F522" s="133"/>
      <c r="H522" s="31"/>
      <c r="I522" s="31"/>
      <c r="R522" s="32"/>
      <c r="S522" s="32"/>
      <c r="U522" s="33"/>
      <c r="V522" s="33"/>
      <c r="AD522" s="32"/>
    </row>
    <row r="523" spans="5:30" x14ac:dyDescent="0.2">
      <c r="E523" s="31"/>
      <c r="F523" s="133"/>
      <c r="H523" s="31"/>
      <c r="I523" s="31"/>
      <c r="R523" s="32"/>
      <c r="S523" s="32"/>
      <c r="U523" s="33"/>
      <c r="V523" s="33"/>
      <c r="AD523" s="32"/>
    </row>
    <row r="524" spans="5:30" x14ac:dyDescent="0.2">
      <c r="E524" s="31"/>
      <c r="F524" s="133"/>
      <c r="H524" s="31"/>
      <c r="I524" s="31"/>
      <c r="R524" s="32"/>
      <c r="S524" s="32"/>
      <c r="U524" s="33"/>
      <c r="V524" s="33"/>
      <c r="AD524" s="32"/>
    </row>
    <row r="525" spans="5:30" x14ac:dyDescent="0.2">
      <c r="E525" s="31"/>
      <c r="F525" s="133"/>
      <c r="H525" s="31"/>
      <c r="I525" s="31"/>
      <c r="R525" s="32"/>
      <c r="S525" s="32"/>
      <c r="U525" s="33"/>
      <c r="V525" s="33"/>
      <c r="AD525" s="32"/>
    </row>
    <row r="526" spans="5:30" x14ac:dyDescent="0.2">
      <c r="E526" s="31"/>
      <c r="F526" s="133"/>
      <c r="H526" s="31"/>
      <c r="I526" s="31"/>
      <c r="R526" s="32"/>
      <c r="S526" s="32"/>
      <c r="U526" s="33"/>
      <c r="V526" s="33"/>
      <c r="AD526" s="32"/>
    </row>
    <row r="527" spans="5:30" x14ac:dyDescent="0.2">
      <c r="E527" s="31"/>
      <c r="F527" s="133"/>
      <c r="H527" s="31"/>
      <c r="I527" s="31"/>
      <c r="R527" s="32"/>
      <c r="S527" s="32"/>
      <c r="U527" s="33"/>
      <c r="V527" s="33"/>
      <c r="AD527" s="32"/>
    </row>
    <row r="528" spans="5:30" x14ac:dyDescent="0.2">
      <c r="E528" s="31"/>
      <c r="F528" s="133"/>
      <c r="H528" s="31"/>
      <c r="I528" s="31"/>
      <c r="R528" s="32"/>
      <c r="S528" s="32"/>
      <c r="U528" s="33"/>
      <c r="V528" s="33"/>
      <c r="AD528" s="32"/>
    </row>
    <row r="529" spans="5:40" x14ac:dyDescent="0.2">
      <c r="E529" s="31"/>
      <c r="F529" s="133"/>
      <c r="H529" s="31"/>
      <c r="I529" s="31"/>
      <c r="R529" s="32"/>
      <c r="S529" s="32"/>
      <c r="U529" s="33"/>
      <c r="V529" s="33"/>
      <c r="AD529" s="32"/>
    </row>
    <row r="530" spans="5:40" x14ac:dyDescent="0.2">
      <c r="E530" s="31"/>
      <c r="F530" s="133"/>
      <c r="H530" s="31"/>
      <c r="I530" s="31"/>
      <c r="R530" s="32"/>
      <c r="S530" s="32"/>
      <c r="U530" s="33"/>
      <c r="V530" s="33"/>
      <c r="AD530" s="32"/>
    </row>
    <row r="531" spans="5:40" x14ac:dyDescent="0.2">
      <c r="E531" s="31"/>
      <c r="F531" s="133"/>
      <c r="H531" s="31"/>
      <c r="I531" s="31"/>
      <c r="R531" s="32"/>
      <c r="S531" s="32"/>
      <c r="U531" s="33"/>
      <c r="V531" s="33"/>
      <c r="AD531" s="32"/>
    </row>
    <row r="532" spans="5:40" x14ac:dyDescent="0.2">
      <c r="E532" s="31"/>
      <c r="F532" s="133"/>
      <c r="H532" s="31"/>
      <c r="I532" s="31"/>
      <c r="R532" s="32"/>
      <c r="S532" s="32"/>
      <c r="U532" s="33"/>
      <c r="V532" s="33"/>
      <c r="AD532" s="32"/>
    </row>
    <row r="533" spans="5:40" x14ac:dyDescent="0.2">
      <c r="E533" s="31"/>
      <c r="F533" s="133"/>
      <c r="H533" s="31"/>
      <c r="I533" s="31"/>
      <c r="R533" s="32"/>
      <c r="S533" s="32"/>
      <c r="U533" s="33"/>
      <c r="V533" s="33"/>
      <c r="AD533" s="32"/>
    </row>
    <row r="534" spans="5:40" x14ac:dyDescent="0.2">
      <c r="E534" s="31"/>
      <c r="F534" s="133"/>
      <c r="H534" s="31"/>
      <c r="I534" s="31"/>
      <c r="R534" s="32"/>
      <c r="S534" s="32"/>
      <c r="U534" s="33"/>
      <c r="V534" s="33"/>
      <c r="AD534" s="32"/>
    </row>
    <row r="535" spans="5:40" x14ac:dyDescent="0.2">
      <c r="E535" s="31"/>
      <c r="F535" s="133"/>
      <c r="H535" s="31"/>
      <c r="I535" s="31"/>
      <c r="R535" s="32"/>
      <c r="S535" s="32"/>
      <c r="U535" s="33"/>
      <c r="V535" s="33"/>
      <c r="AD535" s="32"/>
    </row>
    <row r="536" spans="5:40" x14ac:dyDescent="0.2">
      <c r="E536" s="31"/>
      <c r="F536" s="133"/>
      <c r="H536" s="31"/>
      <c r="I536" s="31"/>
      <c r="R536" s="32"/>
      <c r="S536" s="32"/>
      <c r="U536" s="33"/>
      <c r="V536" s="33"/>
      <c r="AD536" s="32"/>
    </row>
    <row r="537" spans="5:40" x14ac:dyDescent="0.2">
      <c r="E537" s="31"/>
      <c r="F537" s="133"/>
      <c r="G537" s="32"/>
      <c r="H537" s="31"/>
      <c r="I537" s="31"/>
      <c r="J537" s="32"/>
      <c r="K537" s="32"/>
      <c r="N537" s="32"/>
      <c r="O537" s="32"/>
      <c r="P537" s="32"/>
      <c r="Q537" s="32"/>
      <c r="R537" s="32"/>
      <c r="S537" s="32"/>
      <c r="T537" s="32"/>
      <c r="U537" s="32"/>
      <c r="V537" s="32"/>
      <c r="AD537" s="32"/>
      <c r="AE537" s="119"/>
      <c r="AF537" s="32"/>
      <c r="AG537" s="32"/>
      <c r="AH537" s="32"/>
      <c r="AJ537" s="32"/>
      <c r="AK537" s="32"/>
      <c r="AL537" s="32"/>
      <c r="AM537" s="32"/>
      <c r="AN537" s="32"/>
    </row>
    <row r="538" spans="5:40" x14ac:dyDescent="0.2">
      <c r="E538" s="31"/>
      <c r="F538" s="133"/>
      <c r="H538" s="31"/>
      <c r="I538" s="31"/>
      <c r="R538" s="32"/>
      <c r="S538" s="32"/>
      <c r="U538" s="33"/>
      <c r="V538" s="33"/>
      <c r="AD538" s="32"/>
    </row>
    <row r="539" spans="5:40" x14ac:dyDescent="0.2">
      <c r="E539" s="31"/>
      <c r="F539" s="133"/>
      <c r="H539" s="31"/>
      <c r="I539" s="31"/>
      <c r="R539" s="32"/>
      <c r="S539" s="32"/>
      <c r="U539" s="33"/>
      <c r="V539" s="33"/>
      <c r="AD539" s="32"/>
    </row>
    <row r="540" spans="5:40" x14ac:dyDescent="0.2">
      <c r="E540" s="31"/>
      <c r="F540" s="133"/>
      <c r="H540" s="31"/>
      <c r="I540" s="31"/>
      <c r="R540" s="32"/>
      <c r="S540" s="32"/>
      <c r="U540" s="33"/>
      <c r="V540" s="33"/>
      <c r="AD540" s="32"/>
    </row>
    <row r="541" spans="5:40" x14ac:dyDescent="0.2">
      <c r="E541" s="31"/>
      <c r="F541" s="133"/>
      <c r="H541" s="31"/>
      <c r="I541" s="31"/>
      <c r="R541" s="32"/>
      <c r="S541" s="32"/>
      <c r="U541" s="33"/>
      <c r="V541" s="33"/>
      <c r="AD541" s="32"/>
    </row>
    <row r="542" spans="5:40" x14ac:dyDescent="0.2">
      <c r="E542" s="31"/>
      <c r="F542" s="133"/>
      <c r="H542" s="31"/>
      <c r="I542" s="31"/>
      <c r="R542" s="32"/>
      <c r="S542" s="32"/>
      <c r="U542" s="33"/>
      <c r="V542" s="33"/>
      <c r="AD542" s="32"/>
    </row>
    <row r="543" spans="5:40" x14ac:dyDescent="0.2">
      <c r="E543" s="31"/>
      <c r="F543" s="133"/>
      <c r="H543" s="31"/>
      <c r="I543" s="31"/>
      <c r="R543" s="32"/>
      <c r="S543" s="32"/>
      <c r="U543" s="33"/>
      <c r="V543" s="33"/>
      <c r="AD543" s="32"/>
    </row>
    <row r="544" spans="5:40" x14ac:dyDescent="0.2">
      <c r="E544" s="31"/>
      <c r="F544" s="133"/>
      <c r="H544" s="31"/>
      <c r="I544" s="31"/>
      <c r="R544" s="32"/>
      <c r="S544" s="32"/>
      <c r="U544" s="33"/>
      <c r="V544" s="33"/>
      <c r="AD544" s="32"/>
    </row>
    <row r="545" spans="5:30" x14ac:dyDescent="0.2">
      <c r="E545" s="31"/>
      <c r="F545" s="133"/>
      <c r="H545" s="31"/>
      <c r="I545" s="31"/>
      <c r="R545" s="32"/>
      <c r="S545" s="32"/>
      <c r="U545" s="33"/>
      <c r="V545" s="33"/>
      <c r="AD545" s="32"/>
    </row>
    <row r="546" spans="5:30" x14ac:dyDescent="0.2">
      <c r="E546" s="31"/>
      <c r="F546" s="133"/>
      <c r="H546" s="31"/>
      <c r="I546" s="31"/>
      <c r="R546" s="32"/>
      <c r="S546" s="32"/>
      <c r="U546" s="33"/>
      <c r="V546" s="33"/>
      <c r="AD546" s="32"/>
    </row>
    <row r="547" spans="5:30" x14ac:dyDescent="0.2">
      <c r="E547" s="31"/>
      <c r="F547" s="133"/>
      <c r="H547" s="31"/>
      <c r="I547" s="31"/>
      <c r="R547" s="32"/>
      <c r="S547" s="32"/>
      <c r="U547" s="33"/>
      <c r="V547" s="33"/>
      <c r="AD547" s="32"/>
    </row>
    <row r="548" spans="5:30" x14ac:dyDescent="0.2">
      <c r="E548" s="31"/>
      <c r="F548" s="133"/>
      <c r="H548" s="31"/>
      <c r="I548" s="31"/>
      <c r="R548" s="32"/>
      <c r="S548" s="32"/>
      <c r="U548" s="33"/>
      <c r="V548" s="33"/>
      <c r="AD548" s="32"/>
    </row>
    <row r="549" spans="5:30" x14ac:dyDescent="0.2">
      <c r="E549" s="31"/>
      <c r="F549" s="133"/>
      <c r="H549" s="31"/>
      <c r="I549" s="31"/>
      <c r="R549" s="32"/>
      <c r="S549" s="32"/>
      <c r="U549" s="33"/>
      <c r="V549" s="33"/>
      <c r="AD549" s="32"/>
    </row>
    <row r="550" spans="5:30" x14ac:dyDescent="0.2">
      <c r="E550" s="31"/>
      <c r="F550" s="133"/>
      <c r="H550" s="31"/>
      <c r="I550" s="31"/>
      <c r="R550" s="32"/>
      <c r="S550" s="32"/>
      <c r="U550" s="33"/>
      <c r="V550" s="33"/>
      <c r="AD550" s="32"/>
    </row>
    <row r="551" spans="5:30" x14ac:dyDescent="0.2">
      <c r="E551" s="31"/>
      <c r="F551" s="133"/>
      <c r="H551" s="31"/>
      <c r="I551" s="31"/>
      <c r="R551" s="32"/>
      <c r="S551" s="32"/>
      <c r="U551" s="33"/>
      <c r="V551" s="33"/>
      <c r="AD551" s="32"/>
    </row>
    <row r="552" spans="5:30" x14ac:dyDescent="0.2">
      <c r="E552" s="31"/>
      <c r="F552" s="133"/>
      <c r="H552" s="31"/>
      <c r="I552" s="31"/>
      <c r="R552" s="32"/>
      <c r="S552" s="32"/>
      <c r="U552" s="33"/>
      <c r="V552" s="33"/>
      <c r="AD552" s="32"/>
    </row>
    <row r="553" spans="5:30" x14ac:dyDescent="0.2">
      <c r="E553" s="31"/>
      <c r="F553" s="133"/>
      <c r="H553" s="31"/>
      <c r="I553" s="31"/>
      <c r="R553" s="32"/>
      <c r="S553" s="32"/>
      <c r="U553" s="33"/>
      <c r="V553" s="33"/>
      <c r="AD553" s="32"/>
    </row>
    <row r="554" spans="5:30" x14ac:dyDescent="0.2">
      <c r="E554" s="31"/>
      <c r="F554" s="133"/>
      <c r="H554" s="31"/>
      <c r="I554" s="31"/>
      <c r="R554" s="32"/>
      <c r="S554" s="32"/>
      <c r="U554" s="33"/>
      <c r="V554" s="33"/>
      <c r="AD554" s="32"/>
    </row>
    <row r="555" spans="5:30" x14ac:dyDescent="0.2">
      <c r="E555" s="31"/>
      <c r="F555" s="133"/>
      <c r="H555" s="31"/>
      <c r="I555" s="31"/>
      <c r="R555" s="32"/>
      <c r="S555" s="32"/>
      <c r="U555" s="33"/>
      <c r="V555" s="33"/>
      <c r="AD555" s="32"/>
    </row>
    <row r="556" spans="5:30" x14ac:dyDescent="0.2">
      <c r="E556" s="31"/>
      <c r="F556" s="133"/>
      <c r="H556" s="31"/>
      <c r="I556" s="31"/>
      <c r="R556" s="32"/>
      <c r="S556" s="32"/>
      <c r="U556" s="33"/>
      <c r="V556" s="33"/>
      <c r="AD556" s="32"/>
    </row>
    <row r="557" spans="5:30" x14ac:dyDescent="0.2">
      <c r="E557" s="31"/>
      <c r="F557" s="133"/>
      <c r="H557" s="31"/>
      <c r="I557" s="31"/>
      <c r="R557" s="32"/>
      <c r="S557" s="32"/>
      <c r="U557" s="33"/>
      <c r="V557" s="33"/>
      <c r="AD557" s="32"/>
    </row>
    <row r="558" spans="5:30" x14ac:dyDescent="0.2">
      <c r="E558" s="31"/>
      <c r="F558" s="133"/>
      <c r="H558" s="31"/>
      <c r="I558" s="31"/>
      <c r="R558" s="32"/>
      <c r="S558" s="32"/>
      <c r="U558" s="33"/>
      <c r="V558" s="33"/>
      <c r="AD558" s="32"/>
    </row>
    <row r="559" spans="5:30" x14ac:dyDescent="0.2">
      <c r="E559" s="31"/>
      <c r="F559" s="133"/>
      <c r="H559" s="31"/>
      <c r="I559" s="31"/>
      <c r="R559" s="32"/>
      <c r="S559" s="32"/>
      <c r="U559" s="33"/>
      <c r="V559" s="33"/>
      <c r="AD559" s="32"/>
    </row>
    <row r="560" spans="5:30" x14ac:dyDescent="0.2">
      <c r="E560" s="31"/>
      <c r="F560" s="133"/>
      <c r="H560" s="31"/>
      <c r="I560" s="31"/>
      <c r="R560" s="32"/>
      <c r="S560" s="32"/>
      <c r="U560" s="33"/>
      <c r="V560" s="33"/>
      <c r="AD560" s="32"/>
    </row>
    <row r="561" spans="5:40" x14ac:dyDescent="0.2">
      <c r="E561" s="31"/>
      <c r="F561" s="133"/>
      <c r="H561" s="31"/>
      <c r="I561" s="31"/>
      <c r="R561" s="32"/>
      <c r="S561" s="32"/>
      <c r="U561" s="33"/>
      <c r="V561" s="33"/>
      <c r="AD561" s="32"/>
    </row>
    <row r="562" spans="5:40" x14ac:dyDescent="0.2">
      <c r="E562" s="31"/>
      <c r="F562" s="133"/>
      <c r="H562" s="31"/>
      <c r="I562" s="31"/>
      <c r="R562" s="32"/>
      <c r="S562" s="32"/>
      <c r="U562" s="33"/>
      <c r="V562" s="33"/>
      <c r="AD562" s="32"/>
    </row>
    <row r="563" spans="5:40" x14ac:dyDescent="0.2">
      <c r="E563" s="31"/>
      <c r="F563" s="133"/>
      <c r="H563" s="31"/>
      <c r="I563" s="31"/>
      <c r="R563" s="32"/>
      <c r="S563" s="32"/>
      <c r="U563" s="33"/>
      <c r="V563" s="33"/>
      <c r="AD563" s="32"/>
    </row>
    <row r="564" spans="5:40" x14ac:dyDescent="0.2">
      <c r="E564" s="31"/>
      <c r="F564" s="133"/>
      <c r="H564" s="31"/>
      <c r="I564" s="31"/>
      <c r="R564" s="32"/>
      <c r="S564" s="32"/>
      <c r="U564" s="33"/>
      <c r="V564" s="33"/>
      <c r="AD564" s="32"/>
    </row>
    <row r="565" spans="5:40" x14ac:dyDescent="0.2">
      <c r="E565" s="31"/>
      <c r="F565" s="133"/>
      <c r="H565" s="31"/>
      <c r="I565" s="31"/>
      <c r="R565" s="32"/>
      <c r="S565" s="32"/>
      <c r="U565" s="33"/>
      <c r="V565" s="33"/>
      <c r="AD565" s="32"/>
    </row>
    <row r="566" spans="5:40" x14ac:dyDescent="0.2">
      <c r="E566" s="31"/>
      <c r="F566" s="133"/>
      <c r="H566" s="31"/>
      <c r="I566" s="31"/>
      <c r="R566" s="32"/>
      <c r="S566" s="32"/>
      <c r="U566" s="33"/>
      <c r="V566" s="33"/>
      <c r="AD566" s="32"/>
    </row>
    <row r="567" spans="5:40" x14ac:dyDescent="0.2">
      <c r="E567" s="31"/>
      <c r="F567" s="133"/>
      <c r="G567" s="32"/>
      <c r="H567" s="31"/>
      <c r="I567" s="31"/>
      <c r="J567" s="32"/>
      <c r="K567" s="32"/>
      <c r="N567" s="32"/>
      <c r="O567" s="32"/>
      <c r="P567" s="32"/>
      <c r="Q567" s="32"/>
      <c r="R567" s="32"/>
      <c r="S567" s="32"/>
      <c r="T567" s="32"/>
      <c r="U567" s="32"/>
      <c r="V567" s="32"/>
      <c r="AD567" s="32"/>
      <c r="AE567" s="119"/>
      <c r="AF567" s="32"/>
      <c r="AG567" s="32"/>
      <c r="AH567" s="32"/>
      <c r="AJ567" s="32"/>
      <c r="AK567" s="32"/>
      <c r="AL567" s="32"/>
      <c r="AM567" s="32"/>
      <c r="AN567" s="32"/>
    </row>
    <row r="568" spans="5:40" x14ac:dyDescent="0.2">
      <c r="E568" s="31"/>
      <c r="F568" s="133"/>
      <c r="H568" s="31"/>
      <c r="I568" s="31"/>
      <c r="R568" s="32"/>
      <c r="S568" s="32"/>
      <c r="U568" s="33"/>
      <c r="V568" s="33"/>
      <c r="AD568" s="32"/>
    </row>
    <row r="569" spans="5:40" x14ac:dyDescent="0.2">
      <c r="E569" s="31"/>
      <c r="F569" s="133"/>
      <c r="H569" s="31"/>
      <c r="I569" s="31"/>
      <c r="R569" s="32"/>
      <c r="S569" s="32"/>
      <c r="U569" s="33"/>
      <c r="V569" s="33"/>
      <c r="AD569" s="32"/>
    </row>
    <row r="570" spans="5:40" x14ac:dyDescent="0.2">
      <c r="E570" s="31"/>
      <c r="F570" s="133"/>
      <c r="H570" s="31"/>
      <c r="I570" s="31"/>
      <c r="R570" s="32"/>
      <c r="S570" s="32"/>
      <c r="U570" s="33"/>
      <c r="V570" s="33"/>
      <c r="AD570" s="32"/>
    </row>
    <row r="571" spans="5:40" x14ac:dyDescent="0.2">
      <c r="E571" s="31"/>
      <c r="F571" s="133"/>
      <c r="H571" s="31"/>
      <c r="I571" s="31"/>
      <c r="R571" s="32"/>
      <c r="S571" s="32"/>
      <c r="U571" s="33"/>
      <c r="V571" s="33"/>
      <c r="AD571" s="32"/>
    </row>
    <row r="572" spans="5:40" x14ac:dyDescent="0.2">
      <c r="E572" s="31"/>
      <c r="F572" s="133"/>
      <c r="H572" s="31"/>
      <c r="I572" s="31"/>
      <c r="R572" s="32"/>
      <c r="S572" s="32"/>
      <c r="U572" s="33"/>
      <c r="V572" s="33"/>
      <c r="AD572" s="32"/>
    </row>
    <row r="573" spans="5:40" x14ac:dyDescent="0.2">
      <c r="E573" s="31"/>
      <c r="F573" s="133"/>
      <c r="H573" s="31"/>
      <c r="I573" s="31"/>
      <c r="R573" s="32"/>
      <c r="S573" s="32"/>
      <c r="U573" s="33"/>
      <c r="V573" s="33"/>
      <c r="AD573" s="32"/>
    </row>
    <row r="574" spans="5:40" x14ac:dyDescent="0.2">
      <c r="E574" s="31"/>
      <c r="F574" s="133"/>
      <c r="H574" s="31"/>
      <c r="I574" s="31"/>
      <c r="R574" s="32"/>
      <c r="S574" s="32"/>
      <c r="U574" s="33"/>
      <c r="V574" s="33"/>
      <c r="AD574" s="32"/>
    </row>
    <row r="575" spans="5:40" x14ac:dyDescent="0.2">
      <c r="E575" s="31"/>
      <c r="F575" s="133"/>
      <c r="H575" s="31"/>
      <c r="I575" s="31"/>
      <c r="R575" s="32"/>
      <c r="S575" s="32"/>
      <c r="U575" s="33"/>
      <c r="V575" s="33"/>
      <c r="AD575" s="32"/>
    </row>
    <row r="576" spans="5:40" x14ac:dyDescent="0.2">
      <c r="E576" s="31"/>
      <c r="F576" s="133"/>
      <c r="H576" s="31"/>
      <c r="I576" s="31"/>
      <c r="R576" s="32"/>
      <c r="S576" s="32"/>
      <c r="U576" s="33"/>
      <c r="V576" s="33"/>
      <c r="AD576" s="32"/>
    </row>
    <row r="577" spans="5:30" x14ac:dyDescent="0.2">
      <c r="E577" s="31"/>
      <c r="F577" s="133"/>
      <c r="H577" s="31"/>
      <c r="I577" s="31"/>
      <c r="R577" s="32"/>
      <c r="S577" s="32"/>
      <c r="U577" s="33"/>
      <c r="V577" s="33"/>
      <c r="AD577" s="32"/>
    </row>
    <row r="578" spans="5:30" x14ac:dyDescent="0.2">
      <c r="E578" s="31"/>
      <c r="F578" s="133"/>
      <c r="H578" s="31"/>
      <c r="I578" s="31"/>
      <c r="R578" s="32"/>
      <c r="S578" s="32"/>
      <c r="U578" s="33"/>
      <c r="V578" s="33"/>
      <c r="AD578" s="32"/>
    </row>
    <row r="579" spans="5:30" x14ac:dyDescent="0.2">
      <c r="E579" s="31"/>
      <c r="F579" s="133"/>
      <c r="H579" s="31"/>
      <c r="I579" s="31"/>
      <c r="R579" s="32"/>
      <c r="S579" s="32"/>
      <c r="U579" s="33"/>
      <c r="V579" s="33"/>
      <c r="AD579" s="32"/>
    </row>
    <row r="580" spans="5:30" x14ac:dyDescent="0.2">
      <c r="E580" s="31"/>
      <c r="F580" s="133"/>
      <c r="H580" s="31"/>
      <c r="I580" s="31"/>
      <c r="R580" s="32"/>
      <c r="S580" s="32"/>
      <c r="U580" s="33"/>
      <c r="V580" s="33"/>
      <c r="AD580" s="32"/>
    </row>
    <row r="581" spans="5:30" x14ac:dyDescent="0.2">
      <c r="E581" s="31"/>
      <c r="F581" s="133"/>
      <c r="H581" s="31"/>
      <c r="I581" s="31"/>
      <c r="R581" s="32"/>
      <c r="S581" s="32"/>
      <c r="U581" s="33"/>
      <c r="V581" s="33"/>
      <c r="AD581" s="32"/>
    </row>
    <row r="582" spans="5:30" x14ac:dyDescent="0.2">
      <c r="E582" s="31"/>
      <c r="F582" s="133"/>
      <c r="H582" s="31"/>
      <c r="I582" s="31"/>
      <c r="R582" s="32"/>
      <c r="S582" s="32"/>
      <c r="U582" s="33"/>
      <c r="V582" s="33"/>
      <c r="AD582" s="32"/>
    </row>
    <row r="583" spans="5:30" x14ac:dyDescent="0.2">
      <c r="E583" s="31"/>
      <c r="F583" s="133"/>
      <c r="H583" s="31"/>
      <c r="I583" s="31"/>
      <c r="R583" s="32"/>
      <c r="S583" s="32"/>
      <c r="U583" s="33"/>
      <c r="V583" s="33"/>
      <c r="AD583" s="32"/>
    </row>
    <row r="584" spans="5:30" x14ac:dyDescent="0.2">
      <c r="E584" s="31"/>
      <c r="F584" s="133"/>
      <c r="H584" s="31"/>
      <c r="I584" s="31"/>
      <c r="R584" s="32"/>
      <c r="S584" s="32"/>
      <c r="U584" s="33"/>
      <c r="V584" s="33"/>
      <c r="AD584" s="32"/>
    </row>
    <row r="585" spans="5:30" x14ac:dyDescent="0.2">
      <c r="E585" s="31"/>
      <c r="F585" s="133"/>
      <c r="H585" s="31"/>
      <c r="I585" s="31"/>
      <c r="R585" s="32"/>
      <c r="S585" s="32"/>
      <c r="U585" s="33"/>
      <c r="V585" s="33"/>
      <c r="AD585" s="32"/>
    </row>
    <row r="586" spans="5:30" x14ac:dyDescent="0.2">
      <c r="E586" s="31"/>
      <c r="F586" s="133"/>
      <c r="H586" s="31"/>
      <c r="I586" s="31"/>
      <c r="R586" s="32"/>
      <c r="S586" s="32"/>
      <c r="U586" s="33"/>
      <c r="V586" s="33"/>
      <c r="AD586" s="32"/>
    </row>
    <row r="587" spans="5:30" x14ac:dyDescent="0.2">
      <c r="E587" s="31"/>
      <c r="F587" s="133"/>
      <c r="H587" s="31"/>
      <c r="I587" s="31"/>
      <c r="R587" s="32"/>
      <c r="S587" s="32"/>
      <c r="U587" s="33"/>
      <c r="V587" s="33"/>
      <c r="AD587" s="32"/>
    </row>
    <row r="588" spans="5:30" x14ac:dyDescent="0.2">
      <c r="E588" s="31"/>
      <c r="F588" s="133"/>
      <c r="H588" s="31"/>
      <c r="I588" s="31"/>
      <c r="R588" s="32"/>
      <c r="S588" s="32"/>
      <c r="U588" s="33"/>
      <c r="V588" s="33"/>
      <c r="AD588" s="32"/>
    </row>
    <row r="589" spans="5:30" x14ac:dyDescent="0.2">
      <c r="E589" s="31"/>
      <c r="F589" s="133"/>
      <c r="H589" s="31"/>
      <c r="I589" s="31"/>
      <c r="R589" s="32"/>
      <c r="S589" s="32"/>
      <c r="U589" s="33"/>
      <c r="V589" s="33"/>
      <c r="AD589" s="32"/>
    </row>
    <row r="590" spans="5:30" x14ac:dyDescent="0.2">
      <c r="E590" s="31"/>
      <c r="F590" s="133"/>
      <c r="H590" s="31"/>
      <c r="I590" s="31"/>
      <c r="R590" s="32"/>
      <c r="S590" s="32"/>
      <c r="U590" s="33"/>
      <c r="V590" s="33"/>
      <c r="AD590" s="32"/>
    </row>
    <row r="591" spans="5:30" x14ac:dyDescent="0.2">
      <c r="E591" s="31"/>
      <c r="F591" s="133"/>
      <c r="H591" s="31"/>
      <c r="I591" s="31"/>
      <c r="R591" s="32"/>
      <c r="S591" s="32"/>
      <c r="U591" s="33"/>
      <c r="V591" s="33"/>
      <c r="AD591" s="32"/>
    </row>
    <row r="592" spans="5:30" x14ac:dyDescent="0.2">
      <c r="E592" s="31"/>
      <c r="F592" s="133"/>
      <c r="H592" s="31"/>
      <c r="I592" s="31"/>
      <c r="R592" s="32"/>
      <c r="S592" s="32"/>
      <c r="U592" s="33"/>
      <c r="V592" s="33"/>
      <c r="AD592" s="32"/>
    </row>
    <row r="593" spans="5:30" x14ac:dyDescent="0.2">
      <c r="E593" s="31"/>
      <c r="F593" s="133"/>
      <c r="H593" s="31"/>
      <c r="I593" s="31"/>
      <c r="R593" s="32"/>
      <c r="S593" s="32"/>
      <c r="U593" s="33"/>
      <c r="V593" s="33"/>
      <c r="AD593" s="32"/>
    </row>
    <row r="594" spans="5:30" x14ac:dyDescent="0.2">
      <c r="E594" s="31"/>
      <c r="F594" s="133"/>
      <c r="H594" s="31"/>
      <c r="I594" s="31"/>
      <c r="R594" s="32"/>
      <c r="S594" s="32"/>
      <c r="U594" s="33"/>
      <c r="V594" s="33"/>
      <c r="AD594" s="32"/>
    </row>
    <row r="595" spans="5:30" x14ac:dyDescent="0.2">
      <c r="E595" s="31"/>
      <c r="F595" s="133"/>
      <c r="H595" s="31"/>
      <c r="I595" s="31"/>
      <c r="R595" s="32"/>
      <c r="S595" s="32"/>
      <c r="U595" s="33"/>
      <c r="V595" s="33"/>
      <c r="AD595" s="32"/>
    </row>
    <row r="596" spans="5:30" x14ac:dyDescent="0.2">
      <c r="E596" s="31"/>
      <c r="F596" s="133"/>
      <c r="H596" s="31"/>
      <c r="I596" s="31"/>
      <c r="R596" s="32"/>
      <c r="S596" s="32"/>
      <c r="U596" s="33"/>
      <c r="V596" s="33"/>
      <c r="AD596" s="32"/>
    </row>
    <row r="597" spans="5:30" x14ac:dyDescent="0.2">
      <c r="E597" s="31"/>
      <c r="F597" s="133"/>
      <c r="H597" s="31"/>
      <c r="I597" s="31"/>
      <c r="R597" s="32"/>
      <c r="S597" s="32"/>
      <c r="U597" s="33"/>
      <c r="V597" s="33"/>
      <c r="AD597" s="32"/>
    </row>
    <row r="598" spans="5:30" x14ac:dyDescent="0.2">
      <c r="E598" s="31"/>
      <c r="F598" s="133"/>
      <c r="H598" s="31"/>
      <c r="I598" s="31"/>
      <c r="R598" s="32"/>
      <c r="S598" s="32"/>
      <c r="U598" s="33"/>
      <c r="V598" s="33"/>
      <c r="AD598" s="32"/>
    </row>
    <row r="599" spans="5:30" x14ac:dyDescent="0.2">
      <c r="E599" s="31"/>
      <c r="F599" s="133"/>
      <c r="H599" s="31"/>
      <c r="I599" s="31"/>
      <c r="R599" s="32"/>
      <c r="S599" s="32"/>
      <c r="U599" s="33"/>
      <c r="V599" s="33"/>
      <c r="AD599" s="32"/>
    </row>
    <row r="600" spans="5:30" x14ac:dyDescent="0.2">
      <c r="E600" s="31"/>
      <c r="F600" s="133"/>
      <c r="H600" s="31"/>
      <c r="I600" s="31"/>
      <c r="R600" s="32"/>
      <c r="S600" s="32"/>
      <c r="U600" s="33"/>
      <c r="V600" s="33"/>
      <c r="AD600" s="32"/>
    </row>
    <row r="601" spans="5:30" x14ac:dyDescent="0.2">
      <c r="E601" s="31"/>
      <c r="F601" s="133"/>
      <c r="H601" s="31"/>
      <c r="I601" s="31"/>
      <c r="R601" s="32"/>
      <c r="S601" s="32"/>
      <c r="U601" s="33"/>
      <c r="V601" s="33"/>
      <c r="AD601" s="32"/>
    </row>
    <row r="602" spans="5:30" x14ac:dyDescent="0.2">
      <c r="E602" s="31"/>
      <c r="F602" s="133"/>
      <c r="H602" s="31"/>
      <c r="I602" s="31"/>
      <c r="R602" s="32"/>
      <c r="S602" s="32"/>
      <c r="U602" s="33"/>
      <c r="V602" s="33"/>
      <c r="AD602" s="32"/>
    </row>
    <row r="603" spans="5:30" x14ac:dyDescent="0.2">
      <c r="E603" s="31"/>
      <c r="F603" s="133"/>
      <c r="H603" s="31"/>
      <c r="I603" s="31"/>
      <c r="R603" s="32"/>
      <c r="S603" s="32"/>
      <c r="U603" s="33"/>
      <c r="V603" s="33"/>
      <c r="AD603" s="32"/>
    </row>
    <row r="604" spans="5:30" x14ac:dyDescent="0.2">
      <c r="E604" s="31"/>
      <c r="F604" s="133"/>
      <c r="H604" s="31"/>
      <c r="I604" s="31"/>
      <c r="R604" s="32"/>
      <c r="S604" s="32"/>
      <c r="U604" s="33"/>
      <c r="V604" s="33"/>
      <c r="AD604" s="32"/>
    </row>
    <row r="605" spans="5:30" x14ac:dyDescent="0.2">
      <c r="E605" s="31"/>
      <c r="F605" s="133"/>
      <c r="H605" s="31"/>
      <c r="I605" s="31"/>
      <c r="R605" s="32"/>
      <c r="S605" s="32"/>
      <c r="U605" s="33"/>
      <c r="V605" s="33"/>
      <c r="AD605" s="32"/>
    </row>
    <row r="606" spans="5:30" x14ac:dyDescent="0.2">
      <c r="E606" s="31"/>
      <c r="F606" s="133"/>
      <c r="H606" s="31"/>
      <c r="I606" s="31"/>
      <c r="R606" s="32"/>
      <c r="S606" s="32"/>
      <c r="U606" s="33"/>
      <c r="V606" s="33"/>
      <c r="AD606" s="32"/>
    </row>
    <row r="607" spans="5:30" x14ac:dyDescent="0.2">
      <c r="E607" s="31"/>
      <c r="F607" s="133"/>
      <c r="H607" s="31"/>
      <c r="I607" s="31"/>
      <c r="R607" s="32"/>
      <c r="S607" s="32"/>
      <c r="U607" s="33"/>
      <c r="V607" s="33"/>
      <c r="AD607" s="32"/>
    </row>
    <row r="608" spans="5:30" x14ac:dyDescent="0.2">
      <c r="E608" s="31"/>
      <c r="F608" s="133"/>
      <c r="H608" s="31"/>
      <c r="I608" s="31"/>
      <c r="R608" s="32"/>
      <c r="S608" s="32"/>
      <c r="U608" s="33"/>
      <c r="V608" s="33"/>
      <c r="AD608" s="32"/>
    </row>
    <row r="609" spans="5:30" x14ac:dyDescent="0.2">
      <c r="E609" s="31"/>
      <c r="F609" s="133"/>
      <c r="H609" s="31"/>
      <c r="I609" s="31"/>
      <c r="R609" s="32"/>
      <c r="S609" s="32"/>
      <c r="U609" s="33"/>
      <c r="V609" s="33"/>
      <c r="AD609" s="32"/>
    </row>
    <row r="610" spans="5:30" x14ac:dyDescent="0.2">
      <c r="E610" s="31"/>
      <c r="F610" s="133"/>
      <c r="H610" s="31"/>
      <c r="I610" s="31"/>
      <c r="R610" s="32"/>
      <c r="S610" s="32"/>
      <c r="U610" s="33"/>
      <c r="V610" s="33"/>
      <c r="AD610" s="32"/>
    </row>
    <row r="611" spans="5:30" x14ac:dyDescent="0.2">
      <c r="E611" s="31"/>
      <c r="F611" s="133"/>
      <c r="H611" s="31"/>
      <c r="I611" s="31"/>
      <c r="R611" s="32"/>
      <c r="S611" s="32"/>
      <c r="U611" s="33"/>
      <c r="V611" s="33"/>
      <c r="AD611" s="32"/>
    </row>
    <row r="612" spans="5:30" x14ac:dyDescent="0.2">
      <c r="E612" s="31"/>
      <c r="F612" s="133"/>
      <c r="H612" s="31"/>
      <c r="I612" s="31"/>
      <c r="R612" s="32"/>
      <c r="S612" s="32"/>
      <c r="U612" s="33"/>
      <c r="V612" s="33"/>
      <c r="AD612" s="32"/>
    </row>
    <row r="613" spans="5:30" x14ac:dyDescent="0.2">
      <c r="E613" s="31"/>
      <c r="F613" s="133"/>
      <c r="H613" s="31"/>
      <c r="I613" s="31"/>
      <c r="R613" s="32"/>
      <c r="S613" s="32"/>
      <c r="U613" s="33"/>
      <c r="V613" s="33"/>
      <c r="AD613" s="32"/>
    </row>
    <row r="614" spans="5:30" x14ac:dyDescent="0.2">
      <c r="E614" s="31"/>
      <c r="F614" s="133"/>
      <c r="H614" s="31"/>
      <c r="I614" s="31"/>
      <c r="R614" s="32"/>
      <c r="S614" s="32"/>
      <c r="U614" s="33"/>
      <c r="V614" s="33"/>
      <c r="AD614" s="32"/>
    </row>
    <row r="615" spans="5:30" x14ac:dyDescent="0.2">
      <c r="E615" s="31"/>
      <c r="F615" s="133"/>
      <c r="H615" s="31"/>
      <c r="I615" s="31"/>
      <c r="R615" s="32"/>
      <c r="S615" s="32"/>
      <c r="U615" s="33"/>
      <c r="V615" s="33"/>
      <c r="AD615" s="32"/>
    </row>
    <row r="616" spans="5:30" x14ac:dyDescent="0.2">
      <c r="E616" s="31"/>
      <c r="F616" s="133"/>
      <c r="H616" s="31"/>
      <c r="I616" s="31"/>
      <c r="R616" s="32"/>
      <c r="S616" s="32"/>
      <c r="U616" s="33"/>
      <c r="V616" s="33"/>
      <c r="AD616" s="32"/>
    </row>
    <row r="617" spans="5:30" x14ac:dyDescent="0.2">
      <c r="E617" s="31"/>
      <c r="F617" s="133"/>
      <c r="H617" s="31"/>
      <c r="I617" s="31"/>
      <c r="R617" s="32"/>
      <c r="S617" s="32"/>
      <c r="U617" s="33"/>
      <c r="V617" s="33"/>
      <c r="AD617" s="32"/>
    </row>
    <row r="618" spans="5:30" x14ac:dyDescent="0.2">
      <c r="E618" s="31"/>
      <c r="F618" s="133"/>
      <c r="H618" s="31"/>
      <c r="I618" s="31"/>
      <c r="R618" s="32"/>
      <c r="S618" s="32"/>
      <c r="U618" s="33"/>
      <c r="V618" s="33"/>
      <c r="AD618" s="32"/>
    </row>
    <row r="619" spans="5:30" x14ac:dyDescent="0.2">
      <c r="E619" s="31"/>
      <c r="F619" s="133"/>
      <c r="H619" s="31"/>
      <c r="I619" s="31"/>
      <c r="R619" s="32"/>
      <c r="S619" s="32"/>
      <c r="U619" s="33"/>
      <c r="V619" s="33"/>
      <c r="AD619" s="32"/>
    </row>
    <row r="620" spans="5:30" x14ac:dyDescent="0.2">
      <c r="E620" s="31"/>
      <c r="F620" s="133"/>
      <c r="H620" s="31"/>
      <c r="I620" s="31"/>
      <c r="R620" s="32"/>
      <c r="S620" s="32"/>
      <c r="U620" s="33"/>
      <c r="V620" s="33"/>
      <c r="AD620" s="32"/>
    </row>
    <row r="621" spans="5:30" x14ac:dyDescent="0.2">
      <c r="E621" s="31"/>
      <c r="F621" s="133"/>
      <c r="H621" s="31"/>
      <c r="I621" s="31"/>
      <c r="R621" s="32"/>
      <c r="S621" s="32"/>
      <c r="U621" s="33"/>
      <c r="V621" s="33"/>
      <c r="AD621" s="32"/>
    </row>
    <row r="622" spans="5:30" x14ac:dyDescent="0.2">
      <c r="E622" s="31"/>
      <c r="F622" s="133"/>
      <c r="H622" s="31"/>
      <c r="I622" s="31"/>
      <c r="R622" s="32"/>
      <c r="S622" s="32"/>
      <c r="U622" s="33"/>
      <c r="V622" s="33"/>
      <c r="AD622" s="32"/>
    </row>
    <row r="623" spans="5:30" x14ac:dyDescent="0.2">
      <c r="E623" s="31"/>
      <c r="F623" s="133"/>
      <c r="H623" s="31"/>
      <c r="I623" s="31"/>
      <c r="R623" s="32"/>
      <c r="S623" s="32"/>
      <c r="U623" s="33"/>
      <c r="V623" s="33"/>
      <c r="AD623" s="32"/>
    </row>
    <row r="624" spans="5:30" x14ac:dyDescent="0.2">
      <c r="E624" s="31"/>
      <c r="F624" s="133"/>
      <c r="H624" s="31"/>
      <c r="I624" s="31"/>
      <c r="R624" s="32"/>
      <c r="S624" s="32"/>
      <c r="U624" s="33"/>
      <c r="V624" s="33"/>
      <c r="AD624" s="32"/>
    </row>
    <row r="625" spans="5:30" x14ac:dyDescent="0.2">
      <c r="E625" s="31"/>
      <c r="F625" s="133"/>
      <c r="H625" s="31"/>
      <c r="I625" s="31"/>
      <c r="R625" s="32"/>
      <c r="S625" s="32"/>
      <c r="U625" s="33"/>
      <c r="V625" s="33"/>
      <c r="AD625" s="32"/>
    </row>
    <row r="626" spans="5:30" x14ac:dyDescent="0.2">
      <c r="E626" s="31"/>
      <c r="F626" s="133"/>
      <c r="H626" s="31"/>
      <c r="I626" s="31"/>
      <c r="R626" s="32"/>
      <c r="S626" s="32"/>
      <c r="U626" s="33"/>
      <c r="V626" s="33"/>
      <c r="AD626" s="32"/>
    </row>
    <row r="627" spans="5:30" x14ac:dyDescent="0.2">
      <c r="E627" s="31"/>
      <c r="F627" s="133"/>
      <c r="H627" s="31"/>
      <c r="I627" s="31"/>
      <c r="R627" s="32"/>
      <c r="S627" s="32"/>
      <c r="U627" s="33"/>
      <c r="V627" s="33"/>
      <c r="AD627" s="32"/>
    </row>
    <row r="628" spans="5:30" x14ac:dyDescent="0.2">
      <c r="E628" s="31"/>
      <c r="F628" s="133"/>
      <c r="H628" s="31"/>
      <c r="I628" s="31"/>
      <c r="R628" s="32"/>
      <c r="S628" s="32"/>
      <c r="U628" s="33"/>
      <c r="V628" s="33"/>
      <c r="AD628" s="32"/>
    </row>
    <row r="629" spans="5:30" x14ac:dyDescent="0.2">
      <c r="E629" s="31"/>
      <c r="F629" s="133"/>
      <c r="H629" s="31"/>
      <c r="I629" s="31"/>
      <c r="R629" s="32"/>
      <c r="S629" s="32"/>
      <c r="U629" s="33"/>
      <c r="V629" s="33"/>
      <c r="AD629" s="32"/>
    </row>
    <row r="630" spans="5:30" x14ac:dyDescent="0.2">
      <c r="E630" s="31"/>
      <c r="F630" s="133"/>
      <c r="H630" s="31"/>
      <c r="I630" s="31"/>
      <c r="R630" s="32"/>
      <c r="S630" s="32"/>
      <c r="U630" s="33"/>
      <c r="V630" s="33"/>
      <c r="AD630" s="32"/>
    </row>
    <row r="631" spans="5:30" x14ac:dyDescent="0.2">
      <c r="E631" s="31"/>
      <c r="F631" s="133"/>
      <c r="H631" s="31"/>
      <c r="I631" s="31"/>
      <c r="R631" s="32"/>
      <c r="S631" s="32"/>
      <c r="U631" s="33"/>
      <c r="V631" s="33"/>
      <c r="AD631" s="32"/>
    </row>
    <row r="632" spans="5:30" x14ac:dyDescent="0.2">
      <c r="E632" s="31"/>
      <c r="F632" s="133"/>
      <c r="H632" s="31"/>
      <c r="I632" s="31"/>
      <c r="R632" s="32"/>
      <c r="S632" s="32"/>
      <c r="U632" s="33"/>
      <c r="V632" s="33"/>
      <c r="AD632" s="32"/>
    </row>
    <row r="633" spans="5:30" x14ac:dyDescent="0.2">
      <c r="E633" s="31"/>
      <c r="F633" s="133"/>
      <c r="H633" s="31"/>
      <c r="I633" s="31"/>
      <c r="R633" s="32"/>
      <c r="S633" s="32"/>
      <c r="U633" s="33"/>
      <c r="V633" s="33"/>
      <c r="AD633" s="32"/>
    </row>
    <row r="634" spans="5:30" x14ac:dyDescent="0.2">
      <c r="E634" s="31"/>
      <c r="F634" s="133"/>
      <c r="H634" s="31"/>
      <c r="I634" s="31"/>
      <c r="R634" s="32"/>
      <c r="S634" s="32"/>
      <c r="U634" s="33"/>
      <c r="V634" s="33"/>
      <c r="AD634" s="32"/>
    </row>
    <row r="635" spans="5:30" x14ac:dyDescent="0.2">
      <c r="E635" s="31"/>
      <c r="F635" s="133"/>
      <c r="H635" s="31"/>
      <c r="I635" s="31"/>
      <c r="R635" s="32"/>
      <c r="S635" s="32"/>
      <c r="U635" s="33"/>
      <c r="V635" s="33"/>
      <c r="AD635" s="32"/>
    </row>
    <row r="636" spans="5:30" x14ac:dyDescent="0.2">
      <c r="E636" s="31"/>
      <c r="F636" s="133"/>
      <c r="H636" s="31"/>
      <c r="I636" s="31"/>
      <c r="R636" s="32"/>
      <c r="S636" s="32"/>
      <c r="U636" s="33"/>
      <c r="V636" s="33"/>
      <c r="AD636" s="32"/>
    </row>
    <row r="637" spans="5:30" x14ac:dyDescent="0.2">
      <c r="E637" s="31"/>
      <c r="F637" s="133"/>
      <c r="H637" s="31"/>
      <c r="I637" s="31"/>
      <c r="R637" s="32"/>
      <c r="S637" s="32"/>
      <c r="U637" s="33"/>
      <c r="V637" s="33"/>
      <c r="AD637" s="32"/>
    </row>
    <row r="638" spans="5:30" x14ac:dyDescent="0.2">
      <c r="E638" s="31"/>
      <c r="F638" s="133"/>
      <c r="H638" s="31"/>
      <c r="I638" s="31"/>
      <c r="R638" s="32"/>
      <c r="S638" s="32"/>
      <c r="U638" s="33"/>
      <c r="V638" s="33"/>
      <c r="AD638" s="32"/>
    </row>
    <row r="639" spans="5:30" x14ac:dyDescent="0.2">
      <c r="E639" s="31"/>
      <c r="F639" s="133"/>
      <c r="H639" s="31"/>
      <c r="I639" s="31"/>
      <c r="R639" s="32"/>
      <c r="S639" s="32"/>
      <c r="U639" s="33"/>
      <c r="V639" s="33"/>
      <c r="AD639" s="32"/>
    </row>
    <row r="640" spans="5:30" x14ac:dyDescent="0.2">
      <c r="E640" s="31"/>
      <c r="F640" s="133"/>
      <c r="H640" s="31"/>
      <c r="I640" s="31"/>
      <c r="R640" s="32"/>
      <c r="S640" s="32"/>
      <c r="U640" s="33"/>
      <c r="V640" s="33"/>
      <c r="AD640" s="32"/>
    </row>
    <row r="641" spans="5:30" x14ac:dyDescent="0.2">
      <c r="E641" s="31"/>
      <c r="F641" s="133"/>
      <c r="H641" s="31"/>
      <c r="I641" s="31"/>
      <c r="R641" s="32"/>
      <c r="S641" s="32"/>
      <c r="U641" s="33"/>
      <c r="V641" s="33"/>
      <c r="AD641" s="32"/>
    </row>
    <row r="642" spans="5:30" x14ac:dyDescent="0.2">
      <c r="E642" s="31"/>
      <c r="F642" s="133"/>
      <c r="H642" s="31"/>
      <c r="I642" s="31"/>
      <c r="R642" s="32"/>
      <c r="S642" s="32"/>
      <c r="U642" s="33"/>
      <c r="V642" s="33"/>
      <c r="AD642" s="32"/>
    </row>
    <row r="643" spans="5:30" x14ac:dyDescent="0.2">
      <c r="E643" s="31"/>
      <c r="F643" s="133"/>
      <c r="H643" s="31"/>
      <c r="I643" s="31"/>
      <c r="R643" s="32"/>
      <c r="S643" s="32"/>
      <c r="U643" s="33"/>
      <c r="V643" s="33"/>
      <c r="AD643" s="32"/>
    </row>
    <row r="644" spans="5:30" x14ac:dyDescent="0.2">
      <c r="E644" s="31"/>
      <c r="F644" s="133"/>
      <c r="H644" s="31"/>
      <c r="I644" s="31"/>
      <c r="R644" s="32"/>
      <c r="S644" s="32"/>
      <c r="U644" s="33"/>
      <c r="V644" s="33"/>
      <c r="AD644" s="32"/>
    </row>
    <row r="645" spans="5:30" x14ac:dyDescent="0.2">
      <c r="E645" s="31"/>
      <c r="F645" s="133"/>
      <c r="H645" s="31"/>
      <c r="I645" s="31"/>
      <c r="R645" s="32"/>
      <c r="S645" s="32"/>
      <c r="U645" s="33"/>
      <c r="V645" s="33"/>
      <c r="AD645" s="32"/>
    </row>
    <row r="646" spans="5:30" x14ac:dyDescent="0.2">
      <c r="E646" s="31"/>
      <c r="F646" s="133"/>
      <c r="H646" s="31"/>
      <c r="I646" s="31"/>
      <c r="R646" s="32"/>
      <c r="S646" s="32"/>
      <c r="U646" s="33"/>
      <c r="V646" s="33"/>
      <c r="AD646" s="32"/>
    </row>
    <row r="647" spans="5:30" x14ac:dyDescent="0.2">
      <c r="E647" s="31"/>
      <c r="F647" s="133"/>
      <c r="H647" s="31"/>
      <c r="I647" s="31"/>
      <c r="R647" s="32"/>
      <c r="S647" s="32"/>
      <c r="U647" s="33"/>
      <c r="V647" s="33"/>
      <c r="AD647" s="32"/>
    </row>
    <row r="648" spans="5:30" x14ac:dyDescent="0.2">
      <c r="E648" s="31"/>
      <c r="F648" s="133"/>
      <c r="H648" s="31"/>
      <c r="I648" s="31"/>
      <c r="R648" s="32"/>
      <c r="S648" s="32"/>
      <c r="U648" s="33"/>
      <c r="V648" s="33"/>
      <c r="AD648" s="32"/>
    </row>
    <row r="649" spans="5:30" x14ac:dyDescent="0.2">
      <c r="E649" s="31"/>
      <c r="F649" s="133"/>
      <c r="H649" s="31"/>
      <c r="I649" s="31"/>
      <c r="R649" s="32"/>
      <c r="S649" s="32"/>
      <c r="U649" s="33"/>
      <c r="V649" s="33"/>
      <c r="AD649" s="32"/>
    </row>
    <row r="650" spans="5:30" x14ac:dyDescent="0.2">
      <c r="E650" s="31"/>
      <c r="F650" s="133"/>
      <c r="H650" s="31"/>
      <c r="I650" s="31"/>
      <c r="R650" s="32"/>
      <c r="S650" s="32"/>
      <c r="U650" s="33"/>
      <c r="V650" s="33"/>
      <c r="AD650" s="32"/>
    </row>
    <row r="651" spans="5:30" x14ac:dyDescent="0.2">
      <c r="E651" s="31"/>
      <c r="F651" s="133"/>
      <c r="H651" s="31"/>
      <c r="I651" s="31"/>
      <c r="R651" s="32"/>
      <c r="S651" s="32"/>
      <c r="U651" s="33"/>
      <c r="V651" s="33"/>
      <c r="AD651" s="32"/>
    </row>
    <row r="652" spans="5:30" x14ac:dyDescent="0.2">
      <c r="E652" s="31"/>
      <c r="F652" s="133"/>
      <c r="H652" s="31"/>
      <c r="I652" s="31"/>
      <c r="R652" s="32"/>
      <c r="S652" s="32"/>
      <c r="U652" s="33"/>
      <c r="V652" s="33"/>
      <c r="AD652" s="32"/>
    </row>
    <row r="653" spans="5:30" x14ac:dyDescent="0.2">
      <c r="E653" s="31"/>
      <c r="F653" s="133"/>
      <c r="H653" s="31"/>
      <c r="I653" s="31"/>
      <c r="R653" s="32"/>
      <c r="S653" s="32"/>
      <c r="U653" s="33"/>
      <c r="V653" s="33"/>
      <c r="AD653" s="32"/>
    </row>
    <row r="654" spans="5:30" x14ac:dyDescent="0.2">
      <c r="E654" s="31"/>
      <c r="F654" s="133"/>
      <c r="H654" s="31"/>
      <c r="I654" s="31"/>
      <c r="R654" s="32"/>
      <c r="S654" s="32"/>
      <c r="U654" s="33"/>
      <c r="V654" s="33"/>
      <c r="AD654" s="32"/>
    </row>
    <row r="655" spans="5:30" x14ac:dyDescent="0.2">
      <c r="E655" s="31"/>
      <c r="F655" s="133"/>
      <c r="H655" s="31"/>
      <c r="I655" s="31"/>
      <c r="R655" s="32"/>
      <c r="S655" s="32"/>
      <c r="U655" s="33"/>
      <c r="V655" s="33"/>
      <c r="AD655" s="32"/>
    </row>
    <row r="656" spans="5:30" x14ac:dyDescent="0.2">
      <c r="E656" s="31"/>
      <c r="F656" s="133"/>
      <c r="H656" s="31"/>
      <c r="I656" s="31"/>
      <c r="R656" s="32"/>
      <c r="S656" s="32"/>
      <c r="U656" s="33"/>
      <c r="V656" s="33"/>
      <c r="AD656" s="32"/>
    </row>
    <row r="657" spans="5:30" x14ac:dyDescent="0.2">
      <c r="E657" s="31"/>
      <c r="F657" s="133"/>
      <c r="H657" s="31"/>
      <c r="I657" s="31"/>
      <c r="R657" s="32"/>
      <c r="S657" s="32"/>
      <c r="U657" s="33"/>
      <c r="V657" s="33"/>
      <c r="AD657" s="32"/>
    </row>
    <row r="658" spans="5:30" x14ac:dyDescent="0.2">
      <c r="E658" s="31"/>
      <c r="F658" s="133"/>
      <c r="H658" s="31"/>
      <c r="I658" s="31"/>
      <c r="R658" s="32"/>
      <c r="S658" s="32"/>
      <c r="U658" s="33"/>
      <c r="V658" s="33"/>
      <c r="AD658" s="32"/>
    </row>
    <row r="659" spans="5:30" x14ac:dyDescent="0.2">
      <c r="E659" s="31"/>
      <c r="F659" s="133"/>
      <c r="H659" s="31"/>
      <c r="I659" s="31"/>
      <c r="R659" s="32"/>
      <c r="S659" s="32"/>
      <c r="U659" s="33"/>
      <c r="V659" s="33"/>
      <c r="AD659" s="32"/>
    </row>
    <row r="660" spans="5:30" x14ac:dyDescent="0.2">
      <c r="E660" s="31"/>
      <c r="F660" s="133"/>
      <c r="H660" s="31"/>
      <c r="I660" s="31"/>
      <c r="R660" s="32"/>
      <c r="S660" s="32"/>
      <c r="U660" s="33"/>
      <c r="V660" s="33"/>
      <c r="AD660" s="32"/>
    </row>
    <row r="661" spans="5:30" x14ac:dyDescent="0.2">
      <c r="E661" s="31"/>
      <c r="F661" s="133"/>
      <c r="H661" s="31"/>
      <c r="I661" s="31"/>
      <c r="R661" s="32"/>
      <c r="S661" s="32"/>
      <c r="U661" s="33"/>
      <c r="V661" s="33"/>
      <c r="AD661" s="32"/>
    </row>
    <row r="662" spans="5:30" x14ac:dyDescent="0.2">
      <c r="E662" s="31"/>
      <c r="F662" s="133"/>
      <c r="H662" s="31"/>
      <c r="I662" s="31"/>
      <c r="R662" s="32"/>
      <c r="S662" s="32"/>
      <c r="U662" s="33"/>
      <c r="V662" s="33"/>
      <c r="AD662" s="32"/>
    </row>
    <row r="663" spans="5:30" x14ac:dyDescent="0.2">
      <c r="E663" s="31"/>
      <c r="F663" s="133"/>
      <c r="H663" s="31"/>
      <c r="I663" s="31"/>
      <c r="R663" s="32"/>
      <c r="S663" s="32"/>
      <c r="U663" s="33"/>
      <c r="V663" s="33"/>
      <c r="AD663" s="32"/>
    </row>
    <row r="664" spans="5:30" x14ac:dyDescent="0.2">
      <c r="E664" s="31"/>
      <c r="F664" s="133"/>
      <c r="H664" s="31"/>
      <c r="I664" s="31"/>
      <c r="R664" s="32"/>
      <c r="S664" s="32"/>
      <c r="U664" s="33"/>
      <c r="V664" s="33"/>
      <c r="AD664" s="32"/>
    </row>
    <row r="665" spans="5:30" x14ac:dyDescent="0.2">
      <c r="E665" s="31"/>
      <c r="F665" s="133"/>
      <c r="H665" s="31"/>
      <c r="I665" s="31"/>
      <c r="R665" s="32"/>
      <c r="S665" s="32"/>
      <c r="U665" s="33"/>
      <c r="V665" s="33"/>
      <c r="AD665" s="32"/>
    </row>
    <row r="666" spans="5:30" x14ac:dyDescent="0.2">
      <c r="E666" s="31"/>
      <c r="F666" s="133"/>
      <c r="H666" s="31"/>
      <c r="I666" s="31"/>
      <c r="R666" s="32"/>
      <c r="S666" s="32"/>
      <c r="U666" s="33"/>
      <c r="V666" s="33"/>
      <c r="AD666" s="32"/>
    </row>
    <row r="667" spans="5:30" x14ac:dyDescent="0.2">
      <c r="E667" s="31"/>
      <c r="F667" s="133"/>
      <c r="H667" s="31"/>
      <c r="I667" s="31"/>
      <c r="R667" s="32"/>
      <c r="S667" s="32"/>
      <c r="U667" s="33"/>
      <c r="V667" s="33"/>
      <c r="AD667" s="32"/>
    </row>
    <row r="668" spans="5:30" x14ac:dyDescent="0.2">
      <c r="E668" s="31"/>
      <c r="F668" s="133"/>
      <c r="H668" s="31"/>
      <c r="I668" s="31"/>
      <c r="R668" s="32"/>
      <c r="S668" s="32"/>
      <c r="U668" s="33"/>
      <c r="V668" s="33"/>
      <c r="AD668" s="32"/>
    </row>
    <row r="669" spans="5:30" x14ac:dyDescent="0.2">
      <c r="E669" s="31"/>
      <c r="F669" s="133"/>
      <c r="H669" s="31"/>
      <c r="I669" s="31"/>
      <c r="R669" s="32"/>
      <c r="S669" s="32"/>
      <c r="U669" s="33"/>
      <c r="V669" s="33"/>
      <c r="AD669" s="32"/>
    </row>
    <row r="670" spans="5:30" x14ac:dyDescent="0.2">
      <c r="E670" s="31"/>
      <c r="F670" s="133"/>
      <c r="H670" s="31"/>
      <c r="I670" s="31"/>
      <c r="R670" s="32"/>
      <c r="S670" s="32"/>
      <c r="U670" s="33"/>
      <c r="V670" s="33"/>
      <c r="AD670" s="32"/>
    </row>
    <row r="671" spans="5:30" x14ac:dyDescent="0.2">
      <c r="E671" s="31"/>
      <c r="F671" s="133"/>
      <c r="H671" s="31"/>
      <c r="I671" s="31"/>
      <c r="R671" s="32"/>
      <c r="S671" s="32"/>
      <c r="U671" s="33"/>
      <c r="V671" s="33"/>
      <c r="AD671" s="32"/>
    </row>
    <row r="672" spans="5:30" x14ac:dyDescent="0.2">
      <c r="E672" s="31"/>
      <c r="F672" s="133"/>
      <c r="H672" s="31"/>
      <c r="I672" s="31"/>
      <c r="R672" s="32"/>
      <c r="S672" s="32"/>
      <c r="U672" s="33"/>
      <c r="V672" s="33"/>
      <c r="AD672" s="32"/>
    </row>
    <row r="673" spans="5:30" x14ac:dyDescent="0.2">
      <c r="E673" s="31"/>
      <c r="F673" s="133"/>
      <c r="H673" s="31"/>
      <c r="I673" s="31"/>
      <c r="R673" s="32"/>
      <c r="S673" s="32"/>
      <c r="U673" s="33"/>
      <c r="V673" s="33"/>
      <c r="AD673" s="32"/>
    </row>
    <row r="674" spans="5:30" x14ac:dyDescent="0.2">
      <c r="E674" s="31"/>
      <c r="F674" s="133"/>
      <c r="H674" s="31"/>
      <c r="I674" s="31"/>
      <c r="R674" s="32"/>
      <c r="S674" s="32"/>
      <c r="U674" s="33"/>
      <c r="V674" s="33"/>
      <c r="AD674" s="32"/>
    </row>
    <row r="675" spans="5:30" x14ac:dyDescent="0.2">
      <c r="E675" s="31"/>
      <c r="F675" s="133"/>
      <c r="H675" s="31"/>
      <c r="I675" s="31"/>
      <c r="R675" s="32"/>
      <c r="S675" s="32"/>
      <c r="U675" s="33"/>
      <c r="V675" s="33"/>
      <c r="AD675" s="32"/>
    </row>
    <row r="676" spans="5:30" x14ac:dyDescent="0.2">
      <c r="E676" s="31"/>
      <c r="F676" s="133"/>
      <c r="H676" s="31"/>
      <c r="I676" s="31"/>
      <c r="R676" s="32"/>
      <c r="S676" s="32"/>
      <c r="U676" s="33"/>
      <c r="V676" s="33"/>
      <c r="AD676" s="32"/>
    </row>
    <row r="677" spans="5:30" x14ac:dyDescent="0.2">
      <c r="E677" s="31"/>
      <c r="F677" s="133"/>
      <c r="H677" s="31"/>
      <c r="I677" s="31"/>
      <c r="R677" s="32"/>
      <c r="S677" s="32"/>
      <c r="U677" s="33"/>
      <c r="V677" s="33"/>
      <c r="AD677" s="32"/>
    </row>
    <row r="678" spans="5:30" x14ac:dyDescent="0.2">
      <c r="E678" s="31"/>
      <c r="F678" s="133"/>
      <c r="H678" s="31"/>
      <c r="I678" s="31"/>
      <c r="R678" s="32"/>
      <c r="S678" s="32"/>
      <c r="U678" s="33"/>
      <c r="V678" s="33"/>
      <c r="AD678" s="32"/>
    </row>
    <row r="679" spans="5:30" x14ac:dyDescent="0.2">
      <c r="E679" s="31"/>
      <c r="F679" s="133"/>
      <c r="H679" s="31"/>
      <c r="I679" s="31"/>
      <c r="R679" s="32"/>
      <c r="S679" s="32"/>
      <c r="U679" s="33"/>
      <c r="V679" s="33"/>
      <c r="AD679" s="32"/>
    </row>
    <row r="680" spans="5:30" x14ac:dyDescent="0.2">
      <c r="E680" s="31"/>
      <c r="F680" s="133"/>
      <c r="H680" s="31"/>
      <c r="I680" s="31"/>
      <c r="R680" s="32"/>
      <c r="S680" s="32"/>
      <c r="U680" s="33"/>
      <c r="V680" s="33"/>
      <c r="AD680" s="32"/>
    </row>
    <row r="681" spans="5:30" x14ac:dyDescent="0.2">
      <c r="E681" s="31"/>
      <c r="F681" s="133"/>
      <c r="H681" s="31"/>
      <c r="I681" s="31"/>
      <c r="R681" s="32"/>
      <c r="S681" s="32"/>
      <c r="U681" s="33"/>
      <c r="V681" s="33"/>
    </row>
    <row r="682" spans="5:30" x14ac:dyDescent="0.2">
      <c r="E682" s="31"/>
      <c r="F682" s="133"/>
      <c r="H682" s="31"/>
      <c r="I682" s="31"/>
      <c r="R682" s="32"/>
      <c r="S682" s="32"/>
      <c r="U682" s="33"/>
      <c r="V682" s="33"/>
      <c r="AD682" s="32"/>
    </row>
    <row r="683" spans="5:30" x14ac:dyDescent="0.2">
      <c r="E683" s="31"/>
      <c r="F683" s="133"/>
      <c r="H683" s="31"/>
      <c r="I683" s="31"/>
      <c r="R683" s="32"/>
      <c r="S683" s="32"/>
      <c r="U683" s="33"/>
      <c r="V683" s="33"/>
      <c r="AD683" s="32"/>
    </row>
    <row r="684" spans="5:30" x14ac:dyDescent="0.2">
      <c r="E684" s="31"/>
      <c r="F684" s="133"/>
      <c r="H684" s="31"/>
      <c r="I684" s="31"/>
      <c r="R684" s="32"/>
      <c r="S684" s="32"/>
      <c r="U684" s="33"/>
      <c r="V684" s="33"/>
      <c r="AD684" s="32"/>
    </row>
    <row r="685" spans="5:30" x14ac:dyDescent="0.2">
      <c r="E685" s="31"/>
      <c r="F685" s="133"/>
      <c r="H685" s="31"/>
      <c r="I685" s="31"/>
      <c r="R685" s="32"/>
      <c r="S685" s="32"/>
      <c r="U685" s="33"/>
      <c r="V685" s="33"/>
      <c r="AD685" s="32"/>
    </row>
    <row r="686" spans="5:30" x14ac:dyDescent="0.2">
      <c r="E686" s="31"/>
      <c r="F686" s="133"/>
      <c r="H686" s="31"/>
      <c r="I686" s="31"/>
      <c r="R686" s="32"/>
      <c r="S686" s="32"/>
      <c r="U686" s="33"/>
      <c r="V686" s="33"/>
      <c r="AD686" s="32"/>
    </row>
    <row r="687" spans="5:30" x14ac:dyDescent="0.2">
      <c r="E687" s="31"/>
      <c r="F687" s="133"/>
      <c r="H687" s="31"/>
      <c r="I687" s="31"/>
      <c r="R687" s="32"/>
      <c r="S687" s="32"/>
      <c r="U687" s="33"/>
      <c r="V687" s="33"/>
      <c r="AD687" s="32"/>
    </row>
    <row r="688" spans="5:30" x14ac:dyDescent="0.2">
      <c r="E688" s="31"/>
      <c r="F688" s="133"/>
      <c r="H688" s="31"/>
      <c r="I688" s="31"/>
      <c r="R688" s="32"/>
      <c r="S688" s="32"/>
      <c r="U688" s="33"/>
      <c r="V688" s="33"/>
      <c r="AD688" s="32"/>
    </row>
    <row r="689" spans="5:30" x14ac:dyDescent="0.2">
      <c r="E689" s="31"/>
      <c r="F689" s="133"/>
      <c r="H689" s="31"/>
      <c r="I689" s="31"/>
      <c r="R689" s="32"/>
      <c r="S689" s="32"/>
      <c r="U689" s="33"/>
      <c r="V689" s="33"/>
      <c r="AD689" s="32"/>
    </row>
    <row r="690" spans="5:30" x14ac:dyDescent="0.2">
      <c r="E690" s="31"/>
      <c r="F690" s="133"/>
      <c r="H690" s="31"/>
      <c r="I690" s="31"/>
      <c r="R690" s="32"/>
      <c r="S690" s="32"/>
      <c r="U690" s="33"/>
      <c r="V690" s="33"/>
      <c r="AD690" s="32"/>
    </row>
    <row r="691" spans="5:30" x14ac:dyDescent="0.2">
      <c r="E691" s="31"/>
      <c r="F691" s="133"/>
      <c r="H691" s="31"/>
      <c r="I691" s="31"/>
      <c r="R691" s="32"/>
      <c r="S691" s="32"/>
      <c r="U691" s="33"/>
      <c r="V691" s="33"/>
      <c r="AD691" s="32"/>
    </row>
    <row r="692" spans="5:30" x14ac:dyDescent="0.2">
      <c r="E692" s="31"/>
      <c r="F692" s="133"/>
      <c r="H692" s="31"/>
      <c r="I692" s="31"/>
      <c r="R692" s="32"/>
      <c r="S692" s="32"/>
      <c r="U692" s="33"/>
      <c r="V692" s="33"/>
      <c r="AD692" s="32"/>
    </row>
    <row r="693" spans="5:30" x14ac:dyDescent="0.2">
      <c r="E693" s="31"/>
      <c r="F693" s="133"/>
      <c r="H693" s="31"/>
      <c r="I693" s="31"/>
      <c r="R693" s="32"/>
      <c r="S693" s="32"/>
      <c r="U693" s="33"/>
      <c r="V693" s="33"/>
      <c r="AD693" s="32"/>
    </row>
    <row r="694" spans="5:30" x14ac:dyDescent="0.2">
      <c r="E694" s="31"/>
      <c r="F694" s="133"/>
      <c r="H694" s="31"/>
      <c r="I694" s="31"/>
      <c r="R694" s="32"/>
      <c r="S694" s="32"/>
      <c r="U694" s="33"/>
      <c r="V694" s="33"/>
      <c r="AD694" s="32"/>
    </row>
    <row r="695" spans="5:30" x14ac:dyDescent="0.2">
      <c r="E695" s="31"/>
      <c r="F695" s="133"/>
      <c r="H695" s="31"/>
      <c r="I695" s="31"/>
      <c r="R695" s="32"/>
      <c r="S695" s="32"/>
      <c r="U695" s="33"/>
      <c r="V695" s="33"/>
      <c r="AD695" s="32"/>
    </row>
    <row r="696" spans="5:30" x14ac:dyDescent="0.2">
      <c r="E696" s="31"/>
      <c r="F696" s="133"/>
      <c r="H696" s="31"/>
      <c r="I696" s="31"/>
      <c r="R696" s="32"/>
      <c r="S696" s="32"/>
      <c r="U696" s="33"/>
      <c r="V696" s="33"/>
      <c r="AD696" s="32"/>
    </row>
    <row r="697" spans="5:30" x14ac:dyDescent="0.2">
      <c r="E697" s="31"/>
      <c r="F697" s="133"/>
      <c r="H697" s="31"/>
      <c r="I697" s="31"/>
      <c r="R697" s="32"/>
      <c r="S697" s="32"/>
      <c r="U697" s="33"/>
      <c r="V697" s="33"/>
      <c r="AD697" s="32"/>
    </row>
    <row r="698" spans="5:30" x14ac:dyDescent="0.2">
      <c r="E698" s="31"/>
      <c r="F698" s="133"/>
      <c r="H698" s="31"/>
      <c r="I698" s="31"/>
      <c r="R698" s="32"/>
      <c r="S698" s="32"/>
      <c r="U698" s="33"/>
      <c r="V698" s="33"/>
      <c r="AD698" s="32"/>
    </row>
    <row r="699" spans="5:30" x14ac:dyDescent="0.2">
      <c r="E699" s="31"/>
      <c r="F699" s="133"/>
      <c r="H699" s="31"/>
      <c r="I699" s="31"/>
      <c r="R699" s="32"/>
      <c r="S699" s="32"/>
      <c r="U699" s="33"/>
      <c r="V699" s="33"/>
      <c r="AD699" s="32"/>
    </row>
    <row r="700" spans="5:30" x14ac:dyDescent="0.2">
      <c r="E700" s="31"/>
      <c r="F700" s="133"/>
      <c r="H700" s="31"/>
      <c r="I700" s="31"/>
      <c r="R700" s="32"/>
      <c r="S700" s="32"/>
      <c r="U700" s="33"/>
      <c r="V700" s="33"/>
      <c r="AD700" s="32"/>
    </row>
    <row r="701" spans="5:30" x14ac:dyDescent="0.2">
      <c r="E701" s="31"/>
      <c r="F701" s="133"/>
      <c r="H701" s="31"/>
      <c r="I701" s="31"/>
      <c r="R701" s="32"/>
      <c r="S701" s="32"/>
      <c r="U701" s="33"/>
      <c r="V701" s="33"/>
      <c r="AD701" s="32"/>
    </row>
    <row r="702" spans="5:30" x14ac:dyDescent="0.2">
      <c r="E702" s="31"/>
      <c r="F702" s="133"/>
      <c r="H702" s="31"/>
      <c r="I702" s="31"/>
      <c r="R702" s="32"/>
      <c r="S702" s="32"/>
      <c r="U702" s="33"/>
      <c r="V702" s="33"/>
      <c r="AD702" s="32"/>
    </row>
    <row r="703" spans="5:30" x14ac:dyDescent="0.2">
      <c r="E703" s="31"/>
      <c r="F703" s="133"/>
      <c r="H703" s="31"/>
      <c r="I703" s="31"/>
      <c r="R703" s="32"/>
      <c r="S703" s="32"/>
      <c r="U703" s="33"/>
      <c r="V703" s="33"/>
      <c r="AD703" s="32"/>
    </row>
    <row r="704" spans="5:30" x14ac:dyDescent="0.2">
      <c r="E704" s="31"/>
      <c r="F704" s="133"/>
      <c r="H704" s="31"/>
      <c r="I704" s="31"/>
      <c r="R704" s="32"/>
      <c r="S704" s="32"/>
      <c r="U704" s="33"/>
      <c r="V704" s="33"/>
      <c r="AD704" s="32"/>
    </row>
    <row r="705" spans="5:40" x14ac:dyDescent="0.2">
      <c r="E705" s="31"/>
      <c r="F705" s="133"/>
      <c r="H705" s="31"/>
      <c r="I705" s="31"/>
      <c r="R705" s="32"/>
      <c r="S705" s="32"/>
      <c r="U705" s="33"/>
      <c r="V705" s="33"/>
      <c r="AD705" s="32"/>
    </row>
    <row r="706" spans="5:40" x14ac:dyDescent="0.2">
      <c r="E706" s="31"/>
      <c r="F706" s="133"/>
      <c r="H706" s="31"/>
      <c r="I706" s="31"/>
      <c r="R706" s="32"/>
      <c r="S706" s="32"/>
      <c r="U706" s="33"/>
      <c r="V706" s="33"/>
      <c r="AD706" s="32"/>
    </row>
    <row r="707" spans="5:40" x14ac:dyDescent="0.2">
      <c r="E707" s="31"/>
      <c r="F707" s="133"/>
      <c r="H707" s="31"/>
      <c r="I707" s="31"/>
      <c r="R707" s="32"/>
      <c r="S707" s="32"/>
      <c r="U707" s="33"/>
      <c r="V707" s="33"/>
      <c r="AD707" s="32"/>
    </row>
    <row r="708" spans="5:40" x14ac:dyDescent="0.2">
      <c r="E708" s="31"/>
      <c r="F708" s="133"/>
      <c r="H708" s="31"/>
      <c r="I708" s="31"/>
      <c r="R708" s="32"/>
      <c r="S708" s="32"/>
      <c r="U708" s="33"/>
      <c r="V708" s="33"/>
      <c r="AD708" s="32"/>
    </row>
    <row r="709" spans="5:40" x14ac:dyDescent="0.2">
      <c r="E709" s="31"/>
      <c r="F709" s="133"/>
      <c r="H709" s="31"/>
      <c r="I709" s="31"/>
      <c r="R709" s="32"/>
      <c r="S709" s="32"/>
      <c r="U709" s="33"/>
      <c r="V709" s="33"/>
      <c r="AD709" s="32"/>
    </row>
    <row r="710" spans="5:40" x14ac:dyDescent="0.2">
      <c r="E710" s="31"/>
      <c r="F710" s="133"/>
      <c r="H710" s="31"/>
      <c r="I710" s="31"/>
      <c r="R710" s="32"/>
      <c r="S710" s="32"/>
      <c r="U710" s="33"/>
      <c r="V710" s="33"/>
      <c r="AD710" s="32"/>
    </row>
    <row r="711" spans="5:40" x14ac:dyDescent="0.2">
      <c r="E711" s="31"/>
      <c r="F711" s="133"/>
      <c r="H711" s="31"/>
      <c r="I711" s="31"/>
      <c r="R711" s="32"/>
      <c r="S711" s="32"/>
      <c r="U711" s="33"/>
      <c r="V711" s="33"/>
      <c r="AD711" s="32"/>
    </row>
    <row r="712" spans="5:40" x14ac:dyDescent="0.2">
      <c r="E712" s="31"/>
      <c r="F712" s="133"/>
      <c r="H712" s="31"/>
      <c r="I712" s="31"/>
      <c r="R712" s="32"/>
      <c r="S712" s="32"/>
      <c r="U712" s="33"/>
      <c r="V712" s="33"/>
      <c r="AD712" s="32"/>
    </row>
    <row r="713" spans="5:40" x14ac:dyDescent="0.2">
      <c r="E713" s="31"/>
      <c r="F713" s="133"/>
      <c r="H713" s="31"/>
      <c r="I713" s="31"/>
      <c r="R713" s="32"/>
      <c r="S713" s="32"/>
      <c r="U713" s="33"/>
      <c r="V713" s="33"/>
      <c r="AD713" s="32"/>
    </row>
    <row r="714" spans="5:40" x14ac:dyDescent="0.2">
      <c r="E714" s="31"/>
      <c r="F714" s="133"/>
      <c r="H714" s="31"/>
      <c r="I714" s="31"/>
      <c r="R714" s="32"/>
      <c r="S714" s="32"/>
      <c r="U714" s="33"/>
      <c r="V714" s="33"/>
      <c r="AD714" s="32"/>
    </row>
    <row r="715" spans="5:40" x14ac:dyDescent="0.2">
      <c r="E715" s="31"/>
      <c r="F715" s="133"/>
      <c r="H715" s="31"/>
      <c r="I715" s="31"/>
      <c r="R715" s="32"/>
      <c r="S715" s="32"/>
      <c r="U715" s="33"/>
      <c r="V715" s="33"/>
      <c r="AD715" s="32"/>
    </row>
    <row r="716" spans="5:40" x14ac:dyDescent="0.2">
      <c r="E716" s="31"/>
      <c r="F716" s="133"/>
      <c r="H716" s="31"/>
      <c r="I716" s="31"/>
      <c r="R716" s="32"/>
      <c r="S716" s="32"/>
      <c r="U716" s="33"/>
      <c r="V716" s="33"/>
      <c r="AD716" s="32"/>
    </row>
    <row r="717" spans="5:40" x14ac:dyDescent="0.2">
      <c r="E717" s="31"/>
      <c r="F717" s="133"/>
      <c r="H717" s="31"/>
      <c r="I717" s="31"/>
      <c r="R717" s="32"/>
      <c r="S717" s="32"/>
      <c r="U717" s="33"/>
      <c r="V717" s="33"/>
      <c r="AD717" s="32"/>
    </row>
    <row r="718" spans="5:40" x14ac:dyDescent="0.2">
      <c r="E718" s="31"/>
      <c r="F718" s="133"/>
      <c r="H718" s="31"/>
      <c r="I718" s="31"/>
      <c r="R718" s="32"/>
      <c r="S718" s="32"/>
      <c r="U718" s="33"/>
      <c r="V718" s="33"/>
      <c r="AD718" s="32"/>
    </row>
    <row r="719" spans="5:40" x14ac:dyDescent="0.2">
      <c r="E719" s="31"/>
      <c r="F719" s="133"/>
      <c r="G719" s="32"/>
      <c r="H719" s="31"/>
      <c r="I719" s="31"/>
      <c r="J719" s="32"/>
      <c r="K719" s="32"/>
      <c r="N719" s="32"/>
      <c r="O719" s="32"/>
      <c r="P719" s="32"/>
      <c r="Q719" s="32"/>
      <c r="R719" s="32"/>
      <c r="S719" s="32"/>
      <c r="T719" s="32"/>
      <c r="U719" s="32"/>
      <c r="V719" s="32"/>
      <c r="AD719" s="32"/>
      <c r="AE719" s="119"/>
      <c r="AF719" s="32"/>
      <c r="AG719" s="32"/>
      <c r="AH719" s="32"/>
      <c r="AJ719" s="32"/>
      <c r="AK719" s="32"/>
      <c r="AL719" s="32"/>
      <c r="AM719" s="32"/>
      <c r="AN719" s="32"/>
    </row>
    <row r="720" spans="5:40" x14ac:dyDescent="0.2">
      <c r="E720" s="31"/>
      <c r="F720" s="133"/>
      <c r="H720" s="31"/>
      <c r="I720" s="31"/>
      <c r="R720" s="32"/>
      <c r="S720" s="32"/>
      <c r="U720" s="33"/>
      <c r="V720" s="33"/>
      <c r="AD720" s="32"/>
    </row>
    <row r="721" spans="5:30" x14ac:dyDescent="0.2">
      <c r="E721" s="31"/>
      <c r="F721" s="133"/>
      <c r="H721" s="31"/>
      <c r="I721" s="31"/>
      <c r="R721" s="32"/>
      <c r="S721" s="32"/>
      <c r="U721" s="33"/>
      <c r="V721" s="33"/>
      <c r="AD721" s="32"/>
    </row>
    <row r="722" spans="5:30" x14ac:dyDescent="0.2">
      <c r="E722" s="31"/>
      <c r="F722" s="133"/>
      <c r="H722" s="31"/>
      <c r="I722" s="31"/>
      <c r="R722" s="32"/>
      <c r="S722" s="32"/>
      <c r="U722" s="33"/>
      <c r="V722" s="33"/>
      <c r="AD722" s="32"/>
    </row>
    <row r="723" spans="5:30" x14ac:dyDescent="0.2">
      <c r="E723" s="31"/>
      <c r="F723" s="133"/>
      <c r="H723" s="31"/>
      <c r="I723" s="31"/>
      <c r="R723" s="32"/>
      <c r="S723" s="32"/>
      <c r="U723" s="33"/>
      <c r="V723" s="33"/>
      <c r="AD723" s="32"/>
    </row>
    <row r="724" spans="5:30" x14ac:dyDescent="0.2">
      <c r="E724" s="31"/>
      <c r="F724" s="133"/>
      <c r="H724" s="31"/>
      <c r="I724" s="31"/>
      <c r="R724" s="32"/>
      <c r="S724" s="32"/>
      <c r="U724" s="33"/>
      <c r="V724" s="33"/>
      <c r="AD724" s="32"/>
    </row>
    <row r="725" spans="5:30" x14ac:dyDescent="0.2">
      <c r="E725" s="31"/>
      <c r="F725" s="133"/>
      <c r="H725" s="31"/>
      <c r="I725" s="31"/>
      <c r="R725" s="32"/>
      <c r="S725" s="32"/>
      <c r="U725" s="33"/>
      <c r="V725" s="33"/>
      <c r="AD725" s="32"/>
    </row>
    <row r="726" spans="5:30" x14ac:dyDescent="0.2">
      <c r="E726" s="31"/>
      <c r="F726" s="133"/>
      <c r="H726" s="31"/>
      <c r="I726" s="31"/>
      <c r="R726" s="32"/>
      <c r="S726" s="32"/>
      <c r="U726" s="33"/>
      <c r="V726" s="33"/>
      <c r="AD726" s="32"/>
    </row>
    <row r="727" spans="5:30" x14ac:dyDescent="0.2">
      <c r="E727" s="31"/>
      <c r="F727" s="133"/>
      <c r="H727" s="31"/>
      <c r="I727" s="31"/>
      <c r="R727" s="32"/>
      <c r="S727" s="32"/>
      <c r="U727" s="33"/>
      <c r="V727" s="33"/>
      <c r="AD727" s="32"/>
    </row>
    <row r="728" spans="5:30" x14ac:dyDescent="0.2">
      <c r="E728" s="31"/>
      <c r="F728" s="133"/>
      <c r="H728" s="31"/>
      <c r="I728" s="31"/>
      <c r="R728" s="32"/>
      <c r="S728" s="32"/>
      <c r="U728" s="33"/>
      <c r="V728" s="33"/>
      <c r="AD728" s="32"/>
    </row>
    <row r="729" spans="5:30" x14ac:dyDescent="0.2">
      <c r="E729" s="31"/>
      <c r="F729" s="133"/>
      <c r="H729" s="31"/>
      <c r="I729" s="31"/>
      <c r="R729" s="32"/>
      <c r="S729" s="32"/>
      <c r="U729" s="33"/>
      <c r="V729" s="33"/>
      <c r="AD729" s="32"/>
    </row>
    <row r="730" spans="5:30" x14ac:dyDescent="0.2">
      <c r="E730" s="31"/>
      <c r="F730" s="133"/>
      <c r="H730" s="31"/>
      <c r="I730" s="31"/>
      <c r="R730" s="32"/>
      <c r="S730" s="32"/>
      <c r="U730" s="33"/>
      <c r="V730" s="33"/>
      <c r="AD730" s="32"/>
    </row>
    <row r="731" spans="5:30" x14ac:dyDescent="0.2">
      <c r="E731" s="31"/>
      <c r="F731" s="133"/>
      <c r="H731" s="31"/>
      <c r="I731" s="31"/>
      <c r="R731" s="32"/>
      <c r="S731" s="32"/>
      <c r="U731" s="33"/>
      <c r="V731" s="33"/>
      <c r="AD731" s="32"/>
    </row>
    <row r="732" spans="5:30" x14ac:dyDescent="0.2">
      <c r="E732" s="31"/>
      <c r="F732" s="133"/>
      <c r="H732" s="31"/>
      <c r="I732" s="31"/>
      <c r="R732" s="32"/>
      <c r="S732" s="32"/>
      <c r="U732" s="33"/>
      <c r="V732" s="33"/>
      <c r="AD732" s="32"/>
    </row>
    <row r="733" spans="5:30" x14ac:dyDescent="0.2">
      <c r="E733" s="31"/>
      <c r="F733" s="133"/>
      <c r="H733" s="31"/>
      <c r="I733" s="31"/>
      <c r="R733" s="32"/>
      <c r="S733" s="32"/>
      <c r="U733" s="33"/>
      <c r="V733" s="33"/>
      <c r="AD733" s="32"/>
    </row>
    <row r="734" spans="5:30" x14ac:dyDescent="0.2">
      <c r="E734" s="31"/>
      <c r="F734" s="133"/>
      <c r="H734" s="31"/>
      <c r="I734" s="31"/>
      <c r="R734" s="32"/>
      <c r="S734" s="32"/>
      <c r="U734" s="33"/>
      <c r="V734" s="33"/>
      <c r="AD734" s="32"/>
    </row>
    <row r="735" spans="5:30" x14ac:dyDescent="0.2">
      <c r="E735" s="31"/>
      <c r="F735" s="133"/>
      <c r="H735" s="31"/>
      <c r="I735" s="31"/>
      <c r="R735" s="32"/>
      <c r="S735" s="32"/>
      <c r="U735" s="33"/>
      <c r="V735" s="33"/>
      <c r="AD735" s="32"/>
    </row>
    <row r="736" spans="5:30" x14ac:dyDescent="0.2">
      <c r="E736" s="31"/>
      <c r="F736" s="133"/>
      <c r="H736" s="31"/>
      <c r="I736" s="31"/>
      <c r="R736" s="32"/>
      <c r="S736" s="32"/>
      <c r="U736" s="33"/>
      <c r="V736" s="33"/>
      <c r="AD736" s="32"/>
    </row>
    <row r="737" spans="5:30" x14ac:dyDescent="0.2">
      <c r="E737" s="31"/>
      <c r="F737" s="133"/>
      <c r="H737" s="31"/>
      <c r="I737" s="31"/>
      <c r="R737" s="32"/>
      <c r="S737" s="32"/>
      <c r="U737" s="33"/>
      <c r="V737" s="33"/>
      <c r="AD737" s="32"/>
    </row>
    <row r="738" spans="5:30" x14ac:dyDescent="0.2">
      <c r="E738" s="31"/>
      <c r="F738" s="133"/>
      <c r="H738" s="31"/>
      <c r="I738" s="31"/>
      <c r="R738" s="32"/>
      <c r="S738" s="32"/>
      <c r="U738" s="33"/>
      <c r="V738" s="33"/>
      <c r="AD738" s="32"/>
    </row>
    <row r="739" spans="5:30" x14ac:dyDescent="0.2">
      <c r="E739" s="31"/>
      <c r="F739" s="133"/>
      <c r="H739" s="31"/>
      <c r="I739" s="31"/>
      <c r="R739" s="32"/>
      <c r="S739" s="32"/>
      <c r="U739" s="33"/>
      <c r="V739" s="33"/>
      <c r="AD739" s="32"/>
    </row>
    <row r="740" spans="5:30" x14ac:dyDescent="0.2">
      <c r="E740" s="31"/>
      <c r="F740" s="133"/>
      <c r="H740" s="31"/>
      <c r="I740" s="31"/>
      <c r="R740" s="32"/>
      <c r="S740" s="32"/>
      <c r="U740" s="33"/>
      <c r="V740" s="33"/>
      <c r="AD740" s="32"/>
    </row>
    <row r="741" spans="5:30" x14ac:dyDescent="0.2">
      <c r="E741" s="31"/>
      <c r="F741" s="133"/>
      <c r="H741" s="31"/>
      <c r="I741" s="31"/>
      <c r="R741" s="32"/>
      <c r="S741" s="32"/>
      <c r="U741" s="33"/>
      <c r="V741" s="33"/>
      <c r="AD741" s="32"/>
    </row>
    <row r="742" spans="5:30" x14ac:dyDescent="0.2">
      <c r="E742" s="31"/>
      <c r="F742" s="133"/>
      <c r="H742" s="31"/>
      <c r="I742" s="31"/>
      <c r="R742" s="32"/>
      <c r="S742" s="32"/>
      <c r="U742" s="33"/>
      <c r="V742" s="33"/>
      <c r="AD742" s="32"/>
    </row>
    <row r="743" spans="5:30" x14ac:dyDescent="0.2">
      <c r="E743" s="31"/>
      <c r="F743" s="133"/>
      <c r="H743" s="31"/>
      <c r="I743" s="31"/>
      <c r="R743" s="32"/>
      <c r="S743" s="32"/>
      <c r="U743" s="33"/>
      <c r="V743" s="33"/>
      <c r="AD743" s="32"/>
    </row>
    <row r="744" spans="5:30" x14ac:dyDescent="0.2">
      <c r="E744" s="31"/>
      <c r="F744" s="133"/>
      <c r="H744" s="31"/>
      <c r="I744" s="31"/>
      <c r="R744" s="32"/>
      <c r="S744" s="32"/>
      <c r="U744" s="33"/>
      <c r="V744" s="33"/>
      <c r="AD744" s="32"/>
    </row>
    <row r="745" spans="5:30" x14ac:dyDescent="0.2">
      <c r="E745" s="31"/>
      <c r="F745" s="133"/>
      <c r="H745" s="31"/>
      <c r="I745" s="31"/>
      <c r="R745" s="32"/>
      <c r="S745" s="32"/>
      <c r="U745" s="33"/>
      <c r="V745" s="33"/>
      <c r="AD745" s="32"/>
    </row>
    <row r="746" spans="5:30" x14ac:dyDescent="0.2">
      <c r="E746" s="31"/>
      <c r="F746" s="133"/>
      <c r="H746" s="31"/>
      <c r="I746" s="31"/>
      <c r="R746" s="32"/>
      <c r="S746" s="32"/>
      <c r="U746" s="33"/>
      <c r="V746" s="33"/>
      <c r="AD746" s="32"/>
    </row>
    <row r="747" spans="5:30" x14ac:dyDescent="0.2">
      <c r="E747" s="31"/>
      <c r="F747" s="133"/>
      <c r="H747" s="31"/>
      <c r="I747" s="31"/>
      <c r="R747" s="32"/>
      <c r="S747" s="32"/>
      <c r="U747" s="33"/>
      <c r="V747" s="33"/>
      <c r="AD747" s="32"/>
    </row>
    <row r="748" spans="5:30" x14ac:dyDescent="0.2">
      <c r="E748" s="31"/>
      <c r="F748" s="133"/>
      <c r="H748" s="31"/>
      <c r="I748" s="31"/>
      <c r="R748" s="32"/>
      <c r="S748" s="32"/>
      <c r="U748" s="33"/>
      <c r="V748" s="33"/>
      <c r="AD748" s="32"/>
    </row>
    <row r="749" spans="5:30" x14ac:dyDescent="0.2">
      <c r="E749" s="31"/>
      <c r="F749" s="133"/>
      <c r="H749" s="31"/>
      <c r="I749" s="31"/>
      <c r="R749" s="32"/>
      <c r="S749" s="32"/>
      <c r="U749" s="33"/>
      <c r="V749" s="33"/>
      <c r="AD749" s="32"/>
    </row>
    <row r="750" spans="5:30" x14ac:dyDescent="0.2">
      <c r="E750" s="31"/>
      <c r="F750" s="133"/>
      <c r="H750" s="31"/>
      <c r="I750" s="31"/>
      <c r="R750" s="32"/>
      <c r="S750" s="32"/>
      <c r="U750" s="33"/>
      <c r="V750" s="33"/>
      <c r="AD750" s="32"/>
    </row>
    <row r="751" spans="5:30" x14ac:dyDescent="0.2">
      <c r="E751" s="31"/>
      <c r="F751" s="133"/>
      <c r="H751" s="31"/>
      <c r="I751" s="31"/>
      <c r="R751" s="32"/>
      <c r="S751" s="32"/>
      <c r="U751" s="33"/>
      <c r="V751" s="33"/>
      <c r="AD751" s="32"/>
    </row>
    <row r="752" spans="5:30" x14ac:dyDescent="0.2">
      <c r="E752" s="31"/>
      <c r="F752" s="133"/>
      <c r="H752" s="31"/>
      <c r="I752" s="31"/>
      <c r="R752" s="32"/>
      <c r="S752" s="32"/>
      <c r="U752" s="33"/>
      <c r="V752" s="33"/>
      <c r="AD752" s="32"/>
    </row>
    <row r="753" spans="5:30" x14ac:dyDescent="0.2">
      <c r="E753" s="31"/>
      <c r="F753" s="133"/>
      <c r="H753" s="31"/>
      <c r="I753" s="31"/>
      <c r="R753" s="32"/>
      <c r="S753" s="32"/>
      <c r="U753" s="33"/>
      <c r="V753" s="33"/>
      <c r="AD753" s="32"/>
    </row>
    <row r="754" spans="5:30" x14ac:dyDescent="0.2">
      <c r="E754" s="31"/>
      <c r="F754" s="133"/>
      <c r="H754" s="31"/>
      <c r="I754" s="31"/>
      <c r="R754" s="32"/>
      <c r="S754" s="32"/>
      <c r="U754" s="33"/>
      <c r="V754" s="33"/>
      <c r="AD754" s="32"/>
    </row>
    <row r="755" spans="5:30" x14ac:dyDescent="0.2">
      <c r="E755" s="31"/>
      <c r="F755" s="133"/>
      <c r="H755" s="31"/>
      <c r="I755" s="31"/>
      <c r="R755" s="32"/>
      <c r="S755" s="32"/>
      <c r="U755" s="33"/>
      <c r="V755" s="33"/>
      <c r="AD755" s="32"/>
    </row>
    <row r="756" spans="5:30" x14ac:dyDescent="0.2">
      <c r="E756" s="31"/>
      <c r="F756" s="133"/>
      <c r="H756" s="31"/>
      <c r="I756" s="31"/>
      <c r="R756" s="32"/>
      <c r="S756" s="32"/>
      <c r="U756" s="33"/>
      <c r="V756" s="33"/>
      <c r="AD756" s="32"/>
    </row>
    <row r="757" spans="5:30" x14ac:dyDescent="0.2">
      <c r="E757" s="31"/>
      <c r="F757" s="133"/>
      <c r="H757" s="31"/>
      <c r="I757" s="31"/>
      <c r="R757" s="32"/>
      <c r="S757" s="32"/>
      <c r="U757" s="33"/>
      <c r="V757" s="33"/>
      <c r="AD757" s="32"/>
    </row>
    <row r="758" spans="5:30" x14ac:dyDescent="0.2">
      <c r="E758" s="31"/>
      <c r="F758" s="133"/>
      <c r="H758" s="31"/>
      <c r="I758" s="31"/>
      <c r="R758" s="32"/>
      <c r="S758" s="32"/>
      <c r="U758" s="33"/>
      <c r="V758" s="33"/>
      <c r="AD758" s="32"/>
    </row>
    <row r="759" spans="5:30" x14ac:dyDescent="0.2">
      <c r="E759" s="31"/>
      <c r="F759" s="133"/>
      <c r="H759" s="31"/>
      <c r="I759" s="31"/>
      <c r="R759" s="32"/>
      <c r="S759" s="32"/>
      <c r="U759" s="33"/>
      <c r="V759" s="33"/>
      <c r="AD759" s="32"/>
    </row>
    <row r="760" spans="5:30" x14ac:dyDescent="0.2">
      <c r="E760" s="31"/>
      <c r="F760" s="133"/>
      <c r="H760" s="31"/>
      <c r="I760" s="31"/>
      <c r="R760" s="32"/>
      <c r="S760" s="32"/>
      <c r="U760" s="33"/>
      <c r="V760" s="33"/>
      <c r="AD760" s="32"/>
    </row>
    <row r="761" spans="5:30" x14ac:dyDescent="0.2">
      <c r="E761" s="31"/>
      <c r="F761" s="133"/>
      <c r="H761" s="31"/>
      <c r="I761" s="31"/>
      <c r="R761" s="32"/>
      <c r="S761" s="32"/>
      <c r="U761" s="33"/>
      <c r="V761" s="33"/>
      <c r="AD761" s="32"/>
    </row>
    <row r="762" spans="5:30" x14ac:dyDescent="0.2">
      <c r="E762" s="31"/>
      <c r="F762" s="133"/>
      <c r="H762" s="31"/>
      <c r="I762" s="31"/>
      <c r="R762" s="32"/>
      <c r="S762" s="32"/>
      <c r="U762" s="33"/>
      <c r="V762" s="33"/>
      <c r="AD762" s="32"/>
    </row>
    <row r="763" spans="5:30" x14ac:dyDescent="0.2">
      <c r="E763" s="31"/>
      <c r="F763" s="133"/>
      <c r="H763" s="31"/>
      <c r="I763" s="31"/>
      <c r="R763" s="32"/>
      <c r="S763" s="32"/>
      <c r="U763" s="33"/>
      <c r="V763" s="33"/>
      <c r="AD763" s="32"/>
    </row>
    <row r="764" spans="5:30" x14ac:dyDescent="0.2">
      <c r="E764" s="31"/>
      <c r="F764" s="133"/>
      <c r="H764" s="31"/>
      <c r="I764" s="31"/>
      <c r="R764" s="32"/>
      <c r="S764" s="32"/>
      <c r="U764" s="33"/>
      <c r="V764" s="33"/>
      <c r="AD764" s="32"/>
    </row>
    <row r="765" spans="5:30" x14ac:dyDescent="0.2">
      <c r="E765" s="31"/>
      <c r="F765" s="133"/>
      <c r="H765" s="31"/>
      <c r="I765" s="31"/>
      <c r="R765" s="32"/>
      <c r="S765" s="32"/>
      <c r="U765" s="33"/>
      <c r="V765" s="33"/>
      <c r="AD765" s="32"/>
    </row>
    <row r="766" spans="5:30" x14ac:dyDescent="0.2">
      <c r="E766" s="31"/>
      <c r="F766" s="133"/>
      <c r="H766" s="31"/>
      <c r="I766" s="31"/>
      <c r="R766" s="32"/>
      <c r="S766" s="32"/>
      <c r="U766" s="33"/>
      <c r="V766" s="33"/>
      <c r="AD766" s="32"/>
    </row>
    <row r="767" spans="5:30" x14ac:dyDescent="0.2">
      <c r="E767" s="31"/>
      <c r="F767" s="133"/>
      <c r="H767" s="31"/>
      <c r="I767" s="31"/>
      <c r="R767" s="32"/>
      <c r="S767" s="32"/>
      <c r="U767" s="33"/>
      <c r="V767" s="33"/>
      <c r="AD767" s="32"/>
    </row>
    <row r="768" spans="5:30" x14ac:dyDescent="0.2">
      <c r="E768" s="31"/>
      <c r="F768" s="133"/>
      <c r="H768" s="31"/>
      <c r="I768" s="31"/>
      <c r="R768" s="32"/>
      <c r="S768" s="32"/>
      <c r="U768" s="33"/>
      <c r="V768" s="33"/>
      <c r="AD768" s="32"/>
    </row>
    <row r="769" spans="5:30" x14ac:dyDescent="0.2">
      <c r="E769" s="31"/>
      <c r="F769" s="133"/>
      <c r="H769" s="31"/>
      <c r="I769" s="31"/>
      <c r="R769" s="32"/>
      <c r="S769" s="32"/>
      <c r="U769" s="33"/>
      <c r="V769" s="33"/>
      <c r="AD769" s="32"/>
    </row>
    <row r="770" spans="5:30" x14ac:dyDescent="0.2">
      <c r="E770" s="31"/>
      <c r="F770" s="133"/>
      <c r="H770" s="31"/>
      <c r="I770" s="31"/>
      <c r="R770" s="32"/>
      <c r="S770" s="32"/>
      <c r="U770" s="33"/>
      <c r="V770" s="33"/>
      <c r="AD770" s="32"/>
    </row>
    <row r="771" spans="5:30" x14ac:dyDescent="0.2">
      <c r="E771" s="31"/>
      <c r="F771" s="133"/>
      <c r="H771" s="31"/>
      <c r="I771" s="31"/>
      <c r="R771" s="32"/>
      <c r="S771" s="32"/>
      <c r="U771" s="33"/>
      <c r="V771" s="33"/>
      <c r="AD771" s="32"/>
    </row>
    <row r="772" spans="5:30" x14ac:dyDescent="0.2">
      <c r="E772" s="31"/>
      <c r="F772" s="133"/>
      <c r="H772" s="31"/>
      <c r="I772" s="31"/>
      <c r="R772" s="32"/>
      <c r="S772" s="32"/>
      <c r="U772" s="33"/>
      <c r="V772" s="33"/>
      <c r="AD772" s="32"/>
    </row>
    <row r="773" spans="5:30" x14ac:dyDescent="0.2">
      <c r="E773" s="31"/>
      <c r="F773" s="133"/>
      <c r="H773" s="31"/>
      <c r="I773" s="31"/>
      <c r="R773" s="32"/>
      <c r="S773" s="32"/>
      <c r="U773" s="33"/>
      <c r="V773" s="33"/>
      <c r="AD773" s="32"/>
    </row>
    <row r="774" spans="5:30" x14ac:dyDescent="0.2">
      <c r="E774" s="31"/>
      <c r="F774" s="133"/>
      <c r="H774" s="31"/>
      <c r="I774" s="31"/>
      <c r="R774" s="32"/>
      <c r="S774" s="32"/>
      <c r="U774" s="33"/>
      <c r="V774" s="33"/>
      <c r="AD774" s="32"/>
    </row>
    <row r="775" spans="5:30" x14ac:dyDescent="0.2">
      <c r="E775" s="31"/>
      <c r="F775" s="133"/>
      <c r="H775" s="31"/>
      <c r="I775" s="31"/>
      <c r="R775" s="32"/>
      <c r="S775" s="32"/>
      <c r="U775" s="33"/>
      <c r="V775" s="33"/>
      <c r="AD775" s="32"/>
    </row>
    <row r="776" spans="5:30" x14ac:dyDescent="0.2">
      <c r="E776" s="31"/>
      <c r="F776" s="133"/>
      <c r="H776" s="31"/>
      <c r="I776" s="31"/>
      <c r="R776" s="32"/>
      <c r="S776" s="32"/>
      <c r="U776" s="33"/>
      <c r="V776" s="33"/>
      <c r="AD776" s="32"/>
    </row>
    <row r="777" spans="5:30" x14ac:dyDescent="0.2">
      <c r="E777" s="31"/>
      <c r="F777" s="133"/>
      <c r="H777" s="31"/>
      <c r="I777" s="31"/>
      <c r="R777" s="32"/>
      <c r="S777" s="32"/>
      <c r="U777" s="33"/>
      <c r="V777" s="33"/>
      <c r="AD777" s="32"/>
    </row>
    <row r="778" spans="5:30" x14ac:dyDescent="0.2">
      <c r="E778" s="31"/>
      <c r="F778" s="133"/>
      <c r="H778" s="31"/>
      <c r="I778" s="31"/>
      <c r="R778" s="32"/>
      <c r="S778" s="32"/>
      <c r="U778" s="33"/>
      <c r="V778" s="33"/>
      <c r="AD778" s="32"/>
    </row>
    <row r="779" spans="5:30" x14ac:dyDescent="0.2">
      <c r="E779" s="31"/>
      <c r="F779" s="133"/>
      <c r="H779" s="31"/>
      <c r="I779" s="31"/>
      <c r="R779" s="32"/>
      <c r="S779" s="32"/>
      <c r="U779" s="33"/>
      <c r="V779" s="33"/>
      <c r="AD779" s="32"/>
    </row>
    <row r="780" spans="5:30" x14ac:dyDescent="0.2">
      <c r="E780" s="31"/>
      <c r="F780" s="133"/>
      <c r="H780" s="31"/>
      <c r="I780" s="31"/>
      <c r="R780" s="32"/>
      <c r="S780" s="32"/>
      <c r="U780" s="33"/>
      <c r="V780" s="33"/>
      <c r="AD780" s="32"/>
    </row>
    <row r="781" spans="5:30" x14ac:dyDescent="0.2">
      <c r="E781" s="31"/>
      <c r="F781" s="133"/>
      <c r="H781" s="31"/>
      <c r="I781" s="31"/>
      <c r="R781" s="32"/>
      <c r="S781" s="32"/>
      <c r="U781" s="33"/>
      <c r="V781" s="33"/>
      <c r="AD781" s="32"/>
    </row>
    <row r="782" spans="5:30" x14ac:dyDescent="0.2">
      <c r="E782" s="31"/>
      <c r="F782" s="133"/>
      <c r="H782" s="31"/>
      <c r="I782" s="31"/>
      <c r="R782" s="32"/>
      <c r="S782" s="32"/>
      <c r="U782" s="33"/>
      <c r="V782" s="33"/>
      <c r="AD782" s="32"/>
    </row>
    <row r="783" spans="5:30" x14ac:dyDescent="0.2">
      <c r="E783" s="31"/>
      <c r="F783" s="133"/>
      <c r="H783" s="31"/>
      <c r="I783" s="31"/>
      <c r="R783" s="32"/>
      <c r="S783" s="32"/>
      <c r="U783" s="33"/>
      <c r="V783" s="33"/>
      <c r="AD783" s="32"/>
    </row>
    <row r="784" spans="5:30" x14ac:dyDescent="0.2">
      <c r="E784" s="31"/>
      <c r="F784" s="133"/>
      <c r="H784" s="31"/>
      <c r="I784" s="31"/>
      <c r="R784" s="32"/>
      <c r="S784" s="32"/>
      <c r="U784" s="33"/>
      <c r="V784" s="33"/>
      <c r="AD784" s="32"/>
    </row>
    <row r="785" spans="5:30" x14ac:dyDescent="0.2">
      <c r="E785" s="31"/>
      <c r="F785" s="133"/>
      <c r="H785" s="31"/>
      <c r="I785" s="31"/>
      <c r="R785" s="32"/>
      <c r="S785" s="32"/>
      <c r="U785" s="33"/>
      <c r="V785" s="33"/>
      <c r="AD785" s="32"/>
    </row>
    <row r="786" spans="5:30" x14ac:dyDescent="0.2">
      <c r="E786" s="31"/>
      <c r="F786" s="133"/>
      <c r="H786" s="31"/>
      <c r="I786" s="31"/>
      <c r="R786" s="32"/>
      <c r="S786" s="32"/>
      <c r="U786" s="33"/>
      <c r="V786" s="33"/>
      <c r="AD786" s="32"/>
    </row>
    <row r="787" spans="5:30" x14ac:dyDescent="0.2">
      <c r="E787" s="31"/>
      <c r="F787" s="133"/>
      <c r="H787" s="31"/>
      <c r="I787" s="31"/>
      <c r="R787" s="32"/>
      <c r="S787" s="32"/>
      <c r="U787" s="33"/>
      <c r="V787" s="33"/>
      <c r="AD787" s="32"/>
    </row>
    <row r="788" spans="5:30" x14ac:dyDescent="0.2">
      <c r="E788" s="31"/>
      <c r="F788" s="133"/>
      <c r="H788" s="31"/>
      <c r="I788" s="31"/>
      <c r="R788" s="32"/>
      <c r="S788" s="32"/>
      <c r="U788" s="33"/>
      <c r="V788" s="33"/>
      <c r="AD788" s="32"/>
    </row>
    <row r="789" spans="5:30" x14ac:dyDescent="0.2">
      <c r="E789" s="31"/>
      <c r="F789" s="133"/>
      <c r="H789" s="31"/>
      <c r="I789" s="31"/>
      <c r="R789" s="32"/>
      <c r="S789" s="32"/>
      <c r="U789" s="33"/>
      <c r="V789" s="33"/>
      <c r="AD789" s="32"/>
    </row>
    <row r="790" spans="5:30" x14ac:dyDescent="0.2">
      <c r="E790" s="31"/>
      <c r="F790" s="133"/>
      <c r="H790" s="31"/>
      <c r="I790" s="31"/>
      <c r="R790" s="32"/>
      <c r="S790" s="32"/>
      <c r="U790" s="33"/>
      <c r="V790" s="33"/>
      <c r="AD790" s="32"/>
    </row>
    <row r="791" spans="5:30" x14ac:dyDescent="0.2">
      <c r="E791" s="31"/>
      <c r="F791" s="133"/>
      <c r="I791" s="31"/>
      <c r="R791" s="32"/>
      <c r="S791" s="32"/>
      <c r="U791" s="33"/>
      <c r="V791" s="33"/>
      <c r="AD791" s="32"/>
    </row>
    <row r="792" spans="5:30" x14ac:dyDescent="0.2">
      <c r="E792" s="31"/>
      <c r="F792" s="133"/>
      <c r="I792" s="31"/>
      <c r="R792" s="32"/>
      <c r="S792" s="32"/>
      <c r="U792" s="33"/>
      <c r="V792" s="33"/>
      <c r="AD792" s="32"/>
    </row>
    <row r="793" spans="5:30" x14ac:dyDescent="0.2">
      <c r="E793" s="31"/>
      <c r="F793" s="133"/>
      <c r="H793" s="31"/>
      <c r="I793" s="31"/>
      <c r="R793" s="32"/>
      <c r="S793" s="32"/>
      <c r="U793" s="33"/>
      <c r="V793" s="33"/>
      <c r="AD793" s="32"/>
    </row>
    <row r="794" spans="5:30" x14ac:dyDescent="0.2">
      <c r="E794" s="31"/>
      <c r="F794" s="133"/>
      <c r="I794" s="31"/>
      <c r="R794" s="32"/>
      <c r="S794" s="32"/>
      <c r="U794" s="33"/>
      <c r="V794" s="33"/>
      <c r="AD794" s="32"/>
    </row>
    <row r="795" spans="5:30" x14ac:dyDescent="0.2">
      <c r="E795" s="31"/>
      <c r="F795" s="133"/>
      <c r="H795" s="31"/>
      <c r="I795" s="31"/>
      <c r="R795" s="32"/>
      <c r="S795" s="32"/>
      <c r="U795" s="33"/>
      <c r="V795" s="33"/>
      <c r="AD795" s="32"/>
    </row>
    <row r="796" spans="5:30" x14ac:dyDescent="0.2">
      <c r="E796" s="31"/>
      <c r="F796" s="133"/>
      <c r="I796" s="31"/>
      <c r="R796" s="32"/>
      <c r="S796" s="32"/>
      <c r="U796" s="33"/>
      <c r="V796" s="33"/>
      <c r="AD796" s="32"/>
    </row>
    <row r="797" spans="5:30" x14ac:dyDescent="0.2">
      <c r="E797" s="31"/>
      <c r="F797" s="133"/>
      <c r="I797" s="31"/>
      <c r="R797" s="32"/>
      <c r="S797" s="32"/>
      <c r="U797" s="33"/>
      <c r="V797" s="33"/>
      <c r="AD797" s="32"/>
    </row>
    <row r="798" spans="5:30" x14ac:dyDescent="0.2">
      <c r="E798" s="31"/>
      <c r="F798" s="133"/>
      <c r="I798" s="31"/>
      <c r="R798" s="32"/>
      <c r="S798" s="32"/>
      <c r="U798" s="33"/>
      <c r="V798" s="33"/>
      <c r="AD798" s="32"/>
    </row>
    <row r="799" spans="5:30" x14ac:dyDescent="0.2">
      <c r="E799" s="31"/>
      <c r="F799" s="133"/>
      <c r="I799" s="31"/>
      <c r="R799" s="32"/>
      <c r="S799" s="32"/>
      <c r="U799" s="33"/>
      <c r="V799" s="33"/>
      <c r="AD799" s="32"/>
    </row>
    <row r="800" spans="5:30" x14ac:dyDescent="0.2">
      <c r="E800" s="31"/>
      <c r="F800" s="133"/>
      <c r="I800" s="31"/>
      <c r="R800" s="32"/>
      <c r="S800" s="32"/>
      <c r="U800" s="33"/>
      <c r="V800" s="33"/>
      <c r="AD800" s="32"/>
    </row>
    <row r="801" spans="5:40" x14ac:dyDescent="0.2">
      <c r="E801" s="31"/>
      <c r="F801" s="133"/>
      <c r="I801" s="31"/>
      <c r="R801" s="32"/>
      <c r="S801" s="32"/>
      <c r="U801" s="33"/>
      <c r="V801" s="33"/>
      <c r="AD801" s="32"/>
    </row>
    <row r="802" spans="5:40" x14ac:dyDescent="0.2">
      <c r="E802" s="31"/>
      <c r="F802" s="133"/>
      <c r="I802" s="31"/>
      <c r="R802" s="32"/>
      <c r="S802" s="32"/>
      <c r="U802" s="33"/>
      <c r="V802" s="33"/>
      <c r="AD802" s="32"/>
    </row>
    <row r="803" spans="5:40" x14ac:dyDescent="0.2">
      <c r="E803" s="31"/>
      <c r="F803" s="133"/>
      <c r="G803" s="32"/>
      <c r="I803" s="31"/>
      <c r="J803" s="32"/>
      <c r="K803" s="32"/>
      <c r="N803" s="32"/>
      <c r="O803" s="32"/>
      <c r="P803" s="32"/>
      <c r="Q803" s="32"/>
      <c r="R803" s="32"/>
      <c r="S803" s="32"/>
      <c r="T803" s="32"/>
      <c r="U803" s="32"/>
      <c r="V803" s="32"/>
      <c r="AD803" s="32"/>
      <c r="AE803" s="119"/>
      <c r="AF803" s="32"/>
      <c r="AG803" s="32"/>
      <c r="AH803" s="32"/>
      <c r="AJ803" s="32"/>
      <c r="AK803" s="32"/>
      <c r="AL803" s="32"/>
      <c r="AM803" s="32"/>
      <c r="AN803" s="32"/>
    </row>
    <row r="804" spans="5:40" x14ac:dyDescent="0.2">
      <c r="E804" s="31"/>
      <c r="F804" s="133"/>
      <c r="H804" s="31"/>
      <c r="I804" s="31"/>
      <c r="R804" s="32"/>
      <c r="S804" s="32"/>
      <c r="U804" s="33"/>
      <c r="V804" s="33"/>
      <c r="AD804" s="32"/>
    </row>
    <row r="805" spans="5:40" x14ac:dyDescent="0.2">
      <c r="E805" s="31"/>
      <c r="F805" s="133"/>
      <c r="H805" s="31"/>
      <c r="I805" s="31"/>
      <c r="R805" s="32"/>
      <c r="S805" s="32"/>
      <c r="U805" s="33"/>
      <c r="V805" s="33"/>
      <c r="AD805" s="32"/>
    </row>
    <row r="806" spans="5:40" x14ac:dyDescent="0.2">
      <c r="E806" s="31"/>
      <c r="F806" s="133"/>
      <c r="H806" s="31"/>
      <c r="I806" s="31"/>
      <c r="R806" s="32"/>
      <c r="S806" s="32"/>
      <c r="U806" s="33"/>
      <c r="V806" s="33"/>
      <c r="AD806" s="32"/>
    </row>
    <row r="807" spans="5:40" x14ac:dyDescent="0.2">
      <c r="E807" s="31"/>
      <c r="F807" s="133"/>
      <c r="H807" s="31"/>
      <c r="I807" s="31"/>
      <c r="R807" s="32"/>
      <c r="S807" s="32"/>
      <c r="U807" s="33"/>
      <c r="V807" s="33"/>
      <c r="AD807" s="32"/>
    </row>
    <row r="808" spans="5:40" x14ac:dyDescent="0.2">
      <c r="E808" s="31"/>
      <c r="F808" s="133"/>
      <c r="H808" s="31"/>
      <c r="I808" s="31"/>
      <c r="R808" s="32"/>
      <c r="S808" s="32"/>
      <c r="U808" s="33"/>
      <c r="V808" s="33"/>
      <c r="AD808" s="32"/>
    </row>
    <row r="809" spans="5:40" x14ac:dyDescent="0.2">
      <c r="E809" s="31"/>
      <c r="F809" s="133"/>
      <c r="H809" s="31"/>
      <c r="I809" s="31"/>
      <c r="R809" s="32"/>
      <c r="S809" s="32"/>
      <c r="U809" s="33"/>
      <c r="V809" s="33"/>
      <c r="AD809" s="32"/>
    </row>
    <row r="810" spans="5:40" x14ac:dyDescent="0.2">
      <c r="E810" s="31"/>
      <c r="F810" s="133"/>
      <c r="H810" s="31"/>
      <c r="I810" s="31"/>
      <c r="R810" s="32"/>
      <c r="S810" s="32"/>
      <c r="U810" s="33"/>
      <c r="V810" s="33"/>
      <c r="AD810" s="32"/>
    </row>
    <row r="811" spans="5:40" x14ac:dyDescent="0.2">
      <c r="E811" s="31"/>
      <c r="F811" s="133"/>
      <c r="H811" s="31"/>
      <c r="I811" s="31"/>
      <c r="R811" s="32"/>
      <c r="S811" s="32"/>
      <c r="U811" s="33"/>
      <c r="V811" s="33"/>
      <c r="AD811" s="32"/>
    </row>
    <row r="812" spans="5:40" x14ac:dyDescent="0.2">
      <c r="E812" s="31"/>
      <c r="F812" s="133"/>
      <c r="H812" s="31"/>
      <c r="I812" s="31"/>
      <c r="R812" s="32"/>
      <c r="S812" s="32"/>
      <c r="U812" s="33"/>
      <c r="V812" s="33"/>
      <c r="AD812" s="32"/>
    </row>
    <row r="813" spans="5:40" x14ac:dyDescent="0.2">
      <c r="E813" s="31"/>
      <c r="F813" s="133"/>
      <c r="H813" s="31"/>
      <c r="I813" s="31"/>
      <c r="R813" s="32"/>
      <c r="S813" s="32"/>
      <c r="U813" s="33"/>
      <c r="V813" s="33"/>
      <c r="AD813" s="32"/>
    </row>
    <row r="814" spans="5:40" x14ac:dyDescent="0.2">
      <c r="E814" s="31"/>
      <c r="F814" s="133"/>
      <c r="H814" s="31"/>
      <c r="I814" s="31"/>
      <c r="R814" s="32"/>
      <c r="S814" s="32"/>
      <c r="U814" s="33"/>
      <c r="V814" s="33"/>
      <c r="AD814" s="32"/>
    </row>
    <row r="815" spans="5:40" x14ac:dyDescent="0.2">
      <c r="E815" s="31"/>
      <c r="F815" s="133"/>
      <c r="H815" s="31"/>
      <c r="I815" s="31"/>
      <c r="R815" s="32"/>
      <c r="S815" s="32"/>
      <c r="U815" s="33"/>
      <c r="V815" s="33"/>
      <c r="AD815" s="32"/>
    </row>
    <row r="816" spans="5:40" x14ac:dyDescent="0.2">
      <c r="E816" s="31"/>
      <c r="F816" s="133"/>
      <c r="H816" s="31"/>
      <c r="I816" s="31"/>
      <c r="R816" s="32"/>
      <c r="S816" s="32"/>
      <c r="U816" s="33"/>
      <c r="V816" s="33"/>
      <c r="AD816" s="32"/>
    </row>
    <row r="817" spans="5:30" x14ac:dyDescent="0.2">
      <c r="E817" s="31"/>
      <c r="F817" s="133"/>
      <c r="H817" s="31"/>
      <c r="I817" s="31"/>
      <c r="R817" s="32"/>
      <c r="S817" s="32"/>
      <c r="U817" s="33"/>
      <c r="V817" s="33"/>
      <c r="AD817" s="32"/>
    </row>
    <row r="818" spans="5:30" x14ac:dyDescent="0.2">
      <c r="E818" s="31"/>
      <c r="F818" s="133"/>
      <c r="H818" s="31"/>
      <c r="I818" s="31"/>
      <c r="R818" s="32"/>
      <c r="S818" s="32"/>
      <c r="U818" s="33"/>
      <c r="V818" s="33"/>
      <c r="AD818" s="32"/>
    </row>
    <row r="819" spans="5:30" x14ac:dyDescent="0.2">
      <c r="E819" s="31"/>
      <c r="F819" s="133"/>
      <c r="H819" s="31"/>
      <c r="I819" s="31"/>
      <c r="R819" s="32"/>
      <c r="S819" s="32"/>
      <c r="U819" s="33"/>
      <c r="V819" s="33"/>
      <c r="AD819" s="32"/>
    </row>
    <row r="820" spans="5:30" x14ac:dyDescent="0.2">
      <c r="E820" s="31"/>
      <c r="F820" s="133"/>
      <c r="H820" s="31"/>
      <c r="I820" s="31"/>
      <c r="R820" s="32"/>
      <c r="S820" s="32"/>
      <c r="U820" s="33"/>
      <c r="V820" s="33"/>
      <c r="AD820" s="32"/>
    </row>
    <row r="821" spans="5:30" x14ac:dyDescent="0.2">
      <c r="E821" s="31"/>
      <c r="F821" s="133"/>
      <c r="H821" s="31"/>
      <c r="I821" s="31"/>
      <c r="R821" s="32"/>
      <c r="S821" s="32"/>
      <c r="U821" s="33"/>
      <c r="V821" s="33"/>
      <c r="AD821" s="32"/>
    </row>
    <row r="822" spans="5:30" x14ac:dyDescent="0.2">
      <c r="E822" s="31"/>
      <c r="F822" s="133"/>
      <c r="H822" s="31"/>
      <c r="I822" s="31"/>
      <c r="R822" s="32"/>
      <c r="S822" s="32"/>
      <c r="U822" s="33"/>
      <c r="V822" s="33"/>
      <c r="AD822" s="32"/>
    </row>
    <row r="823" spans="5:30" x14ac:dyDescent="0.2">
      <c r="E823" s="31"/>
      <c r="F823" s="133"/>
      <c r="H823" s="31"/>
      <c r="I823" s="31"/>
      <c r="R823" s="32"/>
      <c r="S823" s="32"/>
      <c r="U823" s="33"/>
      <c r="V823" s="33"/>
      <c r="AD823" s="32"/>
    </row>
    <row r="824" spans="5:30" x14ac:dyDescent="0.2">
      <c r="E824" s="31"/>
      <c r="F824" s="133"/>
      <c r="H824" s="31"/>
      <c r="I824" s="31"/>
      <c r="R824" s="32"/>
      <c r="S824" s="32"/>
      <c r="U824" s="33"/>
      <c r="V824" s="33"/>
      <c r="AD824" s="32"/>
    </row>
    <row r="825" spans="5:30" x14ac:dyDescent="0.2">
      <c r="E825" s="31"/>
      <c r="F825" s="133"/>
      <c r="H825" s="31"/>
      <c r="I825" s="31"/>
      <c r="R825" s="32"/>
      <c r="S825" s="32"/>
      <c r="U825" s="33"/>
      <c r="V825" s="33"/>
      <c r="AD825" s="32"/>
    </row>
    <row r="826" spans="5:30" x14ac:dyDescent="0.2">
      <c r="E826" s="31"/>
      <c r="F826" s="133"/>
      <c r="H826" s="31"/>
      <c r="I826" s="31"/>
      <c r="R826" s="32"/>
      <c r="S826" s="32"/>
      <c r="U826" s="33"/>
      <c r="V826" s="33"/>
      <c r="AD826" s="32"/>
    </row>
    <row r="827" spans="5:30" x14ac:dyDescent="0.2">
      <c r="E827" s="31"/>
      <c r="F827" s="133"/>
      <c r="H827" s="31"/>
      <c r="I827" s="31"/>
      <c r="R827" s="32"/>
      <c r="S827" s="32"/>
      <c r="U827" s="33"/>
      <c r="V827" s="33"/>
      <c r="AD827" s="32"/>
    </row>
    <row r="828" spans="5:30" x14ac:dyDescent="0.2">
      <c r="E828" s="31"/>
      <c r="F828" s="133"/>
      <c r="H828" s="31"/>
      <c r="I828" s="31"/>
      <c r="R828" s="32"/>
      <c r="S828" s="32"/>
      <c r="U828" s="33"/>
      <c r="V828" s="33"/>
      <c r="AD828" s="32"/>
    </row>
    <row r="829" spans="5:30" x14ac:dyDescent="0.2">
      <c r="E829" s="31"/>
      <c r="F829" s="133"/>
      <c r="H829" s="31"/>
      <c r="I829" s="31"/>
      <c r="R829" s="32"/>
      <c r="S829" s="32"/>
      <c r="U829" s="33"/>
      <c r="V829" s="33"/>
      <c r="AD829" s="32"/>
    </row>
    <row r="830" spans="5:30" x14ac:dyDescent="0.2">
      <c r="E830" s="31"/>
      <c r="F830" s="133"/>
      <c r="H830" s="31"/>
      <c r="I830" s="31"/>
      <c r="R830" s="32"/>
      <c r="S830" s="32"/>
      <c r="U830" s="33"/>
      <c r="V830" s="33"/>
      <c r="AD830" s="32"/>
    </row>
    <row r="831" spans="5:30" x14ac:dyDescent="0.2">
      <c r="E831" s="31"/>
      <c r="F831" s="133"/>
      <c r="H831" s="31"/>
      <c r="I831" s="31"/>
      <c r="R831" s="32"/>
      <c r="S831" s="32"/>
      <c r="U831" s="33"/>
      <c r="V831" s="33"/>
      <c r="AD831" s="32"/>
    </row>
    <row r="832" spans="5:30" x14ac:dyDescent="0.2">
      <c r="E832" s="31"/>
      <c r="F832" s="133"/>
      <c r="H832" s="31"/>
      <c r="I832" s="31"/>
      <c r="R832" s="32"/>
      <c r="S832" s="32"/>
      <c r="U832" s="33"/>
      <c r="V832" s="33"/>
      <c r="AD832" s="32"/>
    </row>
    <row r="833" spans="5:30" x14ac:dyDescent="0.2">
      <c r="E833" s="31"/>
      <c r="F833" s="133"/>
      <c r="H833" s="31"/>
      <c r="I833" s="31"/>
      <c r="R833" s="32"/>
      <c r="S833" s="32"/>
      <c r="U833" s="33"/>
      <c r="V833" s="33"/>
      <c r="AD833" s="32"/>
    </row>
    <row r="834" spans="5:30" x14ac:dyDescent="0.2">
      <c r="E834" s="31"/>
      <c r="F834" s="133"/>
      <c r="H834" s="31"/>
      <c r="I834" s="31"/>
      <c r="R834" s="32"/>
      <c r="S834" s="32"/>
      <c r="U834" s="33"/>
      <c r="V834" s="33"/>
      <c r="AD834" s="32"/>
    </row>
    <row r="835" spans="5:30" x14ac:dyDescent="0.2">
      <c r="E835" s="31"/>
      <c r="F835" s="133"/>
      <c r="H835" s="31"/>
      <c r="I835" s="31"/>
      <c r="R835" s="32"/>
      <c r="S835" s="32"/>
      <c r="U835" s="33"/>
      <c r="V835" s="33"/>
      <c r="AD835" s="32"/>
    </row>
    <row r="836" spans="5:30" x14ac:dyDescent="0.2">
      <c r="E836" s="31"/>
      <c r="F836" s="133"/>
      <c r="H836" s="31"/>
      <c r="I836" s="31"/>
      <c r="R836" s="32"/>
      <c r="S836" s="32"/>
      <c r="U836" s="33"/>
      <c r="V836" s="33"/>
      <c r="AD836" s="32"/>
    </row>
    <row r="837" spans="5:30" x14ac:dyDescent="0.2">
      <c r="E837" s="31"/>
      <c r="F837" s="133"/>
      <c r="H837" s="31"/>
      <c r="I837" s="31"/>
      <c r="R837" s="32"/>
      <c r="S837" s="32"/>
      <c r="U837" s="33"/>
      <c r="V837" s="33"/>
      <c r="AD837" s="32"/>
    </row>
    <row r="838" spans="5:30" x14ac:dyDescent="0.2">
      <c r="E838" s="31"/>
      <c r="F838" s="133"/>
      <c r="H838" s="31"/>
      <c r="I838" s="31"/>
      <c r="R838" s="32"/>
      <c r="S838" s="32"/>
      <c r="U838" s="33"/>
      <c r="V838" s="33"/>
      <c r="AD838" s="32"/>
    </row>
    <row r="839" spans="5:30" x14ac:dyDescent="0.2">
      <c r="E839" s="31"/>
      <c r="F839" s="133"/>
      <c r="H839" s="31"/>
      <c r="I839" s="31"/>
      <c r="R839" s="32"/>
      <c r="S839" s="32"/>
      <c r="U839" s="33"/>
      <c r="V839" s="33"/>
      <c r="AD839" s="32"/>
    </row>
    <row r="840" spans="5:30" x14ac:dyDescent="0.2">
      <c r="E840" s="31"/>
      <c r="F840" s="133"/>
      <c r="H840" s="31"/>
      <c r="I840" s="31"/>
      <c r="R840" s="32"/>
      <c r="S840" s="32"/>
      <c r="U840" s="33"/>
      <c r="V840" s="33"/>
      <c r="AD840" s="32"/>
    </row>
    <row r="841" spans="5:30" x14ac:dyDescent="0.2">
      <c r="E841" s="31"/>
      <c r="F841" s="133"/>
      <c r="H841" s="31"/>
      <c r="I841" s="31"/>
      <c r="R841" s="32"/>
      <c r="S841" s="32"/>
      <c r="U841" s="33"/>
      <c r="V841" s="33"/>
      <c r="AD841" s="32"/>
    </row>
    <row r="842" spans="5:30" x14ac:dyDescent="0.2">
      <c r="E842" s="31"/>
      <c r="F842" s="133"/>
      <c r="H842" s="31"/>
      <c r="I842" s="31"/>
      <c r="R842" s="32"/>
      <c r="S842" s="32"/>
      <c r="U842" s="33"/>
      <c r="V842" s="33"/>
      <c r="AD842" s="32"/>
    </row>
    <row r="843" spans="5:30" x14ac:dyDescent="0.2">
      <c r="E843" s="31"/>
      <c r="F843" s="133"/>
      <c r="H843" s="31"/>
      <c r="I843" s="31"/>
      <c r="R843" s="32"/>
      <c r="S843" s="32"/>
      <c r="U843" s="33"/>
      <c r="V843" s="33"/>
      <c r="AD843" s="32"/>
    </row>
    <row r="844" spans="5:30" x14ac:dyDescent="0.2">
      <c r="E844" s="31"/>
      <c r="F844" s="133"/>
      <c r="H844" s="31"/>
      <c r="I844" s="31"/>
      <c r="R844" s="32"/>
      <c r="S844" s="32"/>
      <c r="U844" s="33"/>
      <c r="V844" s="33"/>
      <c r="AD844" s="32"/>
    </row>
    <row r="845" spans="5:30" x14ac:dyDescent="0.2">
      <c r="E845" s="31"/>
      <c r="F845" s="133"/>
      <c r="H845" s="31"/>
      <c r="I845" s="31"/>
      <c r="R845" s="32"/>
      <c r="S845" s="32"/>
      <c r="U845" s="33"/>
      <c r="V845" s="33"/>
      <c r="AD845" s="32"/>
    </row>
    <row r="846" spans="5:30" x14ac:dyDescent="0.2">
      <c r="E846" s="31"/>
      <c r="F846" s="133"/>
      <c r="H846" s="31"/>
      <c r="I846" s="31"/>
      <c r="R846" s="32"/>
      <c r="S846" s="32"/>
      <c r="U846" s="33"/>
      <c r="V846" s="33"/>
      <c r="AD846" s="32"/>
    </row>
    <row r="847" spans="5:30" x14ac:dyDescent="0.2">
      <c r="E847" s="31"/>
      <c r="F847" s="133"/>
      <c r="H847" s="31"/>
      <c r="I847" s="31"/>
      <c r="R847" s="32"/>
      <c r="S847" s="32"/>
      <c r="U847" s="33"/>
      <c r="V847" s="33"/>
      <c r="AD847" s="32"/>
    </row>
    <row r="848" spans="5:30" x14ac:dyDescent="0.2">
      <c r="E848" s="31"/>
      <c r="F848" s="133"/>
      <c r="H848" s="31"/>
      <c r="I848" s="31"/>
      <c r="R848" s="32"/>
      <c r="S848" s="32"/>
      <c r="U848" s="33"/>
      <c r="V848" s="33"/>
      <c r="AD848" s="32"/>
    </row>
    <row r="849" spans="5:40" x14ac:dyDescent="0.2">
      <c r="E849" s="31"/>
      <c r="F849" s="133"/>
      <c r="H849" s="31"/>
      <c r="I849" s="31"/>
      <c r="R849" s="32"/>
      <c r="S849" s="32"/>
      <c r="U849" s="33"/>
      <c r="V849" s="33"/>
      <c r="AD849" s="32"/>
    </row>
    <row r="850" spans="5:40" x14ac:dyDescent="0.2">
      <c r="E850" s="31"/>
      <c r="F850" s="133"/>
      <c r="H850" s="31"/>
      <c r="I850" s="31"/>
      <c r="R850" s="32"/>
      <c r="S850" s="32"/>
      <c r="U850" s="33"/>
      <c r="V850" s="33"/>
      <c r="AD850" s="32"/>
    </row>
    <row r="851" spans="5:40" x14ac:dyDescent="0.2">
      <c r="E851" s="31"/>
      <c r="F851" s="133"/>
      <c r="H851" s="31"/>
      <c r="I851" s="31"/>
      <c r="R851" s="32"/>
      <c r="S851" s="32"/>
      <c r="U851" s="33"/>
      <c r="V851" s="33"/>
      <c r="AD851" s="32"/>
    </row>
    <row r="852" spans="5:40" x14ac:dyDescent="0.2">
      <c r="E852" s="31"/>
      <c r="F852" s="133"/>
      <c r="H852" s="31"/>
      <c r="I852" s="31"/>
      <c r="R852" s="32"/>
      <c r="S852" s="32"/>
      <c r="U852" s="33"/>
      <c r="V852" s="33"/>
      <c r="AD852" s="32"/>
    </row>
    <row r="853" spans="5:40" x14ac:dyDescent="0.2">
      <c r="E853" s="31"/>
      <c r="F853" s="133"/>
      <c r="H853" s="31"/>
      <c r="I853" s="31"/>
      <c r="R853" s="32"/>
      <c r="S853" s="32"/>
      <c r="U853" s="33"/>
      <c r="V853" s="33"/>
      <c r="AD853" s="32"/>
    </row>
    <row r="854" spans="5:40" x14ac:dyDescent="0.2">
      <c r="E854" s="31"/>
      <c r="F854" s="133"/>
      <c r="I854" s="31"/>
      <c r="R854" s="32"/>
      <c r="S854" s="32"/>
      <c r="U854" s="33"/>
      <c r="V854" s="33"/>
      <c r="AD854" s="32"/>
    </row>
    <row r="855" spans="5:40" x14ac:dyDescent="0.2">
      <c r="E855" s="31"/>
      <c r="F855" s="133"/>
      <c r="H855" s="31"/>
      <c r="R855" s="32"/>
      <c r="S855" s="32"/>
      <c r="U855" s="33"/>
      <c r="V855" s="33"/>
      <c r="AD855" s="32"/>
    </row>
    <row r="856" spans="5:40" x14ac:dyDescent="0.2">
      <c r="E856" s="31"/>
      <c r="F856" s="133"/>
      <c r="H856" s="31"/>
      <c r="R856" s="32"/>
      <c r="S856" s="32"/>
      <c r="U856" s="33"/>
      <c r="V856" s="33"/>
      <c r="AD856" s="32"/>
    </row>
    <row r="857" spans="5:40" x14ac:dyDescent="0.2">
      <c r="E857" s="31"/>
      <c r="F857" s="133"/>
      <c r="H857" s="31"/>
      <c r="R857" s="32"/>
      <c r="S857" s="32"/>
      <c r="U857" s="33"/>
      <c r="V857" s="33"/>
      <c r="AD857" s="32"/>
    </row>
    <row r="858" spans="5:40" x14ac:dyDescent="0.2">
      <c r="E858" s="31"/>
      <c r="F858" s="133"/>
      <c r="H858" s="31"/>
      <c r="R858" s="32"/>
      <c r="S858" s="32"/>
      <c r="U858" s="33"/>
      <c r="V858" s="33"/>
      <c r="AD858" s="32"/>
    </row>
    <row r="859" spans="5:40" x14ac:dyDescent="0.2">
      <c r="E859" s="31"/>
      <c r="F859" s="133"/>
      <c r="H859" s="31"/>
      <c r="R859" s="32"/>
      <c r="S859" s="32"/>
      <c r="U859" s="33"/>
      <c r="V859" s="33"/>
      <c r="AD859" s="32"/>
    </row>
    <row r="860" spans="5:40" x14ac:dyDescent="0.2">
      <c r="E860" s="31"/>
      <c r="F860" s="133"/>
      <c r="G860" s="32"/>
      <c r="H860" s="31"/>
      <c r="J860" s="32"/>
      <c r="K860" s="32"/>
      <c r="N860" s="32"/>
      <c r="O860" s="32"/>
      <c r="P860" s="32"/>
      <c r="Q860" s="32"/>
      <c r="R860" s="32"/>
      <c r="S860" s="32"/>
      <c r="T860" s="32"/>
      <c r="U860" s="32"/>
      <c r="V860" s="32"/>
      <c r="AD860" s="32"/>
      <c r="AE860" s="119"/>
      <c r="AF860" s="32"/>
      <c r="AG860" s="32"/>
      <c r="AH860" s="32"/>
      <c r="AJ860" s="32"/>
      <c r="AK860" s="32"/>
      <c r="AL860" s="32"/>
      <c r="AM860" s="32"/>
      <c r="AN860" s="32"/>
    </row>
    <row r="861" spans="5:40" x14ac:dyDescent="0.2">
      <c r="E861" s="31"/>
      <c r="F861" s="133"/>
      <c r="H861" s="31"/>
      <c r="I861" s="31"/>
      <c r="R861" s="32"/>
      <c r="S861" s="32"/>
      <c r="U861" s="33"/>
      <c r="V861" s="33"/>
      <c r="AD861" s="32"/>
    </row>
    <row r="862" spans="5:40" x14ac:dyDescent="0.2">
      <c r="E862" s="31"/>
      <c r="F862" s="133"/>
      <c r="H862" s="31"/>
      <c r="I862" s="31"/>
      <c r="R862" s="32"/>
      <c r="S862" s="32"/>
      <c r="U862" s="33"/>
      <c r="V862" s="33"/>
      <c r="AD862" s="32"/>
    </row>
    <row r="863" spans="5:40" x14ac:dyDescent="0.2">
      <c r="E863" s="31"/>
      <c r="F863" s="133"/>
      <c r="H863" s="31"/>
      <c r="I863" s="31"/>
      <c r="R863" s="32"/>
      <c r="S863" s="32"/>
      <c r="U863" s="33"/>
      <c r="V863" s="33"/>
      <c r="AD863" s="32"/>
    </row>
    <row r="864" spans="5:40" x14ac:dyDescent="0.2">
      <c r="E864" s="31"/>
      <c r="F864" s="133"/>
      <c r="H864" s="31"/>
      <c r="I864" s="31"/>
      <c r="R864" s="32"/>
      <c r="S864" s="32"/>
      <c r="U864" s="33"/>
      <c r="V864" s="33"/>
      <c r="AD864" s="32"/>
    </row>
    <row r="865" spans="5:30" x14ac:dyDescent="0.2">
      <c r="E865" s="31"/>
      <c r="F865" s="133"/>
      <c r="H865" s="31"/>
      <c r="I865" s="31"/>
      <c r="R865" s="32"/>
      <c r="S865" s="32"/>
      <c r="U865" s="33"/>
      <c r="V865" s="33"/>
      <c r="AD865" s="32"/>
    </row>
    <row r="866" spans="5:30" x14ac:dyDescent="0.2">
      <c r="E866" s="31"/>
      <c r="F866" s="133"/>
      <c r="H866" s="31"/>
      <c r="I866" s="31"/>
      <c r="R866" s="32"/>
      <c r="S866" s="32"/>
      <c r="U866" s="33"/>
      <c r="V866" s="33"/>
      <c r="AD866" s="32"/>
    </row>
    <row r="867" spans="5:30" x14ac:dyDescent="0.2">
      <c r="E867" s="31"/>
      <c r="F867" s="133"/>
      <c r="H867" s="31"/>
      <c r="I867" s="31"/>
      <c r="R867" s="32"/>
      <c r="S867" s="32"/>
      <c r="U867" s="33"/>
      <c r="V867" s="33"/>
      <c r="AD867" s="32"/>
    </row>
    <row r="868" spans="5:30" x14ac:dyDescent="0.2">
      <c r="E868" s="31"/>
      <c r="F868" s="133"/>
      <c r="H868" s="31"/>
      <c r="I868" s="31"/>
      <c r="R868" s="32"/>
      <c r="S868" s="32"/>
      <c r="U868" s="33"/>
      <c r="V868" s="33"/>
      <c r="AD868" s="32"/>
    </row>
    <row r="869" spans="5:30" x14ac:dyDescent="0.2">
      <c r="E869" s="31"/>
      <c r="F869" s="133"/>
      <c r="H869" s="31"/>
      <c r="I869" s="31"/>
      <c r="R869" s="32"/>
      <c r="S869" s="32"/>
      <c r="U869" s="33"/>
      <c r="V869" s="33"/>
      <c r="AD869" s="32"/>
    </row>
    <row r="870" spans="5:30" x14ac:dyDescent="0.2">
      <c r="E870" s="31"/>
      <c r="F870" s="133"/>
      <c r="H870" s="31"/>
      <c r="I870" s="31"/>
      <c r="R870" s="32"/>
      <c r="S870" s="32"/>
      <c r="U870" s="33"/>
      <c r="V870" s="33"/>
      <c r="AD870" s="32"/>
    </row>
    <row r="871" spans="5:30" x14ac:dyDescent="0.2">
      <c r="E871" s="31"/>
      <c r="F871" s="133"/>
      <c r="H871" s="31"/>
      <c r="I871" s="31"/>
      <c r="R871" s="32"/>
      <c r="S871" s="32"/>
      <c r="U871" s="33"/>
      <c r="V871" s="33"/>
      <c r="AD871" s="32"/>
    </row>
    <row r="872" spans="5:30" x14ac:dyDescent="0.2">
      <c r="E872" s="31"/>
      <c r="F872" s="133"/>
      <c r="H872" s="31"/>
      <c r="I872" s="31"/>
      <c r="R872" s="32"/>
      <c r="S872" s="32"/>
      <c r="U872" s="33"/>
      <c r="V872" s="33"/>
      <c r="AD872" s="32"/>
    </row>
    <row r="873" spans="5:30" x14ac:dyDescent="0.2">
      <c r="E873" s="31"/>
      <c r="F873" s="133"/>
      <c r="H873" s="31"/>
      <c r="I873" s="31"/>
      <c r="R873" s="32"/>
      <c r="S873" s="32"/>
      <c r="U873" s="33"/>
      <c r="V873" s="33"/>
      <c r="AD873" s="32"/>
    </row>
    <row r="874" spans="5:30" x14ac:dyDescent="0.2">
      <c r="E874" s="31"/>
      <c r="F874" s="133"/>
      <c r="H874" s="31"/>
      <c r="I874" s="31"/>
      <c r="R874" s="32"/>
      <c r="S874" s="32"/>
      <c r="U874" s="33"/>
      <c r="V874" s="33"/>
      <c r="AD874" s="32"/>
    </row>
    <row r="875" spans="5:30" x14ac:dyDescent="0.2">
      <c r="E875" s="31"/>
      <c r="F875" s="133"/>
      <c r="H875" s="31"/>
      <c r="I875" s="31"/>
      <c r="R875" s="32"/>
      <c r="S875" s="32"/>
      <c r="U875" s="33"/>
      <c r="V875" s="33"/>
      <c r="AD875" s="32"/>
    </row>
    <row r="876" spans="5:30" x14ac:dyDescent="0.2">
      <c r="E876" s="31"/>
      <c r="F876" s="133"/>
      <c r="H876" s="31"/>
      <c r="I876" s="31"/>
      <c r="R876" s="32"/>
      <c r="S876" s="32"/>
      <c r="U876" s="33"/>
      <c r="V876" s="33"/>
      <c r="AD876" s="32"/>
    </row>
    <row r="877" spans="5:30" x14ac:dyDescent="0.2">
      <c r="E877" s="31"/>
      <c r="F877" s="133"/>
      <c r="H877" s="31"/>
      <c r="I877" s="31"/>
      <c r="R877" s="32"/>
      <c r="S877" s="32"/>
      <c r="U877" s="33"/>
      <c r="V877" s="33"/>
      <c r="AD877" s="32"/>
    </row>
    <row r="878" spans="5:30" x14ac:dyDescent="0.2">
      <c r="E878" s="31"/>
      <c r="F878" s="133"/>
      <c r="H878" s="31"/>
      <c r="I878" s="31"/>
      <c r="R878" s="32"/>
      <c r="S878" s="32"/>
      <c r="U878" s="33"/>
      <c r="V878" s="33"/>
      <c r="AD878" s="32"/>
    </row>
    <row r="879" spans="5:30" x14ac:dyDescent="0.2">
      <c r="E879" s="31"/>
      <c r="F879" s="133"/>
      <c r="H879" s="31"/>
      <c r="I879" s="31"/>
      <c r="R879" s="32"/>
      <c r="S879" s="32"/>
      <c r="U879" s="33"/>
      <c r="V879" s="33"/>
      <c r="AD879" s="32"/>
    </row>
    <row r="880" spans="5:30" x14ac:dyDescent="0.2">
      <c r="E880" s="31"/>
      <c r="F880" s="133"/>
      <c r="H880" s="31"/>
      <c r="I880" s="31"/>
      <c r="R880" s="32"/>
      <c r="S880" s="32"/>
      <c r="U880" s="33"/>
      <c r="V880" s="33"/>
      <c r="AD880" s="32"/>
    </row>
    <row r="881" spans="5:30" x14ac:dyDescent="0.2">
      <c r="E881" s="31"/>
      <c r="F881" s="133"/>
      <c r="H881" s="31"/>
      <c r="I881" s="31"/>
      <c r="R881" s="32"/>
      <c r="S881" s="32"/>
      <c r="U881" s="33"/>
      <c r="V881" s="33"/>
      <c r="AD881" s="32"/>
    </row>
    <row r="882" spans="5:30" x14ac:dyDescent="0.2">
      <c r="E882" s="31"/>
      <c r="F882" s="133"/>
      <c r="H882" s="31"/>
      <c r="I882" s="31"/>
      <c r="R882" s="32"/>
      <c r="S882" s="32"/>
      <c r="U882" s="33"/>
      <c r="V882" s="33"/>
      <c r="AD882" s="32"/>
    </row>
    <row r="883" spans="5:30" x14ac:dyDescent="0.2">
      <c r="E883" s="31"/>
      <c r="F883" s="133"/>
      <c r="H883" s="31"/>
      <c r="I883" s="31"/>
      <c r="R883" s="32"/>
      <c r="S883" s="32"/>
      <c r="U883" s="33"/>
      <c r="V883" s="33"/>
      <c r="AD883" s="32"/>
    </row>
    <row r="884" spans="5:30" x14ac:dyDescent="0.2">
      <c r="E884" s="31"/>
      <c r="F884" s="133"/>
      <c r="H884" s="31"/>
      <c r="I884" s="31"/>
      <c r="R884" s="32"/>
      <c r="S884" s="32"/>
      <c r="U884" s="33"/>
      <c r="V884" s="33"/>
      <c r="AD884" s="32"/>
    </row>
    <row r="885" spans="5:30" x14ac:dyDescent="0.2">
      <c r="E885" s="31"/>
      <c r="F885" s="133"/>
      <c r="H885" s="31"/>
      <c r="I885" s="31"/>
      <c r="R885" s="32"/>
      <c r="S885" s="32"/>
      <c r="U885" s="33"/>
      <c r="V885" s="33"/>
      <c r="AD885" s="32"/>
    </row>
    <row r="886" spans="5:30" x14ac:dyDescent="0.2">
      <c r="E886" s="31"/>
      <c r="F886" s="133"/>
      <c r="H886" s="31"/>
      <c r="I886" s="31"/>
      <c r="R886" s="32"/>
      <c r="S886" s="32"/>
      <c r="U886" s="33"/>
      <c r="V886" s="33"/>
      <c r="AD886" s="32"/>
    </row>
    <row r="887" spans="5:30" x14ac:dyDescent="0.2">
      <c r="E887" s="31"/>
      <c r="F887" s="133"/>
      <c r="H887" s="31"/>
      <c r="I887" s="31"/>
      <c r="R887" s="32"/>
      <c r="S887" s="32"/>
      <c r="U887" s="33"/>
      <c r="V887" s="33"/>
      <c r="AD887" s="32"/>
    </row>
    <row r="888" spans="5:30" x14ac:dyDescent="0.2">
      <c r="E888" s="31"/>
      <c r="F888" s="133"/>
      <c r="H888" s="31"/>
      <c r="I888" s="31"/>
      <c r="R888" s="32"/>
      <c r="S888" s="32"/>
      <c r="U888" s="33"/>
      <c r="V888" s="33"/>
      <c r="AD888" s="32"/>
    </row>
    <row r="889" spans="5:30" x14ac:dyDescent="0.2">
      <c r="E889" s="31"/>
      <c r="F889" s="133"/>
      <c r="H889" s="31"/>
      <c r="I889" s="31"/>
      <c r="R889" s="32"/>
      <c r="S889" s="32"/>
      <c r="U889" s="33"/>
      <c r="V889" s="33"/>
      <c r="AD889" s="32"/>
    </row>
    <row r="890" spans="5:30" x14ac:dyDescent="0.2">
      <c r="E890" s="31"/>
      <c r="F890" s="133"/>
      <c r="H890" s="31"/>
      <c r="I890" s="31"/>
      <c r="R890" s="32"/>
      <c r="S890" s="32"/>
      <c r="U890" s="33"/>
      <c r="V890" s="33"/>
      <c r="AD890" s="32"/>
    </row>
    <row r="891" spans="5:30" x14ac:dyDescent="0.2">
      <c r="E891" s="31"/>
      <c r="F891" s="133"/>
      <c r="H891" s="31"/>
      <c r="I891" s="31"/>
      <c r="R891" s="32"/>
      <c r="S891" s="32"/>
      <c r="U891" s="33"/>
      <c r="V891" s="33"/>
      <c r="AD891" s="32"/>
    </row>
    <row r="892" spans="5:30" x14ac:dyDescent="0.2">
      <c r="E892" s="31"/>
      <c r="F892" s="133"/>
      <c r="H892" s="31"/>
      <c r="I892" s="31"/>
      <c r="R892" s="32"/>
      <c r="S892" s="32"/>
      <c r="U892" s="33"/>
      <c r="V892" s="33"/>
      <c r="AD892" s="32"/>
    </row>
    <row r="893" spans="5:30" x14ac:dyDescent="0.2">
      <c r="E893" s="31"/>
      <c r="F893" s="133"/>
      <c r="H893" s="31"/>
      <c r="I893" s="31"/>
      <c r="R893" s="32"/>
      <c r="S893" s="32"/>
      <c r="U893" s="33"/>
      <c r="V893" s="33"/>
      <c r="AD893" s="32"/>
    </row>
    <row r="894" spans="5:30" x14ac:dyDescent="0.2">
      <c r="E894" s="31"/>
      <c r="F894" s="133"/>
      <c r="H894" s="31"/>
      <c r="I894" s="31"/>
      <c r="R894" s="32"/>
      <c r="S894" s="32"/>
      <c r="U894" s="33"/>
      <c r="V894" s="33"/>
      <c r="AD894" s="32"/>
    </row>
    <row r="895" spans="5:30" x14ac:dyDescent="0.2">
      <c r="E895" s="31"/>
      <c r="F895" s="133"/>
      <c r="H895" s="31"/>
      <c r="I895" s="31"/>
      <c r="R895" s="32"/>
      <c r="S895" s="32"/>
      <c r="U895" s="33"/>
      <c r="V895" s="33"/>
      <c r="AD895" s="32"/>
    </row>
    <row r="896" spans="5:30" x14ac:dyDescent="0.2">
      <c r="E896" s="31"/>
      <c r="F896" s="133"/>
      <c r="H896" s="31"/>
      <c r="I896" s="31"/>
      <c r="R896" s="32"/>
      <c r="S896" s="32"/>
      <c r="U896" s="33"/>
      <c r="V896" s="33"/>
      <c r="AD896" s="32"/>
    </row>
    <row r="897" spans="5:30" x14ac:dyDescent="0.2">
      <c r="E897" s="31"/>
      <c r="F897" s="133"/>
      <c r="H897" s="31"/>
      <c r="I897" s="31"/>
      <c r="R897" s="32"/>
      <c r="S897" s="32"/>
      <c r="U897" s="33"/>
      <c r="V897" s="33"/>
      <c r="AD897" s="32"/>
    </row>
    <row r="898" spans="5:30" x14ac:dyDescent="0.2">
      <c r="E898" s="31"/>
      <c r="F898" s="133"/>
      <c r="H898" s="31"/>
      <c r="I898" s="31"/>
      <c r="R898" s="32"/>
      <c r="S898" s="32"/>
      <c r="U898" s="33"/>
      <c r="V898" s="33"/>
      <c r="AD898" s="32"/>
    </row>
    <row r="899" spans="5:30" x14ac:dyDescent="0.2">
      <c r="E899" s="31"/>
      <c r="F899" s="133"/>
      <c r="H899" s="31"/>
      <c r="I899" s="31"/>
      <c r="R899" s="32"/>
      <c r="S899" s="32"/>
      <c r="U899" s="33"/>
      <c r="V899" s="33"/>
      <c r="AD899" s="32"/>
    </row>
    <row r="900" spans="5:30" x14ac:dyDescent="0.2">
      <c r="E900" s="31"/>
      <c r="F900" s="133"/>
      <c r="H900" s="31"/>
      <c r="I900" s="31"/>
      <c r="R900" s="32"/>
      <c r="S900" s="32"/>
      <c r="U900" s="33"/>
      <c r="V900" s="33"/>
      <c r="AD900" s="32"/>
    </row>
    <row r="901" spans="5:30" x14ac:dyDescent="0.2">
      <c r="E901" s="31"/>
      <c r="F901" s="133"/>
      <c r="H901" s="31"/>
      <c r="I901" s="31"/>
      <c r="R901" s="32"/>
      <c r="S901" s="32"/>
      <c r="U901" s="33"/>
      <c r="V901" s="33"/>
      <c r="AD901" s="32"/>
    </row>
    <row r="902" spans="5:30" x14ac:dyDescent="0.2">
      <c r="E902" s="31"/>
      <c r="F902" s="133"/>
      <c r="H902" s="31"/>
      <c r="I902" s="31"/>
      <c r="R902" s="32"/>
      <c r="S902" s="32"/>
      <c r="U902" s="33"/>
      <c r="V902" s="33"/>
      <c r="AD902" s="32"/>
    </row>
    <row r="903" spans="5:30" x14ac:dyDescent="0.2">
      <c r="E903" s="31"/>
      <c r="F903" s="133"/>
      <c r="H903" s="31"/>
      <c r="I903" s="31"/>
      <c r="R903" s="32"/>
      <c r="S903" s="32"/>
      <c r="U903" s="33"/>
      <c r="V903" s="33"/>
      <c r="AD903" s="32"/>
    </row>
    <row r="904" spans="5:30" x14ac:dyDescent="0.2">
      <c r="E904" s="31"/>
      <c r="F904" s="133"/>
      <c r="H904" s="31"/>
      <c r="I904" s="31"/>
      <c r="R904" s="32"/>
      <c r="S904" s="32"/>
      <c r="U904" s="33"/>
      <c r="V904" s="33"/>
      <c r="AD904" s="32"/>
    </row>
    <row r="905" spans="5:30" x14ac:dyDescent="0.2">
      <c r="E905" s="31"/>
      <c r="F905" s="133"/>
      <c r="H905" s="31"/>
      <c r="I905" s="31"/>
      <c r="R905" s="32"/>
      <c r="S905" s="32"/>
      <c r="U905" s="33"/>
      <c r="V905" s="33"/>
      <c r="AD905" s="32"/>
    </row>
    <row r="906" spans="5:30" x14ac:dyDescent="0.2">
      <c r="E906" s="31"/>
      <c r="F906" s="133"/>
      <c r="H906" s="31"/>
      <c r="I906" s="31"/>
      <c r="R906" s="32"/>
      <c r="S906" s="32"/>
      <c r="U906" s="33"/>
      <c r="V906" s="33"/>
      <c r="AD906" s="32"/>
    </row>
    <row r="907" spans="5:30" x14ac:dyDescent="0.2">
      <c r="E907" s="31"/>
      <c r="F907" s="133"/>
      <c r="H907" s="31"/>
      <c r="I907" s="31"/>
      <c r="R907" s="32"/>
      <c r="S907" s="32"/>
      <c r="U907" s="33"/>
      <c r="V907" s="33"/>
      <c r="AD907" s="32"/>
    </row>
    <row r="908" spans="5:30" x14ac:dyDescent="0.2">
      <c r="E908" s="31"/>
      <c r="F908" s="133"/>
      <c r="H908" s="31"/>
      <c r="I908" s="31"/>
      <c r="R908" s="32"/>
      <c r="S908" s="32"/>
      <c r="U908" s="33"/>
      <c r="V908" s="33"/>
      <c r="AD908" s="32"/>
    </row>
    <row r="909" spans="5:30" x14ac:dyDescent="0.2">
      <c r="E909" s="31"/>
      <c r="F909" s="133"/>
      <c r="H909" s="31"/>
      <c r="I909" s="31"/>
      <c r="R909" s="32"/>
      <c r="S909" s="32"/>
      <c r="U909" s="33"/>
      <c r="V909" s="33"/>
      <c r="AD909" s="32"/>
    </row>
    <row r="910" spans="5:30" x14ac:dyDescent="0.2">
      <c r="E910" s="31"/>
      <c r="F910" s="133"/>
      <c r="H910" s="31"/>
      <c r="I910" s="31"/>
      <c r="R910" s="32"/>
      <c r="S910" s="32"/>
      <c r="U910" s="33"/>
      <c r="V910" s="33"/>
      <c r="AD910" s="32"/>
    </row>
    <row r="911" spans="5:30" x14ac:dyDescent="0.2">
      <c r="E911" s="31"/>
      <c r="F911" s="133"/>
      <c r="H911" s="31"/>
      <c r="I911" s="31"/>
      <c r="R911" s="32"/>
      <c r="S911" s="32"/>
      <c r="U911" s="33"/>
      <c r="V911" s="33"/>
      <c r="AD911" s="32"/>
    </row>
    <row r="912" spans="5:30" x14ac:dyDescent="0.2">
      <c r="E912" s="31"/>
      <c r="F912" s="133"/>
      <c r="H912" s="31"/>
      <c r="I912" s="31"/>
      <c r="R912" s="32"/>
      <c r="S912" s="32"/>
      <c r="U912" s="33"/>
      <c r="V912" s="33"/>
      <c r="AD912" s="32"/>
    </row>
    <row r="913" spans="5:30" x14ac:dyDescent="0.2">
      <c r="E913" s="31"/>
      <c r="F913" s="133"/>
      <c r="H913" s="31"/>
      <c r="I913" s="31"/>
      <c r="R913" s="32"/>
      <c r="S913" s="32"/>
      <c r="U913" s="33"/>
      <c r="V913" s="33"/>
      <c r="AD913" s="32"/>
    </row>
    <row r="914" spans="5:30" x14ac:dyDescent="0.2">
      <c r="E914" s="31"/>
      <c r="F914" s="133"/>
      <c r="H914" s="31"/>
      <c r="I914" s="31"/>
      <c r="R914" s="32"/>
      <c r="S914" s="32"/>
      <c r="U914" s="33"/>
      <c r="V914" s="33"/>
      <c r="AD914" s="32"/>
    </row>
    <row r="915" spans="5:30" x14ac:dyDescent="0.2">
      <c r="E915" s="31"/>
      <c r="F915" s="133"/>
      <c r="H915" s="31"/>
      <c r="I915" s="31"/>
      <c r="R915" s="32"/>
      <c r="S915" s="32"/>
      <c r="U915" s="33"/>
      <c r="V915" s="33"/>
      <c r="AD915" s="32"/>
    </row>
    <row r="916" spans="5:30" x14ac:dyDescent="0.2">
      <c r="E916" s="31"/>
      <c r="F916" s="133"/>
      <c r="H916" s="31"/>
      <c r="I916" s="31"/>
      <c r="R916" s="32"/>
      <c r="S916" s="32"/>
      <c r="U916" s="33"/>
      <c r="V916" s="33"/>
      <c r="AD916" s="32"/>
    </row>
    <row r="917" spans="5:30" x14ac:dyDescent="0.2">
      <c r="E917" s="31"/>
      <c r="F917" s="133"/>
      <c r="H917" s="31"/>
      <c r="I917" s="31"/>
      <c r="R917" s="32"/>
      <c r="S917" s="32"/>
      <c r="U917" s="33"/>
      <c r="V917" s="33"/>
      <c r="AD917" s="32"/>
    </row>
    <row r="918" spans="5:30" x14ac:dyDescent="0.2">
      <c r="E918" s="31"/>
      <c r="F918" s="133"/>
      <c r="H918" s="31"/>
      <c r="I918" s="31"/>
      <c r="R918" s="32"/>
      <c r="S918" s="32"/>
      <c r="U918" s="33"/>
      <c r="V918" s="33"/>
      <c r="AD918" s="32"/>
    </row>
    <row r="919" spans="5:30" x14ac:dyDescent="0.2">
      <c r="E919" s="31"/>
      <c r="F919" s="133"/>
      <c r="H919" s="31"/>
      <c r="I919" s="31"/>
      <c r="R919" s="32"/>
      <c r="S919" s="32"/>
      <c r="U919" s="33"/>
      <c r="V919" s="33"/>
      <c r="AD919" s="32"/>
    </row>
    <row r="920" spans="5:30" x14ac:dyDescent="0.2">
      <c r="E920" s="31"/>
      <c r="F920" s="133"/>
      <c r="H920" s="31"/>
      <c r="I920" s="31"/>
      <c r="R920" s="32"/>
      <c r="S920" s="32"/>
      <c r="U920" s="33"/>
      <c r="V920" s="33"/>
      <c r="AD920" s="32"/>
    </row>
    <row r="921" spans="5:30" x14ac:dyDescent="0.2">
      <c r="E921" s="31"/>
      <c r="F921" s="133"/>
      <c r="H921" s="31"/>
      <c r="I921" s="31"/>
      <c r="R921" s="32"/>
      <c r="S921" s="32"/>
      <c r="U921" s="33"/>
      <c r="V921" s="33"/>
      <c r="AD921" s="32"/>
    </row>
    <row r="922" spans="5:30" x14ac:dyDescent="0.2">
      <c r="E922" s="31"/>
      <c r="F922" s="133"/>
      <c r="H922" s="31"/>
      <c r="I922" s="31"/>
      <c r="R922" s="32"/>
      <c r="S922" s="32"/>
      <c r="U922" s="33"/>
      <c r="V922" s="33"/>
      <c r="AD922" s="32"/>
    </row>
    <row r="923" spans="5:30" x14ac:dyDescent="0.2">
      <c r="E923" s="31"/>
      <c r="F923" s="133"/>
      <c r="H923" s="31"/>
      <c r="I923" s="31"/>
      <c r="R923" s="32"/>
      <c r="S923" s="32"/>
      <c r="U923" s="33"/>
      <c r="V923" s="33"/>
      <c r="AD923" s="32"/>
    </row>
    <row r="924" spans="5:30" x14ac:dyDescent="0.2">
      <c r="E924" s="31"/>
      <c r="F924" s="133"/>
      <c r="H924" s="31"/>
      <c r="I924" s="31"/>
      <c r="R924" s="32"/>
      <c r="S924" s="32"/>
      <c r="U924" s="33"/>
      <c r="V924" s="33"/>
      <c r="AD924" s="32"/>
    </row>
    <row r="925" spans="5:30" x14ac:dyDescent="0.2">
      <c r="E925" s="31"/>
      <c r="F925" s="133"/>
      <c r="H925" s="31"/>
      <c r="I925" s="31"/>
      <c r="R925" s="32"/>
      <c r="S925" s="32"/>
      <c r="U925" s="33"/>
      <c r="V925" s="33"/>
      <c r="AD925" s="32"/>
    </row>
    <row r="926" spans="5:30" x14ac:dyDescent="0.2">
      <c r="E926" s="31"/>
      <c r="F926" s="133"/>
      <c r="H926" s="31"/>
      <c r="I926" s="31"/>
      <c r="R926" s="32"/>
      <c r="S926" s="32"/>
      <c r="U926" s="33"/>
      <c r="V926" s="33"/>
      <c r="AD926" s="32"/>
    </row>
    <row r="927" spans="5:30" x14ac:dyDescent="0.2">
      <c r="E927" s="31"/>
      <c r="F927" s="133"/>
      <c r="H927" s="31"/>
      <c r="I927" s="31"/>
      <c r="R927" s="32"/>
      <c r="S927" s="32"/>
      <c r="U927" s="33"/>
      <c r="V927" s="33"/>
      <c r="AD927" s="32"/>
    </row>
    <row r="928" spans="5:30" x14ac:dyDescent="0.2">
      <c r="E928" s="31"/>
      <c r="F928" s="133"/>
      <c r="H928" s="31"/>
      <c r="I928" s="31"/>
      <c r="R928" s="32"/>
      <c r="S928" s="32"/>
      <c r="U928" s="33"/>
      <c r="V928" s="33"/>
      <c r="AD928" s="32"/>
    </row>
    <row r="929" spans="5:40" x14ac:dyDescent="0.2">
      <c r="E929" s="31"/>
      <c r="F929" s="133"/>
      <c r="H929" s="31"/>
      <c r="I929" s="31"/>
      <c r="R929" s="32"/>
      <c r="S929" s="32"/>
      <c r="U929" s="33"/>
      <c r="V929" s="33"/>
      <c r="AD929" s="32"/>
    </row>
    <row r="930" spans="5:40" x14ac:dyDescent="0.2">
      <c r="E930" s="31"/>
      <c r="F930" s="133"/>
      <c r="H930" s="31"/>
      <c r="I930" s="31"/>
      <c r="R930" s="32"/>
      <c r="S930" s="32"/>
      <c r="U930" s="33"/>
      <c r="V930" s="33"/>
      <c r="AD930" s="32"/>
    </row>
    <row r="931" spans="5:40" x14ac:dyDescent="0.2">
      <c r="E931" s="31"/>
      <c r="F931" s="133"/>
      <c r="H931" s="31"/>
      <c r="I931" s="31"/>
      <c r="R931" s="32"/>
      <c r="S931" s="32"/>
      <c r="U931" s="33"/>
      <c r="V931" s="33"/>
      <c r="AD931" s="32"/>
    </row>
    <row r="932" spans="5:40" x14ac:dyDescent="0.2">
      <c r="E932" s="31"/>
      <c r="F932" s="133"/>
      <c r="H932" s="31"/>
      <c r="I932" s="31"/>
      <c r="R932" s="32"/>
      <c r="S932" s="32"/>
      <c r="U932" s="33"/>
      <c r="V932" s="33"/>
      <c r="AD932" s="32"/>
    </row>
    <row r="933" spans="5:40" x14ac:dyDescent="0.2">
      <c r="E933" s="31"/>
      <c r="F933" s="133"/>
      <c r="H933" s="31"/>
      <c r="I933" s="31"/>
      <c r="R933" s="32"/>
      <c r="S933" s="32"/>
      <c r="U933" s="33"/>
      <c r="V933" s="33"/>
      <c r="AD933" s="32"/>
    </row>
    <row r="934" spans="5:40" x14ac:dyDescent="0.2">
      <c r="E934" s="31"/>
      <c r="F934" s="133"/>
      <c r="H934" s="31"/>
      <c r="I934" s="31"/>
      <c r="R934" s="32"/>
      <c r="S934" s="32"/>
      <c r="U934" s="33"/>
      <c r="V934" s="33"/>
      <c r="AD934" s="32"/>
    </row>
    <row r="935" spans="5:40" x14ac:dyDescent="0.2">
      <c r="E935" s="31"/>
      <c r="F935" s="133"/>
      <c r="H935" s="31"/>
      <c r="I935" s="31"/>
      <c r="R935" s="32"/>
      <c r="S935" s="32"/>
      <c r="U935" s="33"/>
      <c r="V935" s="33"/>
      <c r="AD935" s="32"/>
    </row>
    <row r="936" spans="5:40" x14ac:dyDescent="0.2">
      <c r="E936" s="31"/>
      <c r="F936" s="133"/>
      <c r="H936" s="31"/>
      <c r="I936" s="31"/>
      <c r="R936" s="32"/>
      <c r="S936" s="32"/>
      <c r="U936" s="33"/>
      <c r="V936" s="33"/>
      <c r="AD936" s="32"/>
    </row>
    <row r="937" spans="5:40" x14ac:dyDescent="0.2">
      <c r="E937" s="31"/>
      <c r="F937" s="133"/>
      <c r="H937" s="31"/>
      <c r="I937" s="31"/>
      <c r="R937" s="32"/>
      <c r="S937" s="32"/>
      <c r="U937" s="33"/>
      <c r="V937" s="33"/>
      <c r="AD937" s="32"/>
    </row>
    <row r="938" spans="5:40" x14ac:dyDescent="0.2">
      <c r="E938" s="31"/>
      <c r="F938" s="133"/>
      <c r="H938" s="31"/>
      <c r="I938" s="31"/>
      <c r="R938" s="32"/>
      <c r="S938" s="32"/>
      <c r="U938" s="33"/>
      <c r="V938" s="33"/>
      <c r="AD938" s="32"/>
    </row>
    <row r="939" spans="5:40" x14ac:dyDescent="0.2">
      <c r="E939" s="31"/>
      <c r="F939" s="133"/>
      <c r="H939" s="31"/>
      <c r="I939" s="31"/>
      <c r="R939" s="32"/>
      <c r="S939" s="32"/>
      <c r="U939" s="33"/>
      <c r="V939" s="33"/>
      <c r="AD939" s="32"/>
    </row>
    <row r="940" spans="5:40" x14ac:dyDescent="0.2">
      <c r="E940" s="31"/>
      <c r="F940" s="133"/>
      <c r="H940" s="31"/>
      <c r="I940" s="31"/>
      <c r="R940" s="32"/>
      <c r="S940" s="32"/>
      <c r="U940" s="33"/>
      <c r="V940" s="33"/>
      <c r="AD940" s="32"/>
    </row>
    <row r="941" spans="5:40" x14ac:dyDescent="0.2">
      <c r="E941" s="31"/>
      <c r="F941" s="133"/>
      <c r="H941" s="31"/>
      <c r="I941" s="31"/>
      <c r="R941" s="32"/>
      <c r="S941" s="32"/>
      <c r="U941" s="33"/>
      <c r="V941" s="33"/>
      <c r="AD941" s="32"/>
    </row>
    <row r="942" spans="5:40" x14ac:dyDescent="0.2">
      <c r="E942" s="31"/>
      <c r="F942" s="133"/>
      <c r="H942" s="31"/>
      <c r="I942" s="31"/>
      <c r="R942" s="32"/>
      <c r="S942" s="32"/>
      <c r="U942" s="33"/>
      <c r="V942" s="33"/>
      <c r="AD942" s="32"/>
    </row>
    <row r="943" spans="5:40" x14ac:dyDescent="0.2">
      <c r="E943" s="31"/>
      <c r="F943" s="133"/>
      <c r="H943" s="31"/>
      <c r="I943" s="31"/>
      <c r="R943" s="32"/>
      <c r="S943" s="32"/>
      <c r="U943" s="33"/>
      <c r="V943" s="33"/>
      <c r="AD943" s="32"/>
    </row>
    <row r="944" spans="5:40" x14ac:dyDescent="0.2">
      <c r="E944" s="31"/>
      <c r="F944" s="133"/>
      <c r="G944" s="32"/>
      <c r="H944" s="31"/>
      <c r="I944" s="31"/>
      <c r="J944" s="32"/>
      <c r="K944" s="32"/>
      <c r="N944" s="32"/>
      <c r="O944" s="32"/>
      <c r="P944" s="32"/>
      <c r="Q944" s="32"/>
      <c r="R944" s="32"/>
      <c r="S944" s="32"/>
      <c r="T944" s="32"/>
      <c r="U944" s="32"/>
      <c r="V944" s="32"/>
      <c r="AD944" s="32"/>
      <c r="AE944" s="119"/>
      <c r="AF944" s="32"/>
      <c r="AG944" s="32"/>
      <c r="AH944" s="32"/>
      <c r="AJ944" s="32"/>
      <c r="AK944" s="32"/>
      <c r="AL944" s="32"/>
      <c r="AM944" s="32"/>
      <c r="AN944" s="32"/>
    </row>
    <row r="945" spans="5:30" x14ac:dyDescent="0.2">
      <c r="E945" s="31"/>
      <c r="F945" s="133"/>
      <c r="H945" s="31"/>
      <c r="I945" s="31"/>
      <c r="R945" s="32"/>
      <c r="S945" s="32"/>
      <c r="U945" s="33"/>
      <c r="V945" s="33"/>
      <c r="AD945" s="32"/>
    </row>
    <row r="946" spans="5:30" x14ac:dyDescent="0.2">
      <c r="E946" s="31"/>
      <c r="F946" s="133"/>
      <c r="H946" s="31"/>
      <c r="I946" s="31"/>
      <c r="R946" s="32"/>
      <c r="S946" s="32"/>
      <c r="U946" s="33"/>
      <c r="V946" s="33"/>
      <c r="AD946" s="32"/>
    </row>
    <row r="947" spans="5:30" x14ac:dyDescent="0.2">
      <c r="E947" s="31"/>
      <c r="F947" s="133"/>
      <c r="H947" s="31"/>
      <c r="I947" s="31"/>
      <c r="R947" s="32"/>
      <c r="S947" s="32"/>
      <c r="U947" s="33"/>
      <c r="V947" s="33"/>
      <c r="AD947" s="32"/>
    </row>
    <row r="948" spans="5:30" x14ac:dyDescent="0.2">
      <c r="E948" s="31"/>
      <c r="F948" s="133"/>
      <c r="H948" s="31"/>
      <c r="I948" s="31"/>
      <c r="R948" s="32"/>
      <c r="S948" s="32"/>
      <c r="U948" s="33"/>
      <c r="V948" s="33"/>
      <c r="AD948" s="32"/>
    </row>
    <row r="949" spans="5:30" x14ac:dyDescent="0.2">
      <c r="E949" s="31"/>
      <c r="F949" s="133"/>
      <c r="H949" s="31"/>
      <c r="I949" s="31"/>
      <c r="R949" s="32"/>
      <c r="S949" s="32"/>
      <c r="U949" s="33"/>
      <c r="V949" s="33"/>
      <c r="AD949" s="32"/>
    </row>
    <row r="950" spans="5:30" x14ac:dyDescent="0.2">
      <c r="E950" s="31"/>
      <c r="F950" s="133"/>
      <c r="H950" s="31"/>
      <c r="I950" s="31"/>
      <c r="R950" s="32"/>
      <c r="S950" s="32"/>
      <c r="U950" s="33"/>
      <c r="V950" s="33"/>
      <c r="AD950" s="32"/>
    </row>
    <row r="951" spans="5:30" x14ac:dyDescent="0.2">
      <c r="E951" s="31"/>
      <c r="F951" s="133"/>
      <c r="H951" s="31"/>
      <c r="I951" s="31"/>
      <c r="R951" s="32"/>
      <c r="S951" s="32"/>
      <c r="U951" s="33"/>
      <c r="V951" s="33"/>
      <c r="AD951" s="32"/>
    </row>
    <row r="952" spans="5:30" x14ac:dyDescent="0.2">
      <c r="E952" s="31"/>
      <c r="F952" s="133"/>
      <c r="H952" s="31"/>
      <c r="I952" s="31"/>
      <c r="R952" s="32"/>
      <c r="S952" s="32"/>
      <c r="U952" s="33"/>
      <c r="V952" s="33"/>
      <c r="AD952" s="32"/>
    </row>
    <row r="953" spans="5:30" x14ac:dyDescent="0.2">
      <c r="E953" s="31"/>
      <c r="F953" s="133"/>
      <c r="H953" s="31"/>
      <c r="I953" s="31"/>
      <c r="R953" s="32"/>
      <c r="S953" s="32"/>
      <c r="U953" s="33"/>
      <c r="V953" s="33"/>
      <c r="AD953" s="32"/>
    </row>
    <row r="954" spans="5:30" x14ac:dyDescent="0.2">
      <c r="E954" s="31"/>
      <c r="F954" s="133"/>
      <c r="H954" s="31"/>
      <c r="I954" s="31"/>
      <c r="R954" s="32"/>
      <c r="S954" s="32"/>
      <c r="U954" s="33"/>
      <c r="V954" s="33"/>
      <c r="AD954" s="32"/>
    </row>
    <row r="955" spans="5:30" x14ac:dyDescent="0.2">
      <c r="E955" s="31"/>
      <c r="F955" s="133"/>
      <c r="H955" s="31"/>
      <c r="I955" s="31"/>
      <c r="R955" s="32"/>
      <c r="S955" s="32"/>
      <c r="U955" s="33"/>
      <c r="V955" s="33"/>
      <c r="AD955" s="32"/>
    </row>
    <row r="956" spans="5:30" x14ac:dyDescent="0.2">
      <c r="E956" s="31"/>
      <c r="F956" s="133"/>
      <c r="H956" s="31"/>
      <c r="I956" s="31"/>
      <c r="R956" s="32"/>
      <c r="S956" s="32"/>
      <c r="U956" s="33"/>
      <c r="V956" s="33"/>
      <c r="AD956" s="32"/>
    </row>
    <row r="957" spans="5:30" x14ac:dyDescent="0.2">
      <c r="E957" s="31"/>
      <c r="F957" s="133"/>
      <c r="H957" s="31"/>
      <c r="I957" s="31"/>
      <c r="R957" s="32"/>
      <c r="S957" s="32"/>
      <c r="U957" s="33"/>
      <c r="V957" s="33"/>
      <c r="AD957" s="32"/>
    </row>
    <row r="958" spans="5:30" x14ac:dyDescent="0.2">
      <c r="E958" s="31"/>
      <c r="F958" s="133"/>
      <c r="H958" s="31"/>
      <c r="I958" s="31"/>
      <c r="R958" s="32"/>
      <c r="S958" s="32"/>
      <c r="U958" s="33"/>
      <c r="V958" s="33"/>
      <c r="AD958" s="32"/>
    </row>
    <row r="959" spans="5:30" x14ac:dyDescent="0.2">
      <c r="E959" s="31"/>
      <c r="F959" s="133"/>
      <c r="H959" s="31"/>
      <c r="I959" s="31"/>
      <c r="R959" s="32"/>
      <c r="S959" s="32"/>
      <c r="U959" s="33"/>
      <c r="V959" s="33"/>
      <c r="AD959" s="32"/>
    </row>
    <row r="960" spans="5:30" x14ac:dyDescent="0.2">
      <c r="E960" s="31"/>
      <c r="F960" s="133"/>
      <c r="H960" s="31"/>
      <c r="I960" s="31"/>
      <c r="R960" s="32"/>
      <c r="S960" s="32"/>
      <c r="U960" s="33"/>
      <c r="V960" s="33"/>
      <c r="AD960" s="32"/>
    </row>
    <row r="961" spans="5:30" x14ac:dyDescent="0.2">
      <c r="E961" s="31"/>
      <c r="F961" s="133"/>
      <c r="H961" s="31"/>
      <c r="I961" s="31"/>
      <c r="R961" s="32"/>
      <c r="S961" s="32"/>
      <c r="U961" s="33"/>
      <c r="V961" s="33"/>
      <c r="AD961" s="32"/>
    </row>
    <row r="962" spans="5:30" x14ac:dyDescent="0.2">
      <c r="E962" s="31"/>
      <c r="F962" s="133"/>
      <c r="H962" s="31"/>
      <c r="I962" s="31"/>
      <c r="R962" s="32"/>
      <c r="S962" s="32"/>
      <c r="U962" s="33"/>
      <c r="V962" s="33"/>
      <c r="AD962" s="32"/>
    </row>
    <row r="963" spans="5:30" x14ac:dyDescent="0.2">
      <c r="E963" s="31"/>
      <c r="F963" s="133"/>
      <c r="H963" s="31"/>
      <c r="I963" s="31"/>
      <c r="R963" s="32"/>
      <c r="S963" s="32"/>
      <c r="U963" s="33"/>
      <c r="V963" s="33"/>
      <c r="AD963" s="32"/>
    </row>
    <row r="964" spans="5:30" x14ac:dyDescent="0.2">
      <c r="E964" s="31"/>
      <c r="F964" s="133"/>
      <c r="H964" s="31"/>
      <c r="I964" s="31"/>
      <c r="R964" s="32"/>
      <c r="S964" s="32"/>
      <c r="U964" s="33"/>
      <c r="V964" s="33"/>
      <c r="AD964" s="32"/>
    </row>
    <row r="965" spans="5:30" x14ac:dyDescent="0.2">
      <c r="E965" s="31"/>
      <c r="F965" s="133"/>
      <c r="H965" s="31"/>
      <c r="I965" s="31"/>
      <c r="R965" s="32"/>
      <c r="S965" s="32"/>
      <c r="U965" s="33"/>
      <c r="V965" s="33"/>
      <c r="AD965" s="32"/>
    </row>
    <row r="966" spans="5:30" x14ac:dyDescent="0.2">
      <c r="E966" s="31"/>
      <c r="F966" s="133"/>
      <c r="H966" s="31"/>
      <c r="I966" s="31"/>
      <c r="R966" s="32"/>
      <c r="S966" s="32"/>
      <c r="U966" s="33"/>
      <c r="V966" s="33"/>
      <c r="AD966" s="32"/>
    </row>
    <row r="967" spans="5:30" x14ac:dyDescent="0.2">
      <c r="E967" s="31"/>
      <c r="F967" s="133"/>
      <c r="H967" s="31"/>
      <c r="I967" s="31"/>
      <c r="R967" s="32"/>
      <c r="S967" s="32"/>
      <c r="U967" s="33"/>
      <c r="V967" s="33"/>
      <c r="AD967" s="32"/>
    </row>
    <row r="968" spans="5:30" x14ac:dyDescent="0.2">
      <c r="E968" s="31"/>
      <c r="F968" s="133"/>
      <c r="H968" s="31"/>
      <c r="I968" s="31"/>
      <c r="R968" s="32"/>
      <c r="S968" s="32"/>
      <c r="U968" s="33"/>
      <c r="V968" s="33"/>
      <c r="AD968" s="32"/>
    </row>
    <row r="969" spans="5:30" x14ac:dyDescent="0.2">
      <c r="E969" s="31"/>
      <c r="F969" s="133"/>
      <c r="H969" s="31"/>
      <c r="I969" s="31"/>
      <c r="R969" s="32"/>
      <c r="S969" s="32"/>
      <c r="U969" s="33"/>
      <c r="V969" s="33"/>
      <c r="AD969" s="32"/>
    </row>
    <row r="970" spans="5:30" x14ac:dyDescent="0.2">
      <c r="E970" s="31"/>
      <c r="F970" s="133"/>
      <c r="H970" s="31"/>
      <c r="I970" s="31"/>
      <c r="R970" s="32"/>
      <c r="S970" s="32"/>
      <c r="U970" s="33"/>
      <c r="V970" s="33"/>
      <c r="AD970" s="32"/>
    </row>
    <row r="971" spans="5:30" x14ac:dyDescent="0.2">
      <c r="E971" s="31"/>
      <c r="F971" s="133"/>
      <c r="H971" s="31"/>
      <c r="I971" s="31"/>
      <c r="R971" s="32"/>
      <c r="S971" s="32"/>
      <c r="U971" s="33"/>
      <c r="V971" s="33"/>
      <c r="AD971" s="32"/>
    </row>
    <row r="972" spans="5:30" x14ac:dyDescent="0.2">
      <c r="E972" s="31"/>
      <c r="F972" s="133"/>
      <c r="H972" s="31"/>
      <c r="I972" s="31"/>
      <c r="R972" s="32"/>
      <c r="S972" s="32"/>
      <c r="U972" s="33"/>
      <c r="V972" s="33"/>
      <c r="AD972" s="32"/>
    </row>
    <row r="973" spans="5:30" x14ac:dyDescent="0.2">
      <c r="E973" s="31"/>
      <c r="F973" s="133"/>
      <c r="H973" s="31"/>
      <c r="I973" s="31"/>
      <c r="R973" s="32"/>
      <c r="S973" s="32"/>
      <c r="U973" s="33"/>
      <c r="V973" s="33"/>
      <c r="AD973" s="32"/>
    </row>
    <row r="974" spans="5:30" x14ac:dyDescent="0.2">
      <c r="E974" s="31"/>
      <c r="F974" s="133"/>
      <c r="H974" s="31"/>
      <c r="I974" s="31"/>
      <c r="R974" s="32"/>
      <c r="S974" s="32"/>
      <c r="U974" s="33"/>
      <c r="V974" s="33"/>
      <c r="AD974" s="32"/>
    </row>
    <row r="975" spans="5:30" x14ac:dyDescent="0.2">
      <c r="E975" s="31"/>
      <c r="F975" s="133"/>
      <c r="H975" s="31"/>
      <c r="I975" s="31"/>
      <c r="R975" s="32"/>
      <c r="S975" s="32"/>
      <c r="U975" s="33"/>
      <c r="V975" s="33"/>
      <c r="AD975" s="32"/>
    </row>
    <row r="976" spans="5:30" x14ac:dyDescent="0.2">
      <c r="E976" s="31"/>
      <c r="F976" s="133"/>
      <c r="H976" s="31"/>
      <c r="I976" s="31"/>
      <c r="R976" s="32"/>
      <c r="S976" s="32"/>
      <c r="U976" s="33"/>
      <c r="V976" s="33"/>
      <c r="AD976" s="32"/>
    </row>
    <row r="977" spans="5:30" x14ac:dyDescent="0.2">
      <c r="E977" s="31"/>
      <c r="F977" s="133"/>
      <c r="H977" s="31"/>
      <c r="I977" s="31"/>
      <c r="R977" s="32"/>
      <c r="S977" s="32"/>
      <c r="U977" s="33"/>
      <c r="V977" s="33"/>
      <c r="AD977" s="32"/>
    </row>
    <row r="978" spans="5:30" x14ac:dyDescent="0.2">
      <c r="E978" s="31"/>
      <c r="F978" s="133"/>
      <c r="H978" s="31"/>
      <c r="I978" s="31"/>
      <c r="R978" s="32"/>
      <c r="S978" s="32"/>
      <c r="U978" s="33"/>
      <c r="V978" s="33"/>
      <c r="AD978" s="32"/>
    </row>
    <row r="979" spans="5:30" x14ac:dyDescent="0.2">
      <c r="E979" s="31"/>
      <c r="F979" s="133"/>
      <c r="H979" s="31"/>
      <c r="I979" s="31"/>
      <c r="R979" s="32"/>
      <c r="S979" s="32"/>
      <c r="U979" s="33"/>
      <c r="V979" s="33"/>
      <c r="AD979" s="32"/>
    </row>
    <row r="980" spans="5:30" x14ac:dyDescent="0.2">
      <c r="E980" s="31"/>
      <c r="F980" s="133"/>
      <c r="H980" s="31"/>
      <c r="I980" s="31"/>
      <c r="R980" s="32"/>
      <c r="S980" s="32"/>
      <c r="U980" s="33"/>
      <c r="V980" s="33"/>
      <c r="AD980" s="32"/>
    </row>
    <row r="981" spans="5:30" x14ac:dyDescent="0.2">
      <c r="E981" s="31"/>
      <c r="F981" s="133"/>
      <c r="H981" s="31"/>
      <c r="I981" s="31"/>
      <c r="R981" s="32"/>
      <c r="S981" s="32"/>
      <c r="U981" s="33"/>
      <c r="V981" s="33"/>
      <c r="AD981" s="32"/>
    </row>
    <row r="982" spans="5:30" x14ac:dyDescent="0.2">
      <c r="E982" s="31"/>
      <c r="F982" s="133"/>
      <c r="H982" s="31"/>
      <c r="I982" s="31"/>
      <c r="R982" s="32"/>
      <c r="S982" s="32"/>
      <c r="U982" s="33"/>
      <c r="V982" s="33"/>
      <c r="AD982" s="32"/>
    </row>
    <row r="983" spans="5:30" x14ac:dyDescent="0.2">
      <c r="E983" s="31"/>
      <c r="F983" s="133"/>
      <c r="H983" s="31"/>
      <c r="I983" s="31"/>
      <c r="R983" s="32"/>
      <c r="S983" s="32"/>
      <c r="U983" s="33"/>
      <c r="V983" s="33"/>
      <c r="AD983" s="32"/>
    </row>
    <row r="984" spans="5:30" x14ac:dyDescent="0.2">
      <c r="E984" s="31"/>
      <c r="F984" s="133"/>
      <c r="H984" s="31"/>
      <c r="I984" s="31"/>
      <c r="R984" s="32"/>
      <c r="S984" s="32"/>
      <c r="U984" s="33"/>
      <c r="V984" s="33"/>
      <c r="AD984" s="32"/>
    </row>
    <row r="985" spans="5:30" x14ac:dyDescent="0.2">
      <c r="E985" s="31"/>
      <c r="F985" s="133"/>
      <c r="H985" s="31"/>
      <c r="I985" s="31"/>
      <c r="R985" s="32"/>
      <c r="S985" s="32"/>
      <c r="U985" s="33"/>
      <c r="V985" s="33"/>
      <c r="AD985" s="32"/>
    </row>
    <row r="986" spans="5:30" x14ac:dyDescent="0.2">
      <c r="E986" s="31"/>
      <c r="F986" s="133"/>
      <c r="H986" s="31"/>
      <c r="I986" s="31"/>
      <c r="R986" s="32"/>
      <c r="S986" s="32"/>
      <c r="U986" s="33"/>
      <c r="V986" s="33"/>
      <c r="AD986" s="32"/>
    </row>
    <row r="987" spans="5:30" x14ac:dyDescent="0.2">
      <c r="E987" s="31"/>
      <c r="F987" s="133"/>
      <c r="H987" s="31"/>
      <c r="I987" s="31"/>
      <c r="R987" s="32"/>
      <c r="S987" s="32"/>
      <c r="U987" s="33"/>
      <c r="V987" s="33"/>
      <c r="AD987" s="32"/>
    </row>
    <row r="988" spans="5:30" x14ac:dyDescent="0.2">
      <c r="E988" s="31"/>
      <c r="F988" s="133"/>
      <c r="H988" s="31"/>
      <c r="I988" s="31"/>
      <c r="R988" s="32"/>
      <c r="S988" s="32"/>
      <c r="U988" s="33"/>
      <c r="V988" s="33"/>
      <c r="AD988" s="32"/>
    </row>
    <row r="989" spans="5:30" x14ac:dyDescent="0.2">
      <c r="E989" s="31"/>
      <c r="F989" s="133"/>
      <c r="H989" s="31"/>
      <c r="I989" s="31"/>
      <c r="R989" s="32"/>
      <c r="S989" s="32"/>
      <c r="U989" s="33"/>
      <c r="V989" s="33"/>
      <c r="AD989" s="32"/>
    </row>
    <row r="990" spans="5:30" x14ac:dyDescent="0.2">
      <c r="E990" s="31"/>
      <c r="F990" s="133"/>
      <c r="H990" s="31"/>
      <c r="I990" s="31"/>
      <c r="R990" s="32"/>
      <c r="S990" s="32"/>
      <c r="U990" s="33"/>
      <c r="V990" s="33"/>
      <c r="AD990" s="32"/>
    </row>
    <row r="991" spans="5:30" x14ac:dyDescent="0.2">
      <c r="E991" s="31"/>
      <c r="F991" s="133"/>
      <c r="H991" s="31"/>
      <c r="I991" s="31"/>
      <c r="R991" s="32"/>
      <c r="S991" s="32"/>
      <c r="U991" s="33"/>
      <c r="V991" s="33"/>
      <c r="AD991" s="32"/>
    </row>
    <row r="992" spans="5:30" x14ac:dyDescent="0.2">
      <c r="E992" s="31"/>
      <c r="F992" s="133"/>
      <c r="H992" s="31"/>
      <c r="I992" s="31"/>
      <c r="R992" s="32"/>
      <c r="S992" s="32"/>
      <c r="U992" s="33"/>
      <c r="V992" s="33"/>
      <c r="AD992" s="32"/>
    </row>
    <row r="993" spans="5:40" x14ac:dyDescent="0.2">
      <c r="E993" s="31"/>
      <c r="F993" s="133"/>
      <c r="H993" s="31"/>
      <c r="I993" s="31"/>
      <c r="R993" s="32"/>
      <c r="S993" s="32"/>
      <c r="U993" s="33"/>
      <c r="V993" s="33"/>
      <c r="AD993" s="32"/>
    </row>
    <row r="994" spans="5:40" x14ac:dyDescent="0.2">
      <c r="E994" s="31"/>
      <c r="F994" s="133"/>
      <c r="H994" s="31"/>
      <c r="I994" s="31"/>
      <c r="R994" s="32"/>
      <c r="S994" s="32"/>
      <c r="U994" s="33"/>
      <c r="V994" s="33"/>
      <c r="AD994" s="32"/>
    </row>
    <row r="995" spans="5:40" x14ac:dyDescent="0.2">
      <c r="E995" s="31"/>
      <c r="F995" s="133"/>
      <c r="H995" s="31"/>
      <c r="I995" s="31"/>
      <c r="R995" s="32"/>
      <c r="S995" s="32"/>
      <c r="U995" s="33"/>
      <c r="V995" s="33"/>
      <c r="AD995" s="32"/>
    </row>
    <row r="996" spans="5:40" x14ac:dyDescent="0.2">
      <c r="E996" s="31"/>
      <c r="F996" s="133"/>
      <c r="H996" s="31"/>
      <c r="I996" s="31"/>
      <c r="R996" s="32"/>
      <c r="S996" s="32"/>
      <c r="U996" s="33"/>
      <c r="V996" s="33"/>
      <c r="AD996" s="32"/>
    </row>
    <row r="997" spans="5:40" x14ac:dyDescent="0.2">
      <c r="E997" s="31"/>
      <c r="F997" s="133"/>
      <c r="H997" s="31"/>
      <c r="I997" s="31"/>
      <c r="R997" s="32"/>
      <c r="S997" s="32"/>
      <c r="U997" s="33"/>
      <c r="V997" s="33"/>
      <c r="AD997" s="32"/>
    </row>
    <row r="998" spans="5:40" x14ac:dyDescent="0.2">
      <c r="E998" s="31"/>
      <c r="F998" s="133"/>
      <c r="H998" s="31"/>
      <c r="I998" s="31"/>
      <c r="R998" s="32"/>
      <c r="S998" s="32"/>
      <c r="U998" s="33"/>
      <c r="V998" s="33"/>
      <c r="AD998" s="32"/>
    </row>
    <row r="999" spans="5:40" x14ac:dyDescent="0.2">
      <c r="E999" s="31"/>
      <c r="F999" s="133"/>
      <c r="H999" s="31"/>
      <c r="I999" s="31"/>
      <c r="R999" s="32"/>
      <c r="S999" s="32"/>
      <c r="U999" s="33"/>
      <c r="V999" s="33"/>
      <c r="AD999" s="32"/>
    </row>
    <row r="1000" spans="5:40" x14ac:dyDescent="0.2">
      <c r="E1000" s="31"/>
      <c r="F1000" s="133"/>
      <c r="H1000" s="31"/>
      <c r="I1000" s="31"/>
      <c r="R1000" s="32"/>
      <c r="S1000" s="32"/>
      <c r="U1000" s="33"/>
      <c r="V1000" s="33"/>
      <c r="AD1000" s="32"/>
    </row>
    <row r="1001" spans="5:40" x14ac:dyDescent="0.2">
      <c r="E1001" s="31"/>
      <c r="F1001" s="133"/>
      <c r="H1001" s="31"/>
      <c r="I1001" s="31"/>
      <c r="R1001" s="32"/>
      <c r="S1001" s="32"/>
      <c r="U1001" s="33"/>
      <c r="V1001" s="33"/>
      <c r="AD1001" s="32"/>
    </row>
    <row r="1002" spans="5:40" x14ac:dyDescent="0.2">
      <c r="E1002" s="31"/>
      <c r="F1002" s="133"/>
      <c r="H1002" s="31"/>
      <c r="I1002" s="31"/>
      <c r="R1002" s="32"/>
      <c r="S1002" s="32"/>
      <c r="U1002" s="33"/>
      <c r="V1002" s="33"/>
      <c r="AD1002" s="32"/>
    </row>
    <row r="1003" spans="5:40" x14ac:dyDescent="0.2">
      <c r="E1003" s="31"/>
      <c r="F1003" s="133"/>
      <c r="H1003" s="31"/>
      <c r="I1003" s="31"/>
      <c r="R1003" s="32"/>
      <c r="S1003" s="32"/>
      <c r="U1003" s="33"/>
      <c r="V1003" s="33"/>
      <c r="AD1003" s="32"/>
    </row>
    <row r="1004" spans="5:40" x14ac:dyDescent="0.2">
      <c r="G1004" s="33"/>
      <c r="J1004" s="33"/>
      <c r="K1004" s="33"/>
      <c r="N1004" s="33"/>
      <c r="O1004" s="33"/>
      <c r="P1004" s="33"/>
      <c r="Q1004" s="33"/>
      <c r="T1004" s="33"/>
      <c r="U1004" s="33"/>
      <c r="V1004" s="33"/>
      <c r="AE1004" s="120"/>
      <c r="AF1004" s="33"/>
      <c r="AG1004" s="33"/>
      <c r="AH1004" s="33"/>
      <c r="AJ1004" s="33"/>
      <c r="AK1004" s="33"/>
      <c r="AL1004" s="33"/>
      <c r="AM1004" s="33"/>
      <c r="AN1004" s="33"/>
    </row>
    <row r="1005" spans="5:40" x14ac:dyDescent="0.2">
      <c r="E1005" s="31"/>
      <c r="F1005" s="133"/>
      <c r="H1005" s="31"/>
      <c r="I1005" s="31"/>
      <c r="R1005" s="32"/>
      <c r="S1005" s="32"/>
      <c r="U1005" s="33"/>
      <c r="V1005" s="33"/>
      <c r="AD1005" s="32"/>
    </row>
    <row r="1006" spans="5:40" x14ac:dyDescent="0.2">
      <c r="E1006" s="31"/>
      <c r="F1006" s="133"/>
      <c r="H1006" s="31"/>
      <c r="I1006" s="31"/>
      <c r="R1006" s="32"/>
      <c r="S1006" s="32"/>
      <c r="U1006" s="33"/>
      <c r="V1006" s="33"/>
      <c r="AD1006" s="32"/>
    </row>
    <row r="1007" spans="5:40" x14ac:dyDescent="0.2">
      <c r="E1007" s="31"/>
      <c r="F1007" s="133"/>
      <c r="H1007" s="31"/>
      <c r="I1007" s="31"/>
      <c r="R1007" s="32"/>
      <c r="S1007" s="32"/>
      <c r="U1007" s="33"/>
      <c r="V1007" s="33"/>
      <c r="AD1007" s="32"/>
    </row>
    <row r="1008" spans="5:40" x14ac:dyDescent="0.2">
      <c r="E1008" s="31"/>
      <c r="F1008" s="133"/>
      <c r="H1008" s="31"/>
      <c r="I1008" s="31"/>
      <c r="R1008" s="32"/>
      <c r="S1008" s="32"/>
      <c r="U1008" s="33"/>
      <c r="V1008" s="33"/>
      <c r="AD1008" s="32"/>
    </row>
    <row r="1009" spans="5:40" x14ac:dyDescent="0.2">
      <c r="E1009" s="31"/>
      <c r="F1009" s="133"/>
      <c r="H1009" s="31"/>
      <c r="I1009" s="31"/>
      <c r="R1009" s="32"/>
      <c r="S1009" s="32"/>
      <c r="U1009" s="33"/>
      <c r="V1009" s="33"/>
      <c r="AD1009" s="32"/>
    </row>
    <row r="1010" spans="5:40" x14ac:dyDescent="0.2">
      <c r="E1010" s="31"/>
      <c r="F1010" s="133"/>
      <c r="H1010" s="31"/>
      <c r="I1010" s="31"/>
      <c r="R1010" s="32"/>
      <c r="S1010" s="32"/>
      <c r="U1010" s="33"/>
      <c r="V1010" s="33"/>
      <c r="AD1010" s="32"/>
    </row>
    <row r="1011" spans="5:40" x14ac:dyDescent="0.2">
      <c r="E1011" s="31"/>
      <c r="F1011" s="133"/>
      <c r="H1011" s="31"/>
      <c r="I1011" s="31"/>
      <c r="R1011" s="32"/>
      <c r="S1011" s="32"/>
      <c r="U1011" s="33"/>
      <c r="V1011" s="33"/>
      <c r="AD1011" s="32"/>
    </row>
    <row r="1012" spans="5:40" x14ac:dyDescent="0.2">
      <c r="E1012" s="31"/>
      <c r="F1012" s="133"/>
      <c r="H1012" s="31"/>
      <c r="I1012" s="31"/>
      <c r="R1012" s="32"/>
      <c r="S1012" s="32"/>
      <c r="U1012" s="33"/>
      <c r="V1012" s="33"/>
      <c r="AD1012" s="32"/>
    </row>
    <row r="1013" spans="5:40" x14ac:dyDescent="0.2">
      <c r="E1013" s="31"/>
      <c r="F1013" s="133"/>
      <c r="H1013" s="31"/>
      <c r="I1013" s="31"/>
      <c r="R1013" s="32"/>
      <c r="S1013" s="32"/>
      <c r="U1013" s="33"/>
      <c r="V1013" s="33"/>
      <c r="AD1013" s="32"/>
    </row>
    <row r="1014" spans="5:40" x14ac:dyDescent="0.2">
      <c r="E1014" s="31"/>
      <c r="F1014" s="133"/>
      <c r="H1014" s="31"/>
      <c r="I1014" s="31"/>
      <c r="R1014" s="32"/>
      <c r="S1014" s="32"/>
      <c r="U1014" s="33"/>
      <c r="V1014" s="33"/>
      <c r="AD1014" s="32"/>
    </row>
    <row r="1015" spans="5:40" x14ac:dyDescent="0.2">
      <c r="E1015" s="31"/>
      <c r="F1015" s="133"/>
      <c r="H1015" s="31"/>
      <c r="I1015" s="31"/>
      <c r="R1015" s="32"/>
      <c r="S1015" s="32"/>
      <c r="U1015" s="33"/>
      <c r="V1015" s="33"/>
      <c r="AD1015" s="32"/>
    </row>
    <row r="1016" spans="5:40" x14ac:dyDescent="0.2">
      <c r="E1016" s="31"/>
      <c r="F1016" s="133"/>
      <c r="H1016" s="31"/>
      <c r="I1016" s="31"/>
      <c r="R1016" s="32"/>
      <c r="S1016" s="32"/>
      <c r="U1016" s="33"/>
      <c r="V1016" s="33"/>
      <c r="AD1016" s="32"/>
    </row>
    <row r="1017" spans="5:40" x14ac:dyDescent="0.2">
      <c r="E1017" s="31"/>
      <c r="F1017" s="133"/>
      <c r="H1017" s="31"/>
      <c r="I1017" s="31"/>
      <c r="R1017" s="32"/>
      <c r="S1017" s="32"/>
      <c r="U1017" s="33"/>
      <c r="V1017" s="33"/>
      <c r="AD1017" s="32"/>
    </row>
    <row r="1018" spans="5:40" x14ac:dyDescent="0.2">
      <c r="E1018" s="31"/>
      <c r="F1018" s="133"/>
      <c r="H1018" s="31"/>
      <c r="I1018" s="31"/>
      <c r="R1018" s="32"/>
      <c r="S1018" s="32"/>
      <c r="U1018" s="33"/>
      <c r="V1018" s="33"/>
      <c r="AD1018" s="32"/>
    </row>
    <row r="1019" spans="5:40" x14ac:dyDescent="0.2">
      <c r="E1019" s="31"/>
      <c r="F1019" s="133"/>
      <c r="H1019" s="31"/>
      <c r="I1019" s="31"/>
      <c r="R1019" s="32"/>
      <c r="S1019" s="32"/>
      <c r="U1019" s="33"/>
      <c r="V1019" s="33"/>
      <c r="AD1019" s="32"/>
    </row>
    <row r="1020" spans="5:40" x14ac:dyDescent="0.2">
      <c r="E1020" s="31"/>
      <c r="F1020" s="133"/>
      <c r="G1020" s="32"/>
      <c r="H1020" s="31"/>
      <c r="I1020" s="31"/>
      <c r="J1020" s="32"/>
      <c r="K1020" s="32"/>
      <c r="N1020" s="32"/>
      <c r="O1020" s="32"/>
      <c r="P1020" s="32"/>
      <c r="Q1020" s="32"/>
      <c r="R1020" s="32"/>
      <c r="S1020" s="32"/>
      <c r="T1020" s="32"/>
      <c r="U1020" s="32"/>
      <c r="V1020" s="32"/>
      <c r="AD1020" s="32"/>
      <c r="AE1020" s="119"/>
      <c r="AF1020" s="32"/>
      <c r="AG1020" s="32"/>
      <c r="AH1020" s="32"/>
      <c r="AJ1020" s="32"/>
      <c r="AK1020" s="32"/>
      <c r="AL1020" s="32"/>
      <c r="AM1020" s="32"/>
      <c r="AN1020" s="32"/>
    </row>
    <row r="1021" spans="5:40" x14ac:dyDescent="0.2">
      <c r="E1021" s="31"/>
      <c r="F1021" s="133"/>
      <c r="H1021" s="31"/>
      <c r="I1021" s="31"/>
      <c r="R1021" s="32"/>
      <c r="S1021" s="32"/>
      <c r="U1021" s="33"/>
      <c r="V1021" s="33"/>
      <c r="AD1021" s="32"/>
    </row>
    <row r="1022" spans="5:40" x14ac:dyDescent="0.2">
      <c r="E1022" s="31"/>
      <c r="F1022" s="133"/>
      <c r="H1022" s="31"/>
      <c r="I1022" s="31"/>
      <c r="R1022" s="32"/>
      <c r="S1022" s="32"/>
      <c r="U1022" s="33"/>
      <c r="V1022" s="33"/>
      <c r="AD1022" s="32"/>
    </row>
    <row r="1023" spans="5:40" x14ac:dyDescent="0.2">
      <c r="E1023" s="31"/>
      <c r="F1023" s="133"/>
      <c r="H1023" s="31"/>
      <c r="I1023" s="31"/>
      <c r="R1023" s="32"/>
      <c r="S1023" s="32"/>
      <c r="U1023" s="33"/>
      <c r="V1023" s="33"/>
      <c r="AD1023" s="32"/>
    </row>
    <row r="1024" spans="5:40" x14ac:dyDescent="0.2">
      <c r="E1024" s="31"/>
      <c r="F1024" s="133"/>
      <c r="H1024" s="31"/>
      <c r="I1024" s="31"/>
      <c r="R1024" s="32"/>
      <c r="S1024" s="32"/>
      <c r="U1024" s="33"/>
      <c r="V1024" s="33"/>
      <c r="AD1024" s="32"/>
    </row>
    <row r="1025" spans="5:30" x14ac:dyDescent="0.2">
      <c r="E1025" s="31"/>
      <c r="F1025" s="133"/>
      <c r="H1025" s="31"/>
      <c r="I1025" s="31"/>
      <c r="R1025" s="32"/>
      <c r="S1025" s="32"/>
      <c r="U1025" s="33"/>
      <c r="V1025" s="33"/>
      <c r="AD1025" s="32"/>
    </row>
    <row r="1026" spans="5:30" x14ac:dyDescent="0.2">
      <c r="E1026" s="31"/>
      <c r="F1026" s="133"/>
      <c r="H1026" s="31"/>
      <c r="I1026" s="31"/>
      <c r="R1026" s="32"/>
      <c r="S1026" s="32"/>
      <c r="U1026" s="33"/>
      <c r="V1026" s="33"/>
      <c r="AD1026" s="32"/>
    </row>
    <row r="1027" spans="5:30" x14ac:dyDescent="0.2">
      <c r="E1027" s="31"/>
      <c r="F1027" s="133"/>
      <c r="H1027" s="31"/>
      <c r="I1027" s="31"/>
      <c r="R1027" s="32"/>
      <c r="S1027" s="32"/>
      <c r="U1027" s="33"/>
      <c r="V1027" s="33"/>
      <c r="AD1027" s="32"/>
    </row>
    <row r="1028" spans="5:30" x14ac:dyDescent="0.2">
      <c r="E1028" s="31"/>
      <c r="F1028" s="133"/>
      <c r="H1028" s="31"/>
      <c r="I1028" s="31"/>
      <c r="R1028" s="32"/>
      <c r="S1028" s="32"/>
      <c r="U1028" s="33"/>
      <c r="V1028" s="33"/>
      <c r="AD1028" s="32"/>
    </row>
    <row r="1029" spans="5:30" x14ac:dyDescent="0.2">
      <c r="E1029" s="31"/>
      <c r="F1029" s="133"/>
      <c r="H1029" s="31"/>
      <c r="I1029" s="31"/>
      <c r="R1029" s="32"/>
      <c r="S1029" s="32"/>
      <c r="U1029" s="33"/>
      <c r="V1029" s="33"/>
      <c r="AD1029" s="32"/>
    </row>
    <row r="1030" spans="5:30" x14ac:dyDescent="0.2">
      <c r="E1030" s="31"/>
      <c r="F1030" s="133"/>
      <c r="H1030" s="31"/>
      <c r="I1030" s="31"/>
      <c r="R1030" s="32"/>
      <c r="S1030" s="32"/>
      <c r="U1030" s="33"/>
      <c r="V1030" s="33"/>
      <c r="AD1030" s="32"/>
    </row>
    <row r="1031" spans="5:30" x14ac:dyDescent="0.2">
      <c r="E1031" s="31"/>
      <c r="F1031" s="133"/>
      <c r="H1031" s="31"/>
      <c r="I1031" s="31"/>
      <c r="R1031" s="32"/>
      <c r="S1031" s="32"/>
      <c r="U1031" s="33"/>
      <c r="V1031" s="33"/>
      <c r="AD1031" s="32"/>
    </row>
    <row r="1032" spans="5:30" x14ac:dyDescent="0.2">
      <c r="E1032" s="31"/>
      <c r="F1032" s="133"/>
      <c r="H1032" s="31"/>
      <c r="I1032" s="31"/>
      <c r="R1032" s="32"/>
      <c r="S1032" s="32"/>
      <c r="U1032" s="33"/>
      <c r="V1032" s="33"/>
      <c r="AD1032" s="32"/>
    </row>
    <row r="1033" spans="5:30" x14ac:dyDescent="0.2">
      <c r="E1033" s="31"/>
      <c r="F1033" s="133"/>
      <c r="H1033" s="31"/>
      <c r="I1033" s="31"/>
      <c r="R1033" s="32"/>
      <c r="S1033" s="32"/>
      <c r="U1033" s="33"/>
      <c r="V1033" s="33"/>
      <c r="AD1033" s="32"/>
    </row>
    <row r="1034" spans="5:30" x14ac:dyDescent="0.2">
      <c r="E1034" s="31"/>
      <c r="F1034" s="133"/>
      <c r="H1034" s="31"/>
      <c r="I1034" s="31"/>
      <c r="R1034" s="32"/>
      <c r="S1034" s="32"/>
      <c r="U1034" s="33"/>
      <c r="V1034" s="33"/>
      <c r="AD1034" s="32"/>
    </row>
    <row r="1035" spans="5:30" x14ac:dyDescent="0.2">
      <c r="E1035" s="31"/>
      <c r="F1035" s="133"/>
      <c r="H1035" s="31"/>
      <c r="I1035" s="31"/>
      <c r="R1035" s="32"/>
      <c r="S1035" s="32"/>
      <c r="U1035" s="33"/>
      <c r="V1035" s="33"/>
      <c r="AD1035" s="32"/>
    </row>
    <row r="1036" spans="5:30" x14ac:dyDescent="0.2">
      <c r="E1036" s="31"/>
      <c r="F1036" s="133"/>
      <c r="H1036" s="31"/>
      <c r="I1036" s="31"/>
      <c r="R1036" s="32"/>
      <c r="S1036" s="32"/>
      <c r="U1036" s="33"/>
      <c r="V1036" s="33"/>
      <c r="AD1036" s="32"/>
    </row>
    <row r="1037" spans="5:30" x14ac:dyDescent="0.2">
      <c r="E1037" s="31"/>
      <c r="F1037" s="133"/>
      <c r="H1037" s="31"/>
      <c r="I1037" s="31"/>
      <c r="R1037" s="32"/>
      <c r="S1037" s="32"/>
      <c r="U1037" s="33"/>
      <c r="V1037" s="33"/>
      <c r="AD1037" s="32"/>
    </row>
    <row r="1038" spans="5:30" x14ac:dyDescent="0.2">
      <c r="E1038" s="31"/>
      <c r="F1038" s="133"/>
      <c r="H1038" s="31"/>
      <c r="I1038" s="31"/>
      <c r="R1038" s="32"/>
      <c r="S1038" s="32"/>
      <c r="U1038" s="33"/>
      <c r="V1038" s="33"/>
      <c r="AD1038" s="32"/>
    </row>
    <row r="1039" spans="5:30" x14ac:dyDescent="0.2">
      <c r="E1039" s="31"/>
      <c r="F1039" s="133"/>
      <c r="H1039" s="31"/>
      <c r="I1039" s="31"/>
      <c r="R1039" s="32"/>
      <c r="S1039" s="32"/>
      <c r="U1039" s="33"/>
      <c r="V1039" s="33"/>
      <c r="AD1039" s="32"/>
    </row>
    <row r="1040" spans="5:30" x14ac:dyDescent="0.2">
      <c r="E1040" s="31"/>
      <c r="F1040" s="133"/>
      <c r="H1040" s="31"/>
      <c r="I1040" s="31"/>
      <c r="R1040" s="32"/>
      <c r="S1040" s="32"/>
      <c r="U1040" s="33"/>
      <c r="V1040" s="33"/>
      <c r="AD1040" s="32"/>
    </row>
    <row r="1041" spans="5:30" x14ac:dyDescent="0.2">
      <c r="E1041" s="31"/>
      <c r="F1041" s="133"/>
      <c r="H1041" s="31"/>
      <c r="I1041" s="31"/>
      <c r="R1041" s="32"/>
      <c r="S1041" s="32"/>
      <c r="U1041" s="33"/>
      <c r="V1041" s="33"/>
      <c r="AD1041" s="32"/>
    </row>
    <row r="1042" spans="5:30" x14ac:dyDescent="0.2">
      <c r="E1042" s="31"/>
      <c r="F1042" s="133"/>
      <c r="H1042" s="31"/>
      <c r="I1042" s="31"/>
      <c r="R1042" s="32"/>
      <c r="S1042" s="32"/>
      <c r="U1042" s="33"/>
      <c r="V1042" s="33"/>
      <c r="AD1042" s="32"/>
    </row>
    <row r="1043" spans="5:30" x14ac:dyDescent="0.2">
      <c r="E1043" s="31"/>
      <c r="F1043" s="133"/>
      <c r="H1043" s="31"/>
      <c r="I1043" s="31"/>
      <c r="R1043" s="32"/>
      <c r="S1043" s="32"/>
      <c r="U1043" s="33"/>
      <c r="V1043" s="33"/>
      <c r="AD1043" s="32"/>
    </row>
    <row r="1044" spans="5:30" x14ac:dyDescent="0.2">
      <c r="E1044" s="31"/>
      <c r="F1044" s="133"/>
      <c r="H1044" s="31"/>
      <c r="I1044" s="31"/>
      <c r="R1044" s="32"/>
      <c r="S1044" s="32"/>
      <c r="U1044" s="33"/>
      <c r="V1044" s="33"/>
      <c r="AD1044" s="32"/>
    </row>
    <row r="1045" spans="5:30" x14ac:dyDescent="0.2">
      <c r="E1045" s="31"/>
      <c r="F1045" s="133"/>
      <c r="H1045" s="31"/>
      <c r="I1045" s="31"/>
      <c r="R1045" s="32"/>
      <c r="S1045" s="32"/>
      <c r="U1045" s="33"/>
      <c r="V1045" s="33"/>
      <c r="AD1045" s="32"/>
    </row>
    <row r="1046" spans="5:30" x14ac:dyDescent="0.2">
      <c r="E1046" s="31"/>
      <c r="F1046" s="133"/>
      <c r="H1046" s="31"/>
      <c r="I1046" s="31"/>
      <c r="R1046" s="32"/>
      <c r="S1046" s="32"/>
      <c r="U1046" s="33"/>
      <c r="V1046" s="33"/>
      <c r="AD1046" s="32"/>
    </row>
    <row r="1047" spans="5:30" x14ac:dyDescent="0.2">
      <c r="E1047" s="31"/>
      <c r="F1047" s="133"/>
      <c r="H1047" s="31"/>
      <c r="I1047" s="31"/>
      <c r="R1047" s="32"/>
      <c r="S1047" s="32"/>
      <c r="U1047" s="33"/>
      <c r="V1047" s="33"/>
      <c r="AD1047" s="32"/>
    </row>
    <row r="1048" spans="5:30" x14ac:dyDescent="0.2">
      <c r="E1048" s="31"/>
      <c r="F1048" s="133"/>
      <c r="H1048" s="31"/>
      <c r="I1048" s="31"/>
      <c r="R1048" s="32"/>
      <c r="S1048" s="32"/>
      <c r="U1048" s="33"/>
      <c r="V1048" s="33"/>
      <c r="AD1048" s="32"/>
    </row>
    <row r="1049" spans="5:30" x14ac:dyDescent="0.2">
      <c r="E1049" s="31"/>
      <c r="F1049" s="133"/>
      <c r="H1049" s="31"/>
      <c r="I1049" s="31"/>
      <c r="R1049" s="32"/>
      <c r="S1049" s="32"/>
      <c r="U1049" s="33"/>
      <c r="V1049" s="33"/>
      <c r="AD1049" s="32"/>
    </row>
    <row r="1050" spans="5:30" x14ac:dyDescent="0.2">
      <c r="E1050" s="31"/>
      <c r="F1050" s="133"/>
      <c r="H1050" s="31"/>
      <c r="I1050" s="31"/>
      <c r="R1050" s="32"/>
      <c r="S1050" s="32"/>
      <c r="U1050" s="33"/>
      <c r="V1050" s="33"/>
      <c r="AD1050" s="32"/>
    </row>
    <row r="1051" spans="5:30" x14ac:dyDescent="0.2">
      <c r="E1051" s="31"/>
      <c r="F1051" s="133"/>
      <c r="H1051" s="31"/>
      <c r="I1051" s="31"/>
      <c r="R1051" s="32"/>
      <c r="S1051" s="32"/>
      <c r="U1051" s="33"/>
      <c r="V1051" s="33"/>
      <c r="AD1051" s="32"/>
    </row>
    <row r="1052" spans="5:30" x14ac:dyDescent="0.2">
      <c r="E1052" s="31"/>
      <c r="F1052" s="133"/>
      <c r="I1052" s="31"/>
      <c r="S1052" s="32"/>
      <c r="U1052" s="33"/>
      <c r="V1052" s="33"/>
      <c r="AD1052" s="32"/>
    </row>
    <row r="1053" spans="5:30" x14ac:dyDescent="0.2">
      <c r="E1053" s="31"/>
      <c r="F1053" s="133"/>
      <c r="I1053" s="31"/>
      <c r="S1053" s="32"/>
      <c r="U1053" s="33"/>
      <c r="V1053" s="33"/>
      <c r="AD1053" s="32"/>
    </row>
    <row r="1054" spans="5:30" x14ac:dyDescent="0.2">
      <c r="E1054" s="31"/>
      <c r="F1054" s="133"/>
      <c r="I1054" s="31"/>
      <c r="S1054" s="32"/>
      <c r="U1054" s="33"/>
      <c r="V1054" s="33"/>
      <c r="AD1054" s="32"/>
    </row>
    <row r="1055" spans="5:30" x14ac:dyDescent="0.2">
      <c r="E1055" s="31"/>
      <c r="F1055" s="133"/>
      <c r="I1055" s="31"/>
      <c r="S1055" s="32"/>
      <c r="U1055" s="33"/>
      <c r="V1055" s="33"/>
      <c r="AD1055" s="32"/>
    </row>
    <row r="1056" spans="5:30" x14ac:dyDescent="0.2">
      <c r="E1056" s="31"/>
      <c r="F1056" s="133"/>
      <c r="I1056" s="31"/>
      <c r="S1056" s="32"/>
      <c r="U1056" s="33"/>
      <c r="V1056" s="33"/>
      <c r="AD1056" s="32"/>
    </row>
    <row r="1057" spans="5:30" x14ac:dyDescent="0.2">
      <c r="E1057" s="31"/>
      <c r="F1057" s="133"/>
      <c r="H1057" s="31"/>
      <c r="I1057" s="31"/>
      <c r="R1057" s="32"/>
      <c r="S1057" s="32"/>
      <c r="U1057" s="33"/>
      <c r="V1057" s="33"/>
      <c r="AD1057" s="32"/>
    </row>
    <row r="1058" spans="5:30" x14ac:dyDescent="0.2">
      <c r="E1058" s="31"/>
      <c r="F1058" s="133"/>
      <c r="H1058" s="31"/>
      <c r="I1058" s="31"/>
      <c r="R1058" s="32"/>
      <c r="S1058" s="32"/>
      <c r="U1058" s="33"/>
      <c r="V1058" s="33"/>
      <c r="AD1058" s="32"/>
    </row>
    <row r="1059" spans="5:30" x14ac:dyDescent="0.2">
      <c r="E1059" s="31"/>
      <c r="F1059" s="133"/>
      <c r="H1059" s="31"/>
      <c r="I1059" s="31"/>
      <c r="R1059" s="32"/>
      <c r="S1059" s="32"/>
      <c r="U1059" s="33"/>
      <c r="V1059" s="33"/>
      <c r="AD1059" s="32"/>
    </row>
    <row r="1060" spans="5:30" x14ac:dyDescent="0.2">
      <c r="E1060" s="31"/>
      <c r="F1060" s="133"/>
      <c r="H1060" s="31"/>
      <c r="I1060" s="31"/>
      <c r="R1060" s="32"/>
      <c r="S1060" s="32"/>
      <c r="U1060" s="33"/>
      <c r="V1060" s="33"/>
      <c r="AD1060" s="32"/>
    </row>
    <row r="1061" spans="5:30" x14ac:dyDescent="0.2">
      <c r="E1061" s="31"/>
      <c r="F1061" s="133"/>
      <c r="H1061" s="31"/>
      <c r="I1061" s="31"/>
      <c r="R1061" s="32"/>
      <c r="S1061" s="32"/>
      <c r="U1061" s="33"/>
      <c r="V1061" s="33"/>
      <c r="AD1061" s="32"/>
    </row>
    <row r="1062" spans="5:30" x14ac:dyDescent="0.2">
      <c r="E1062" s="31"/>
      <c r="F1062" s="133"/>
      <c r="H1062" s="31"/>
      <c r="I1062" s="31"/>
      <c r="R1062" s="32"/>
      <c r="S1062" s="32"/>
      <c r="U1062" s="33"/>
      <c r="V1062" s="33"/>
      <c r="AD1062" s="32"/>
    </row>
    <row r="1063" spans="5:30" x14ac:dyDescent="0.2">
      <c r="E1063" s="31"/>
      <c r="F1063" s="133"/>
      <c r="H1063" s="31"/>
      <c r="I1063" s="31"/>
      <c r="R1063" s="32"/>
      <c r="S1063" s="32"/>
      <c r="U1063" s="33"/>
      <c r="V1063" s="33"/>
      <c r="AD1063" s="32"/>
    </row>
    <row r="1064" spans="5:30" x14ac:dyDescent="0.2">
      <c r="E1064" s="31"/>
      <c r="F1064" s="133"/>
      <c r="H1064" s="31"/>
      <c r="I1064" s="31"/>
      <c r="R1064" s="32"/>
      <c r="S1064" s="32"/>
      <c r="U1064" s="33"/>
      <c r="V1064" s="33"/>
      <c r="AD1064" s="32"/>
    </row>
    <row r="1065" spans="5:30" x14ac:dyDescent="0.2">
      <c r="E1065" s="31"/>
      <c r="F1065" s="133"/>
      <c r="H1065" s="31"/>
      <c r="I1065" s="31"/>
      <c r="R1065" s="32"/>
      <c r="S1065" s="32"/>
      <c r="U1065" s="33"/>
      <c r="V1065" s="33"/>
      <c r="AD1065" s="32"/>
    </row>
    <row r="1066" spans="5:30" x14ac:dyDescent="0.2">
      <c r="E1066" s="31"/>
      <c r="F1066" s="133"/>
      <c r="H1066" s="31"/>
      <c r="I1066" s="31"/>
      <c r="R1066" s="32"/>
      <c r="S1066" s="32"/>
      <c r="U1066" s="33"/>
      <c r="V1066" s="33"/>
      <c r="AD1066" s="32"/>
    </row>
    <row r="1067" spans="5:30" x14ac:dyDescent="0.2">
      <c r="E1067" s="31"/>
      <c r="F1067" s="133"/>
      <c r="H1067" s="31"/>
      <c r="I1067" s="31"/>
      <c r="R1067" s="32"/>
      <c r="S1067" s="32"/>
      <c r="U1067" s="33"/>
      <c r="V1067" s="33"/>
      <c r="AD1067" s="32"/>
    </row>
    <row r="1068" spans="5:30" x14ac:dyDescent="0.2">
      <c r="E1068" s="31"/>
      <c r="F1068" s="133"/>
      <c r="H1068" s="31"/>
      <c r="I1068" s="31"/>
      <c r="R1068" s="32"/>
      <c r="S1068" s="32"/>
      <c r="U1068" s="33"/>
      <c r="V1068" s="33"/>
      <c r="AD1068" s="32"/>
    </row>
    <row r="1069" spans="5:30" x14ac:dyDescent="0.2">
      <c r="E1069" s="31"/>
      <c r="F1069" s="133"/>
      <c r="H1069" s="31"/>
      <c r="I1069" s="31"/>
      <c r="R1069" s="32"/>
      <c r="S1069" s="32"/>
      <c r="U1069" s="33"/>
      <c r="V1069" s="33"/>
      <c r="AD1069" s="32"/>
    </row>
    <row r="1070" spans="5:30" x14ac:dyDescent="0.2">
      <c r="E1070" s="31"/>
      <c r="F1070" s="133"/>
      <c r="H1070" s="31"/>
      <c r="I1070" s="31"/>
      <c r="R1070" s="32"/>
      <c r="S1070" s="32"/>
      <c r="U1070" s="33"/>
      <c r="V1070" s="33"/>
      <c r="AD1070" s="32"/>
    </row>
    <row r="1071" spans="5:30" x14ac:dyDescent="0.2">
      <c r="E1071" s="31"/>
      <c r="F1071" s="133"/>
      <c r="H1071" s="31"/>
      <c r="I1071" s="31"/>
      <c r="R1071" s="32"/>
      <c r="S1071" s="32"/>
      <c r="U1071" s="33"/>
      <c r="V1071" s="33"/>
      <c r="AD1071" s="32"/>
    </row>
    <row r="1072" spans="5:30" x14ac:dyDescent="0.2">
      <c r="E1072" s="31"/>
      <c r="F1072" s="133"/>
      <c r="H1072" s="31"/>
      <c r="I1072" s="31"/>
      <c r="R1072" s="32"/>
      <c r="S1072" s="32"/>
      <c r="U1072" s="33"/>
      <c r="V1072" s="33"/>
      <c r="AD1072" s="32"/>
    </row>
    <row r="1073" spans="5:40" x14ac:dyDescent="0.2">
      <c r="E1073" s="31"/>
      <c r="F1073" s="133"/>
      <c r="H1073" s="31"/>
      <c r="I1073" s="31"/>
      <c r="R1073" s="32"/>
      <c r="S1073" s="32"/>
      <c r="U1073" s="33"/>
      <c r="V1073" s="33"/>
      <c r="AD1073" s="32"/>
    </row>
    <row r="1074" spans="5:40" x14ac:dyDescent="0.2">
      <c r="E1074" s="31"/>
      <c r="F1074" s="133"/>
      <c r="H1074" s="31"/>
      <c r="I1074" s="31"/>
      <c r="R1074" s="32"/>
      <c r="S1074" s="32"/>
      <c r="U1074" s="33"/>
      <c r="V1074" s="33"/>
      <c r="AD1074" s="32"/>
    </row>
    <row r="1075" spans="5:40" x14ac:dyDescent="0.2">
      <c r="E1075" s="31"/>
      <c r="F1075" s="133"/>
      <c r="H1075" s="31"/>
      <c r="I1075" s="31"/>
      <c r="R1075" s="32"/>
      <c r="S1075" s="32"/>
      <c r="U1075" s="33"/>
      <c r="V1075" s="33"/>
      <c r="AD1075" s="32"/>
    </row>
    <row r="1076" spans="5:40" x14ac:dyDescent="0.2">
      <c r="E1076" s="31"/>
      <c r="F1076" s="133"/>
      <c r="H1076" s="31"/>
      <c r="I1076" s="31"/>
      <c r="R1076" s="32"/>
      <c r="S1076" s="32"/>
      <c r="U1076" s="33"/>
      <c r="V1076" s="33"/>
      <c r="AD1076" s="32"/>
    </row>
    <row r="1077" spans="5:40" x14ac:dyDescent="0.2">
      <c r="E1077" s="31"/>
      <c r="F1077" s="133"/>
      <c r="H1077" s="31"/>
      <c r="I1077" s="31"/>
      <c r="R1077" s="32"/>
      <c r="S1077" s="32"/>
      <c r="U1077" s="33"/>
      <c r="V1077" s="33"/>
      <c r="AD1077" s="32"/>
    </row>
    <row r="1078" spans="5:40" x14ac:dyDescent="0.2">
      <c r="E1078" s="31"/>
      <c r="F1078" s="133"/>
      <c r="H1078" s="31"/>
      <c r="I1078" s="31"/>
      <c r="R1078" s="32"/>
      <c r="S1078" s="32"/>
      <c r="U1078" s="33"/>
      <c r="V1078" s="33"/>
      <c r="AD1078" s="32"/>
    </row>
    <row r="1079" spans="5:40" x14ac:dyDescent="0.2">
      <c r="E1079" s="31"/>
      <c r="F1079" s="133"/>
      <c r="H1079" s="31"/>
      <c r="I1079" s="31"/>
      <c r="R1079" s="32"/>
      <c r="S1079" s="32"/>
      <c r="U1079" s="33"/>
      <c r="V1079" s="33"/>
      <c r="AD1079" s="32"/>
    </row>
    <row r="1080" spans="5:40" x14ac:dyDescent="0.2">
      <c r="E1080" s="31"/>
      <c r="F1080" s="133"/>
      <c r="G1080" s="32"/>
      <c r="H1080" s="31"/>
      <c r="I1080" s="31"/>
      <c r="J1080" s="32"/>
      <c r="K1080" s="32"/>
      <c r="N1080" s="32"/>
      <c r="O1080" s="32"/>
      <c r="P1080" s="32"/>
      <c r="Q1080" s="32"/>
      <c r="R1080" s="32"/>
      <c r="S1080" s="32"/>
      <c r="T1080" s="32"/>
      <c r="U1080" s="32"/>
      <c r="V1080" s="32"/>
      <c r="AD1080" s="32"/>
      <c r="AE1080" s="119"/>
      <c r="AF1080" s="32"/>
      <c r="AG1080" s="32"/>
      <c r="AH1080" s="32"/>
      <c r="AJ1080" s="32"/>
      <c r="AK1080" s="32"/>
      <c r="AL1080" s="32"/>
      <c r="AM1080" s="32"/>
      <c r="AN1080" s="32"/>
    </row>
    <row r="1081" spans="5:40" x14ac:dyDescent="0.2">
      <c r="R1081" s="3"/>
      <c r="S1081" s="3"/>
      <c r="AD1081" s="3"/>
    </row>
    <row r="1082" spans="5:40" x14ac:dyDescent="0.2">
      <c r="U1082" s="33"/>
      <c r="V1082" s="33"/>
    </row>
    <row r="1083" spans="5:40" x14ac:dyDescent="0.2">
      <c r="U1083" s="33"/>
      <c r="V1083" s="33"/>
    </row>
    <row r="1084" spans="5:40" x14ac:dyDescent="0.2">
      <c r="U1084" s="33"/>
      <c r="V1084" s="33"/>
    </row>
    <row r="1085" spans="5:40" x14ac:dyDescent="0.2">
      <c r="U1085" s="33"/>
      <c r="V1085" s="33"/>
    </row>
    <row r="1086" spans="5:40" x14ac:dyDescent="0.2">
      <c r="U1086" s="33"/>
      <c r="V1086" s="33"/>
    </row>
    <row r="1087" spans="5:40" x14ac:dyDescent="0.2">
      <c r="U1087" s="33"/>
      <c r="V1087" s="33"/>
    </row>
    <row r="1088" spans="5:40" x14ac:dyDescent="0.2">
      <c r="U1088" s="33"/>
      <c r="V1088" s="33"/>
    </row>
    <row r="1089" spans="21:22" x14ac:dyDescent="0.2">
      <c r="U1089" s="33"/>
      <c r="V1089" s="33"/>
    </row>
    <row r="1090" spans="21:22" x14ac:dyDescent="0.2">
      <c r="U1090" s="33"/>
      <c r="V1090" s="33"/>
    </row>
    <row r="1091" spans="21:22" x14ac:dyDescent="0.2">
      <c r="U1091" s="33"/>
      <c r="V1091" s="33"/>
    </row>
    <row r="1092" spans="21:22" x14ac:dyDescent="0.2">
      <c r="U1092" s="33"/>
      <c r="V1092" s="33"/>
    </row>
    <row r="1093" spans="21:22" x14ac:dyDescent="0.2">
      <c r="U1093" s="33"/>
      <c r="V1093" s="33"/>
    </row>
    <row r="1094" spans="21:22" x14ac:dyDescent="0.2">
      <c r="U1094" s="33"/>
      <c r="V1094" s="33"/>
    </row>
    <row r="1095" spans="21:22" x14ac:dyDescent="0.2">
      <c r="U1095" s="33"/>
      <c r="V1095" s="33"/>
    </row>
    <row r="1096" spans="21:22" x14ac:dyDescent="0.2">
      <c r="U1096" s="33"/>
      <c r="V1096" s="33"/>
    </row>
    <row r="1097" spans="21:22" x14ac:dyDescent="0.2">
      <c r="U1097" s="33"/>
      <c r="V1097" s="33"/>
    </row>
    <row r="1098" spans="21:22" x14ac:dyDescent="0.2">
      <c r="U1098" s="33"/>
      <c r="V1098" s="33"/>
    </row>
    <row r="1099" spans="21:22" x14ac:dyDescent="0.2">
      <c r="U1099" s="33"/>
      <c r="V1099" s="33"/>
    </row>
    <row r="1100" spans="21:22" x14ac:dyDescent="0.2">
      <c r="U1100" s="33"/>
      <c r="V1100" s="33"/>
    </row>
    <row r="1101" spans="21:22" x14ac:dyDescent="0.2">
      <c r="U1101" s="33"/>
      <c r="V1101" s="33"/>
    </row>
    <row r="1102" spans="21:22" x14ac:dyDescent="0.2">
      <c r="U1102" s="33"/>
      <c r="V1102" s="33"/>
    </row>
    <row r="1103" spans="21:22" x14ac:dyDescent="0.2">
      <c r="U1103" s="33"/>
      <c r="V1103" s="33"/>
    </row>
    <row r="1104" spans="21:22" x14ac:dyDescent="0.2">
      <c r="U1104" s="33"/>
      <c r="V1104" s="33"/>
    </row>
    <row r="1105" spans="21:22" x14ac:dyDescent="0.2">
      <c r="U1105" s="33"/>
      <c r="V1105" s="33"/>
    </row>
    <row r="1106" spans="21:22" x14ac:dyDescent="0.2">
      <c r="U1106" s="33"/>
      <c r="V1106" s="33"/>
    </row>
    <row r="1107" spans="21:22" x14ac:dyDescent="0.2">
      <c r="U1107" s="33"/>
      <c r="V1107" s="33"/>
    </row>
    <row r="1108" spans="21:22" x14ac:dyDescent="0.2">
      <c r="U1108" s="33"/>
      <c r="V1108" s="33"/>
    </row>
    <row r="1109" spans="21:22" x14ac:dyDescent="0.2">
      <c r="U1109" s="33"/>
      <c r="V1109" s="33"/>
    </row>
    <row r="1110" spans="21:22" x14ac:dyDescent="0.2">
      <c r="U1110" s="33"/>
      <c r="V1110" s="33"/>
    </row>
    <row r="1111" spans="21:22" x14ac:dyDescent="0.2">
      <c r="U1111" s="33"/>
      <c r="V1111" s="33"/>
    </row>
    <row r="1112" spans="21:22" x14ac:dyDescent="0.2">
      <c r="U1112" s="33"/>
      <c r="V1112" s="33"/>
    </row>
    <row r="1113" spans="21:22" x14ac:dyDescent="0.2">
      <c r="U1113" s="33"/>
      <c r="V1113" s="33"/>
    </row>
    <row r="1114" spans="21:22" x14ac:dyDescent="0.2">
      <c r="U1114" s="33"/>
      <c r="V1114" s="33"/>
    </row>
    <row r="1115" spans="21:22" x14ac:dyDescent="0.2">
      <c r="U1115" s="33"/>
      <c r="V1115" s="33"/>
    </row>
    <row r="1116" spans="21:22" x14ac:dyDescent="0.2">
      <c r="U1116" s="33"/>
      <c r="V1116" s="33"/>
    </row>
    <row r="1117" spans="21:22" x14ac:dyDescent="0.2">
      <c r="U1117" s="33"/>
      <c r="V1117" s="33"/>
    </row>
    <row r="1118" spans="21:22" x14ac:dyDescent="0.2">
      <c r="U1118" s="33"/>
      <c r="V1118" s="33"/>
    </row>
    <row r="1119" spans="21:22" x14ac:dyDescent="0.2">
      <c r="U1119" s="33"/>
      <c r="V1119" s="33"/>
    </row>
    <row r="1120" spans="21:22" x14ac:dyDescent="0.2">
      <c r="U1120" s="33"/>
      <c r="V1120" s="33"/>
    </row>
    <row r="1121" spans="21:22" x14ac:dyDescent="0.2">
      <c r="U1121" s="33"/>
      <c r="V1121" s="33"/>
    </row>
    <row r="1122" spans="21:22" x14ac:dyDescent="0.2">
      <c r="U1122" s="33"/>
      <c r="V1122" s="33"/>
    </row>
    <row r="1123" spans="21:22" x14ac:dyDescent="0.2">
      <c r="U1123" s="33"/>
      <c r="V1123" s="33"/>
    </row>
    <row r="1124" spans="21:22" x14ac:dyDescent="0.2">
      <c r="U1124" s="33"/>
      <c r="V1124" s="33"/>
    </row>
    <row r="1125" spans="21:22" x14ac:dyDescent="0.2">
      <c r="U1125" s="33"/>
      <c r="V1125" s="33"/>
    </row>
    <row r="1126" spans="21:22" x14ac:dyDescent="0.2">
      <c r="U1126" s="33"/>
      <c r="V1126" s="33"/>
    </row>
    <row r="1127" spans="21:22" x14ac:dyDescent="0.2">
      <c r="U1127" s="33"/>
      <c r="V1127" s="33"/>
    </row>
    <row r="1128" spans="21:22" x14ac:dyDescent="0.2">
      <c r="U1128" s="33"/>
      <c r="V1128" s="33"/>
    </row>
    <row r="1129" spans="21:22" x14ac:dyDescent="0.2">
      <c r="U1129" s="33"/>
      <c r="V1129" s="33"/>
    </row>
    <row r="1130" spans="21:22" x14ac:dyDescent="0.2">
      <c r="U1130" s="33"/>
      <c r="V1130" s="33"/>
    </row>
    <row r="1131" spans="21:22" x14ac:dyDescent="0.2">
      <c r="U1131" s="33"/>
      <c r="V1131" s="33"/>
    </row>
    <row r="1132" spans="21:22" x14ac:dyDescent="0.2">
      <c r="U1132" s="33"/>
      <c r="V1132" s="33"/>
    </row>
    <row r="1133" spans="21:22" x14ac:dyDescent="0.2">
      <c r="U1133" s="33"/>
      <c r="V1133" s="33"/>
    </row>
    <row r="1134" spans="21:22" x14ac:dyDescent="0.2">
      <c r="U1134" s="33"/>
      <c r="V1134" s="33"/>
    </row>
    <row r="1135" spans="21:22" x14ac:dyDescent="0.2">
      <c r="U1135" s="33"/>
      <c r="V1135" s="33"/>
    </row>
    <row r="1136" spans="21:22" x14ac:dyDescent="0.2">
      <c r="U1136" s="33"/>
      <c r="V1136" s="33"/>
    </row>
    <row r="1137" spans="21:22" x14ac:dyDescent="0.2">
      <c r="U1137" s="33"/>
      <c r="V1137" s="33"/>
    </row>
    <row r="1138" spans="21:22" x14ac:dyDescent="0.2">
      <c r="U1138" s="33"/>
      <c r="V1138" s="33"/>
    </row>
    <row r="1139" spans="21:22" x14ac:dyDescent="0.2">
      <c r="U1139" s="33"/>
      <c r="V1139" s="33"/>
    </row>
    <row r="1140" spans="21:22" x14ac:dyDescent="0.2">
      <c r="U1140" s="33"/>
      <c r="V1140" s="33"/>
    </row>
    <row r="1141" spans="21:22" x14ac:dyDescent="0.2">
      <c r="U1141" s="33"/>
      <c r="V1141" s="33"/>
    </row>
    <row r="1142" spans="21:22" x14ac:dyDescent="0.2">
      <c r="U1142" s="33"/>
      <c r="V1142" s="33"/>
    </row>
    <row r="1143" spans="21:22" x14ac:dyDescent="0.2">
      <c r="U1143" s="33"/>
      <c r="V1143" s="33"/>
    </row>
    <row r="1144" spans="21:22" x14ac:dyDescent="0.2">
      <c r="U1144" s="33"/>
      <c r="V1144" s="33"/>
    </row>
    <row r="1145" spans="21:22" x14ac:dyDescent="0.2">
      <c r="U1145" s="33"/>
      <c r="V1145" s="33"/>
    </row>
    <row r="1146" spans="21:22" x14ac:dyDescent="0.2">
      <c r="U1146" s="33"/>
      <c r="V1146" s="33"/>
    </row>
    <row r="1147" spans="21:22" x14ac:dyDescent="0.2">
      <c r="U1147" s="33"/>
      <c r="V1147" s="33"/>
    </row>
    <row r="1148" spans="21:22" x14ac:dyDescent="0.2">
      <c r="U1148" s="33"/>
      <c r="V1148" s="33"/>
    </row>
    <row r="1149" spans="21:22" x14ac:dyDescent="0.2">
      <c r="U1149" s="33"/>
      <c r="V1149" s="33"/>
    </row>
    <row r="1150" spans="21:22" x14ac:dyDescent="0.2">
      <c r="U1150" s="33"/>
      <c r="V1150" s="33"/>
    </row>
    <row r="1151" spans="21:22" x14ac:dyDescent="0.2">
      <c r="U1151" s="33"/>
      <c r="V1151" s="33"/>
    </row>
    <row r="1152" spans="21:22" x14ac:dyDescent="0.2">
      <c r="U1152" s="33"/>
      <c r="V1152" s="33"/>
    </row>
    <row r="1153" spans="21:22" x14ac:dyDescent="0.2">
      <c r="U1153" s="33"/>
      <c r="V1153" s="33"/>
    </row>
    <row r="1154" spans="21:22" x14ac:dyDescent="0.2">
      <c r="U1154" s="33"/>
      <c r="V1154" s="33"/>
    </row>
    <row r="1155" spans="21:22" x14ac:dyDescent="0.2">
      <c r="U1155" s="33"/>
      <c r="V1155" s="33"/>
    </row>
    <row r="1156" spans="21:22" x14ac:dyDescent="0.2">
      <c r="U1156" s="33"/>
      <c r="V1156" s="33"/>
    </row>
    <row r="1157" spans="21:22" x14ac:dyDescent="0.2">
      <c r="U1157" s="33"/>
      <c r="V1157" s="33"/>
    </row>
    <row r="1158" spans="21:22" x14ac:dyDescent="0.2">
      <c r="U1158" s="33"/>
      <c r="V1158" s="33"/>
    </row>
    <row r="1159" spans="21:22" x14ac:dyDescent="0.2">
      <c r="U1159" s="33"/>
      <c r="V1159" s="33"/>
    </row>
    <row r="1160" spans="21:22" x14ac:dyDescent="0.2">
      <c r="U1160" s="33"/>
      <c r="V1160" s="33"/>
    </row>
    <row r="1161" spans="21:22" x14ac:dyDescent="0.2">
      <c r="U1161" s="33"/>
      <c r="V1161" s="33"/>
    </row>
    <row r="1162" spans="21:22" x14ac:dyDescent="0.2">
      <c r="U1162" s="33"/>
      <c r="V1162" s="33"/>
    </row>
    <row r="1163" spans="21:22" x14ac:dyDescent="0.2">
      <c r="U1163" s="33"/>
      <c r="V1163" s="33"/>
    </row>
    <row r="1164" spans="21:22" x14ac:dyDescent="0.2">
      <c r="U1164" s="33"/>
      <c r="V1164" s="33"/>
    </row>
    <row r="1165" spans="21:22" x14ac:dyDescent="0.2">
      <c r="U1165" s="33"/>
      <c r="V1165" s="33"/>
    </row>
    <row r="1166" spans="21:22" x14ac:dyDescent="0.2">
      <c r="U1166" s="33"/>
      <c r="V1166" s="33"/>
    </row>
    <row r="1167" spans="21:22" x14ac:dyDescent="0.2">
      <c r="U1167" s="33"/>
      <c r="V1167" s="33"/>
    </row>
    <row r="1168" spans="21:22" x14ac:dyDescent="0.2">
      <c r="U1168" s="33"/>
      <c r="V1168" s="33"/>
    </row>
    <row r="1169" spans="21:22" x14ac:dyDescent="0.2">
      <c r="U1169" s="33"/>
      <c r="V1169" s="33"/>
    </row>
    <row r="1170" spans="21:22" x14ac:dyDescent="0.2">
      <c r="U1170" s="33"/>
      <c r="V1170" s="33"/>
    </row>
    <row r="1171" spans="21:22" x14ac:dyDescent="0.2">
      <c r="U1171" s="33"/>
      <c r="V1171" s="33"/>
    </row>
    <row r="1172" spans="21:22" x14ac:dyDescent="0.2">
      <c r="U1172" s="33"/>
      <c r="V1172" s="33"/>
    </row>
    <row r="1173" spans="21:22" x14ac:dyDescent="0.2">
      <c r="U1173" s="33"/>
      <c r="V1173" s="33"/>
    </row>
    <row r="1174" spans="21:22" x14ac:dyDescent="0.2">
      <c r="U1174" s="33"/>
      <c r="V1174" s="33"/>
    </row>
    <row r="1175" spans="21:22" x14ac:dyDescent="0.2">
      <c r="U1175" s="33"/>
      <c r="V1175" s="33"/>
    </row>
    <row r="1176" spans="21:22" x14ac:dyDescent="0.2">
      <c r="U1176" s="33"/>
      <c r="V1176" s="33"/>
    </row>
    <row r="1177" spans="21:22" x14ac:dyDescent="0.2">
      <c r="U1177" s="33"/>
      <c r="V1177" s="33"/>
    </row>
    <row r="1178" spans="21:22" x14ac:dyDescent="0.2">
      <c r="U1178" s="33"/>
      <c r="V1178" s="33"/>
    </row>
    <row r="1179" spans="21:22" x14ac:dyDescent="0.2">
      <c r="U1179" s="33"/>
      <c r="V1179" s="33"/>
    </row>
    <row r="1180" spans="21:22" x14ac:dyDescent="0.2">
      <c r="U1180" s="33"/>
      <c r="V1180" s="33"/>
    </row>
    <row r="1181" spans="21:22" x14ac:dyDescent="0.2">
      <c r="U1181" s="33"/>
      <c r="V1181" s="33"/>
    </row>
    <row r="1182" spans="21:22" x14ac:dyDescent="0.2">
      <c r="U1182" s="33"/>
      <c r="V1182" s="33"/>
    </row>
    <row r="1183" spans="21:22" x14ac:dyDescent="0.2">
      <c r="U1183" s="33"/>
      <c r="V1183" s="33"/>
    </row>
    <row r="1184" spans="21:22" x14ac:dyDescent="0.2">
      <c r="U1184" s="33"/>
      <c r="V1184" s="33"/>
    </row>
    <row r="1185" spans="21:22" x14ac:dyDescent="0.2">
      <c r="U1185" s="33"/>
      <c r="V1185" s="33"/>
    </row>
    <row r="1186" spans="21:22" x14ac:dyDescent="0.2">
      <c r="U1186" s="33"/>
      <c r="V1186" s="33"/>
    </row>
    <row r="1187" spans="21:22" x14ac:dyDescent="0.2">
      <c r="U1187" s="33"/>
      <c r="V1187" s="33"/>
    </row>
    <row r="1188" spans="21:22" x14ac:dyDescent="0.2">
      <c r="U1188" s="33"/>
      <c r="V1188" s="33"/>
    </row>
    <row r="1189" spans="21:22" x14ac:dyDescent="0.2">
      <c r="U1189" s="33"/>
      <c r="V1189" s="33"/>
    </row>
    <row r="1190" spans="21:22" x14ac:dyDescent="0.2">
      <c r="U1190" s="33"/>
      <c r="V1190" s="33"/>
    </row>
    <row r="1191" spans="21:22" x14ac:dyDescent="0.2">
      <c r="U1191" s="33"/>
      <c r="V1191" s="33"/>
    </row>
    <row r="1192" spans="21:22" x14ac:dyDescent="0.2">
      <c r="U1192" s="33"/>
      <c r="V1192" s="33"/>
    </row>
    <row r="1193" spans="21:22" x14ac:dyDescent="0.2">
      <c r="U1193" s="33"/>
      <c r="V1193" s="33"/>
    </row>
    <row r="1194" spans="21:22" x14ac:dyDescent="0.2">
      <c r="U1194" s="33"/>
      <c r="V1194" s="33"/>
    </row>
    <row r="1195" spans="21:22" x14ac:dyDescent="0.2">
      <c r="U1195" s="33"/>
      <c r="V1195" s="33"/>
    </row>
    <row r="1196" spans="21:22" x14ac:dyDescent="0.2">
      <c r="U1196" s="33"/>
      <c r="V1196" s="33"/>
    </row>
    <row r="1197" spans="21:22" x14ac:dyDescent="0.2">
      <c r="U1197" s="33"/>
      <c r="V1197" s="33"/>
    </row>
    <row r="1198" spans="21:22" x14ac:dyDescent="0.2">
      <c r="U1198" s="33"/>
      <c r="V1198" s="33"/>
    </row>
    <row r="1199" spans="21:22" x14ac:dyDescent="0.2">
      <c r="U1199" s="33"/>
      <c r="V1199" s="33"/>
    </row>
    <row r="1200" spans="21:22" x14ac:dyDescent="0.2">
      <c r="U1200" s="33"/>
      <c r="V1200" s="33"/>
    </row>
    <row r="1201" spans="21:22" x14ac:dyDescent="0.2">
      <c r="U1201" s="33"/>
      <c r="V1201" s="33"/>
    </row>
    <row r="1202" spans="21:22" x14ac:dyDescent="0.2">
      <c r="U1202" s="33"/>
      <c r="V1202" s="33"/>
    </row>
    <row r="1203" spans="21:22" x14ac:dyDescent="0.2">
      <c r="U1203" s="33"/>
      <c r="V1203" s="33"/>
    </row>
    <row r="1204" spans="21:22" x14ac:dyDescent="0.2">
      <c r="U1204" s="33"/>
      <c r="V1204" s="33"/>
    </row>
    <row r="1205" spans="21:22" x14ac:dyDescent="0.2">
      <c r="U1205" s="33"/>
      <c r="V1205" s="33"/>
    </row>
    <row r="1206" spans="21:22" x14ac:dyDescent="0.2">
      <c r="U1206" s="33"/>
      <c r="V1206" s="33"/>
    </row>
    <row r="1207" spans="21:22" x14ac:dyDescent="0.2">
      <c r="U1207" s="33"/>
      <c r="V1207" s="33"/>
    </row>
    <row r="1208" spans="21:22" x14ac:dyDescent="0.2">
      <c r="U1208" s="33"/>
      <c r="V1208" s="33"/>
    </row>
    <row r="1209" spans="21:22" x14ac:dyDescent="0.2">
      <c r="U1209" s="33"/>
      <c r="V1209" s="33"/>
    </row>
    <row r="1210" spans="21:22" x14ac:dyDescent="0.2">
      <c r="U1210" s="33"/>
      <c r="V1210" s="33"/>
    </row>
    <row r="1211" spans="21:22" x14ac:dyDescent="0.2">
      <c r="U1211" s="33"/>
      <c r="V1211" s="33"/>
    </row>
    <row r="1212" spans="21:22" x14ac:dyDescent="0.2">
      <c r="U1212" s="33"/>
      <c r="V1212" s="33"/>
    </row>
    <row r="1213" spans="21:22" x14ac:dyDescent="0.2">
      <c r="U1213" s="33"/>
      <c r="V1213" s="33"/>
    </row>
    <row r="1214" spans="21:22" x14ac:dyDescent="0.2">
      <c r="U1214" s="33"/>
      <c r="V1214" s="33"/>
    </row>
    <row r="1215" spans="21:22" x14ac:dyDescent="0.2">
      <c r="U1215" s="33"/>
      <c r="V1215" s="33"/>
    </row>
    <row r="1216" spans="21:22" x14ac:dyDescent="0.2">
      <c r="U1216" s="33"/>
      <c r="V1216" s="33"/>
    </row>
    <row r="1217" spans="21:22" x14ac:dyDescent="0.2">
      <c r="U1217" s="33"/>
      <c r="V1217" s="33"/>
    </row>
    <row r="1218" spans="21:22" x14ac:dyDescent="0.2">
      <c r="U1218" s="33"/>
      <c r="V1218" s="33"/>
    </row>
    <row r="1219" spans="21:22" x14ac:dyDescent="0.2">
      <c r="U1219" s="33"/>
      <c r="V1219" s="33"/>
    </row>
    <row r="1220" spans="21:22" x14ac:dyDescent="0.2">
      <c r="U1220" s="33"/>
      <c r="V1220" s="33"/>
    </row>
    <row r="1221" spans="21:22" x14ac:dyDescent="0.2">
      <c r="U1221" s="33"/>
      <c r="V1221" s="33"/>
    </row>
    <row r="1222" spans="21:22" x14ac:dyDescent="0.2">
      <c r="U1222" s="33"/>
      <c r="V1222" s="33"/>
    </row>
    <row r="1223" spans="21:22" x14ac:dyDescent="0.2">
      <c r="U1223" s="33"/>
      <c r="V1223" s="33"/>
    </row>
    <row r="1224" spans="21:22" x14ac:dyDescent="0.2">
      <c r="U1224" s="33"/>
      <c r="V1224" s="33"/>
    </row>
    <row r="1225" spans="21:22" x14ac:dyDescent="0.2">
      <c r="U1225" s="33"/>
      <c r="V1225" s="33"/>
    </row>
    <row r="1226" spans="21:22" x14ac:dyDescent="0.2">
      <c r="U1226" s="33"/>
      <c r="V1226" s="33"/>
    </row>
    <row r="1227" spans="21:22" x14ac:dyDescent="0.2">
      <c r="U1227" s="33"/>
      <c r="V1227" s="33"/>
    </row>
    <row r="1228" spans="21:22" x14ac:dyDescent="0.2">
      <c r="U1228" s="33"/>
      <c r="V1228" s="33"/>
    </row>
    <row r="1229" spans="21:22" x14ac:dyDescent="0.2">
      <c r="U1229" s="33"/>
      <c r="V1229" s="33"/>
    </row>
    <row r="1230" spans="21:22" x14ac:dyDescent="0.2">
      <c r="U1230" s="33"/>
      <c r="V1230" s="33"/>
    </row>
    <row r="1231" spans="21:22" x14ac:dyDescent="0.2">
      <c r="U1231" s="33"/>
      <c r="V1231" s="33"/>
    </row>
    <row r="1232" spans="21:22" x14ac:dyDescent="0.2">
      <c r="U1232" s="33"/>
      <c r="V1232" s="33"/>
    </row>
    <row r="1233" spans="21:22" x14ac:dyDescent="0.2">
      <c r="U1233" s="33"/>
      <c r="V1233" s="33"/>
    </row>
    <row r="1234" spans="21:22" x14ac:dyDescent="0.2">
      <c r="U1234" s="33"/>
      <c r="V1234" s="33"/>
    </row>
    <row r="1235" spans="21:22" x14ac:dyDescent="0.2">
      <c r="U1235" s="33"/>
      <c r="V1235" s="33"/>
    </row>
    <row r="1236" spans="21:22" x14ac:dyDescent="0.2">
      <c r="U1236" s="33"/>
      <c r="V1236" s="33"/>
    </row>
    <row r="1237" spans="21:22" x14ac:dyDescent="0.2">
      <c r="U1237" s="33"/>
      <c r="V1237" s="33"/>
    </row>
    <row r="1238" spans="21:22" x14ac:dyDescent="0.2">
      <c r="U1238" s="33"/>
      <c r="V1238" s="33"/>
    </row>
    <row r="1239" spans="21:22" x14ac:dyDescent="0.2">
      <c r="U1239" s="33"/>
      <c r="V1239" s="33"/>
    </row>
    <row r="1240" spans="21:22" x14ac:dyDescent="0.2">
      <c r="U1240" s="33"/>
      <c r="V1240" s="33"/>
    </row>
  </sheetData>
  <autoFilter ref="A6:DV187">
    <sortState ref="A7:DV187">
      <sortCondition ref="C6:C187"/>
    </sortState>
  </autoFilter>
  <sortState ref="C20:CR150">
    <sortCondition ref="C7"/>
  </sortState>
  <dataConsolidate/>
  <mergeCells count="115">
    <mergeCell ref="CJ2:CO2"/>
    <mergeCell ref="CJ3:CL4"/>
    <mergeCell ref="CP1:DQ1"/>
    <mergeCell ref="CP2:CS3"/>
    <mergeCell ref="CT2:CW3"/>
    <mergeCell ref="CX2:CX5"/>
    <mergeCell ref="CY2:DQ2"/>
    <mergeCell ref="CY3:CY5"/>
    <mergeCell ref="CZ3:DA3"/>
    <mergeCell ref="DB3:DO3"/>
    <mergeCell ref="DP3:DQ4"/>
    <mergeCell ref="CP4:CP5"/>
    <mergeCell ref="CQ4:CQ5"/>
    <mergeCell ref="CR4:CR5"/>
    <mergeCell ref="CS4:CS5"/>
    <mergeCell ref="CT4:CT5"/>
    <mergeCell ref="CU4:CU5"/>
    <mergeCell ref="CV4:CV5"/>
    <mergeCell ref="CW4:CW5"/>
    <mergeCell ref="CZ4:CZ5"/>
    <mergeCell ref="DA4:DA5"/>
    <mergeCell ref="DB4:DH4"/>
    <mergeCell ref="DI4:DO4"/>
    <mergeCell ref="CM3:CO4"/>
    <mergeCell ref="A2:A5"/>
    <mergeCell ref="BD2:BD5"/>
    <mergeCell ref="BE2:BE5"/>
    <mergeCell ref="BF2:BF5"/>
    <mergeCell ref="BG2:BI4"/>
    <mergeCell ref="AU3:AU5"/>
    <mergeCell ref="AV3:AW3"/>
    <mergeCell ref="AV4:AV5"/>
    <mergeCell ref="AW4:AW5"/>
    <mergeCell ref="AJ2:AJ5"/>
    <mergeCell ref="AK2:AK5"/>
    <mergeCell ref="AL2:AL5"/>
    <mergeCell ref="U4:V4"/>
    <mergeCell ref="W4:W5"/>
    <mergeCell ref="Q3:Q5"/>
    <mergeCell ref="AN2:AN5"/>
    <mergeCell ref="BA2:BA5"/>
    <mergeCell ref="BB2:BB5"/>
    <mergeCell ref="BC2:BC5"/>
    <mergeCell ref="AZ2:AZ5"/>
    <mergeCell ref="AS2:AS5"/>
    <mergeCell ref="AT2:AT5"/>
    <mergeCell ref="AU2:AW2"/>
    <mergeCell ref="AX2:AX5"/>
    <mergeCell ref="BM3:BM5"/>
    <mergeCell ref="BS2:BT3"/>
    <mergeCell ref="BJ3:BJ5"/>
    <mergeCell ref="BK3:BK5"/>
    <mergeCell ref="BL3:BL5"/>
    <mergeCell ref="BJ2:BL2"/>
    <mergeCell ref="CG2:CH4"/>
    <mergeCell ref="CA2:CA5"/>
    <mergeCell ref="CB2:CB5"/>
    <mergeCell ref="BY2:BZ4"/>
    <mergeCell ref="BX2:BX5"/>
    <mergeCell ref="BN3:BN5"/>
    <mergeCell ref="BO3:BO5"/>
    <mergeCell ref="BV2:BV5"/>
    <mergeCell ref="BW2:BW5"/>
    <mergeCell ref="BQ3:BQ5"/>
    <mergeCell ref="BM2:BO2"/>
    <mergeCell ref="BR3:BR5"/>
    <mergeCell ref="BS4:BS5"/>
    <mergeCell ref="BT4:BT5"/>
    <mergeCell ref="BP2:BR2"/>
    <mergeCell ref="BP3:BP5"/>
    <mergeCell ref="AD3:AF3"/>
    <mergeCell ref="AG3:AG5"/>
    <mergeCell ref="AI2:AI5"/>
    <mergeCell ref="AD4:AD5"/>
    <mergeCell ref="AE4:AF4"/>
    <mergeCell ref="AC2:AH2"/>
    <mergeCell ref="AH3:AH5"/>
    <mergeCell ref="X4:Y4"/>
    <mergeCell ref="AY2:AY5"/>
    <mergeCell ref="B2:B5"/>
    <mergeCell ref="C2:C5"/>
    <mergeCell ref="D2:D5"/>
    <mergeCell ref="E2:E5"/>
    <mergeCell ref="F2:F5"/>
    <mergeCell ref="N2:Q2"/>
    <mergeCell ref="L3:L5"/>
    <mergeCell ref="M3:M5"/>
    <mergeCell ref="N3:N5"/>
    <mergeCell ref="L2:M2"/>
    <mergeCell ref="O3:O5"/>
    <mergeCell ref="P3:P5"/>
    <mergeCell ref="CI2:CI5"/>
    <mergeCell ref="G2:G5"/>
    <mergeCell ref="H2:H5"/>
    <mergeCell ref="I2:I5"/>
    <mergeCell ref="J2:J5"/>
    <mergeCell ref="K2:K5"/>
    <mergeCell ref="R3:S3"/>
    <mergeCell ref="T3:V3"/>
    <mergeCell ref="W3:Y3"/>
    <mergeCell ref="R4:S4"/>
    <mergeCell ref="T4:T5"/>
    <mergeCell ref="AO2:AO5"/>
    <mergeCell ref="AP2:AP5"/>
    <mergeCell ref="AQ2:AQ5"/>
    <mergeCell ref="AR2:AR5"/>
    <mergeCell ref="CC2:CD4"/>
    <mergeCell ref="CE2:CF4"/>
    <mergeCell ref="AM2:AM5"/>
    <mergeCell ref="Z3:AB3"/>
    <mergeCell ref="Z4:Z5"/>
    <mergeCell ref="AA4:AB4"/>
    <mergeCell ref="BU2:BU5"/>
    <mergeCell ref="R2:AB2"/>
    <mergeCell ref="AC3:AC5"/>
  </mergeCells>
  <phoneticPr fontId="0" type="noConversion"/>
  <pageMargins left="0.23622047244094491" right="0.23622047244094491" top="0.19685039370078741" bottom="0.27559055118110237" header="0.15748031496062992" footer="0.15748031496062992"/>
  <pageSetup paperSize="9" scale="80" orientation="landscape" horizontalDpi="300" verticalDpi="300" r:id="rId1"/>
  <headerFooter alignWithMargins="0">
    <oddFooter>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E798"/>
  <sheetViews>
    <sheetView zoomScale="90" zoomScaleNormal="90" workbookViewId="0">
      <pane xSplit="3" ySplit="6" topLeftCell="N22" activePane="bottomRight" state="frozen"/>
      <selection activeCell="B1" sqref="B1"/>
      <selection pane="topRight" activeCell="D1" sqref="D1"/>
      <selection pane="bottomLeft" activeCell="B7" sqref="B7"/>
      <selection pane="bottomRight" activeCell="S260" sqref="S260"/>
    </sheetView>
  </sheetViews>
  <sheetFormatPr defaultColWidth="9.140625" defaultRowHeight="12.75" outlineLevelRow="1" outlineLevelCol="1" x14ac:dyDescent="0.2"/>
  <cols>
    <col min="1" max="1" width="12.85546875" style="3" hidden="1" customWidth="1" outlineLevel="1"/>
    <col min="2" max="2" width="4.7109375" style="167" customWidth="1" collapsed="1"/>
    <col min="3" max="3" width="18" style="3" customWidth="1"/>
    <col min="4" max="4" width="6.28515625" style="3" customWidth="1"/>
    <col min="5" max="5" width="4.5703125" style="4" hidden="1" customWidth="1" outlineLevel="1"/>
    <col min="6" max="6" width="9.140625" style="3" customWidth="1" collapsed="1"/>
    <col min="7" max="7" width="4.42578125" style="3" customWidth="1"/>
    <col min="8" max="8" width="4.28515625" style="4" customWidth="1"/>
    <col min="9" max="9" width="5.28515625" style="4" hidden="1" customWidth="1" outlineLevel="1"/>
    <col min="10" max="10" width="9.42578125" style="3" hidden="1" customWidth="1" outlineLevel="1"/>
    <col min="11" max="11" width="8.85546875" style="3" hidden="1" customWidth="1" outlineLevel="1"/>
    <col min="12" max="12" width="6.140625" style="3" hidden="1" customWidth="1" outlineLevel="1"/>
    <col min="13" max="13" width="7.85546875" style="3" hidden="1" customWidth="1" outlineLevel="1"/>
    <col min="14" max="14" width="8.7109375" style="3" customWidth="1" collapsed="1"/>
    <col min="15" max="15" width="8.42578125" style="3" customWidth="1" outlineLevel="1"/>
    <col min="16" max="16" width="7.7109375" style="3" customWidth="1" outlineLevel="1"/>
    <col min="17" max="17" width="7.85546875" style="3" customWidth="1"/>
    <col min="18" max="18" width="9.85546875" style="33" customWidth="1"/>
    <col min="19" max="19" width="7.7109375" style="33" customWidth="1"/>
    <col min="20" max="20" width="8.140625" style="3" customWidth="1" outlineLevel="1"/>
    <col min="21" max="22" width="7.85546875" style="3" customWidth="1" outlineLevel="1"/>
    <col min="23" max="23" width="8.42578125" style="3" customWidth="1" outlineLevel="1"/>
    <col min="24" max="24" width="9" style="3" customWidth="1" outlineLevel="1"/>
    <col min="25" max="25" width="8.5703125" style="3" customWidth="1" outlineLevel="1"/>
    <col min="26" max="28" width="8.42578125" style="3" customWidth="1" outlineLevel="1"/>
    <col min="29" max="29" width="11.5703125" style="3" customWidth="1"/>
    <col min="30" max="30" width="8.42578125" style="33" customWidth="1"/>
    <col min="31" max="31" width="8.5703125" style="82" customWidth="1"/>
    <col min="32" max="32" width="9.28515625" style="3" customWidth="1"/>
    <col min="33" max="34" width="10.5703125" style="3" customWidth="1"/>
    <col min="35" max="35" width="14.42578125" style="3" customWidth="1"/>
    <col min="36" max="39" width="6" style="3" hidden="1" customWidth="1" outlineLevel="1"/>
    <col min="40" max="40" width="5.28515625" style="3" hidden="1" customWidth="1" outlineLevel="1"/>
    <col min="41" max="41" width="6" style="3" hidden="1" customWidth="1" outlineLevel="1"/>
    <col min="42" max="42" width="8" style="3" hidden="1" customWidth="1" outlineLevel="1"/>
    <col min="43" max="43" width="7.85546875" style="3" hidden="1" customWidth="1" outlineLevel="1"/>
    <col min="44" max="44" width="8.7109375" style="3" hidden="1" customWidth="1" outlineLevel="1"/>
    <col min="45" max="45" width="8.42578125" style="4" hidden="1" customWidth="1" outlineLevel="1"/>
    <col min="46" max="46" width="7.42578125" style="3" hidden="1" customWidth="1" outlineLevel="1"/>
    <col min="47" max="47" width="8.42578125" style="3" hidden="1" customWidth="1" outlineLevel="1"/>
    <col min="48" max="48" width="7.7109375" style="3" hidden="1" customWidth="1" outlineLevel="1"/>
    <col min="49" max="49" width="8.7109375" style="3" hidden="1" customWidth="1" outlineLevel="1"/>
    <col min="50" max="50" width="8.42578125" style="3" hidden="1" customWidth="1" outlineLevel="1"/>
    <col min="51" max="51" width="7" style="3" hidden="1" customWidth="1" outlineLevel="1"/>
    <col min="52" max="57" width="6.85546875" style="3" hidden="1" customWidth="1" outlineLevel="1"/>
    <col min="58" max="58" width="5.85546875" style="3" hidden="1" customWidth="1" outlineLevel="1"/>
    <col min="59" max="59" width="8" style="3" hidden="1" customWidth="1" outlineLevel="1"/>
    <col min="60" max="60" width="9.85546875" style="3" hidden="1" customWidth="1" outlineLevel="1"/>
    <col min="61" max="61" width="7.28515625" style="3" hidden="1" customWidth="1" outlineLevel="1"/>
    <col min="62" max="62" width="4.85546875" style="3" customWidth="1" collapsed="1"/>
    <col min="63" max="63" width="9.42578125" style="3" customWidth="1"/>
    <col min="64" max="64" width="9.140625" style="3" customWidth="1"/>
    <col min="65" max="65" width="6.5703125" style="3" customWidth="1"/>
    <col min="66" max="67" width="10.7109375" style="3" customWidth="1"/>
    <col min="68" max="68" width="5.5703125" style="3" customWidth="1"/>
    <col min="69" max="70" width="10.7109375" style="3" customWidth="1"/>
    <col min="71" max="72" width="7.140625" style="3" customWidth="1" outlineLevel="1"/>
    <col min="73" max="73" width="9.42578125" style="3" customWidth="1" outlineLevel="1"/>
    <col min="74" max="74" width="10" style="3" customWidth="1" outlineLevel="1"/>
    <col min="75" max="75" width="5.85546875" style="3" customWidth="1" outlineLevel="1"/>
    <col min="76" max="76" width="7.5703125" style="3" customWidth="1" outlineLevel="1"/>
    <col min="77" max="90" width="12" style="84" customWidth="1" outlineLevel="1"/>
    <col min="91" max="92" width="9.42578125" style="3" customWidth="1"/>
    <col min="93" max="100" width="9.140625" style="3" customWidth="1"/>
    <col min="101" max="101" width="10.28515625" style="3" customWidth="1"/>
    <col min="102" max="105" width="11" style="220" customWidth="1"/>
    <col min="106" max="106" width="6.7109375" customWidth="1"/>
    <col min="107" max="133" width="6.7109375" style="3" customWidth="1"/>
    <col min="134" max="134" width="9.140625" style="3" customWidth="1"/>
    <col min="135" max="16384" width="9.140625" style="3"/>
  </cols>
  <sheetData>
    <row r="1" spans="1:135" ht="18.75" x14ac:dyDescent="0.2">
      <c r="C1" s="178" t="s">
        <v>369</v>
      </c>
      <c r="D1" s="67"/>
      <c r="E1" s="134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5"/>
      <c r="U1" s="5"/>
      <c r="V1" s="5"/>
      <c r="W1" s="7"/>
      <c r="X1" s="7"/>
      <c r="Y1" s="7"/>
      <c r="Z1" s="7"/>
      <c r="AA1" s="7"/>
      <c r="AB1" s="7"/>
      <c r="AC1" s="193"/>
      <c r="AD1" s="6"/>
      <c r="AE1" s="182"/>
      <c r="AF1" s="5"/>
      <c r="AG1" s="5"/>
      <c r="AH1" s="5"/>
      <c r="AI1" s="7"/>
      <c r="AJ1" s="5"/>
      <c r="AK1" s="5"/>
      <c r="AL1" s="5"/>
      <c r="AM1" s="5"/>
      <c r="AN1" s="5"/>
      <c r="DB1" s="441" t="s">
        <v>344</v>
      </c>
      <c r="DC1" s="441"/>
      <c r="DD1" s="441"/>
      <c r="DE1" s="441"/>
      <c r="DF1" s="441"/>
      <c r="DG1" s="441"/>
      <c r="DH1" s="441"/>
      <c r="DI1" s="441"/>
      <c r="DJ1" s="441"/>
      <c r="DK1" s="441"/>
      <c r="DL1" s="441"/>
      <c r="DM1" s="441"/>
      <c r="DN1" s="441"/>
      <c r="DO1" s="441"/>
      <c r="DP1" s="441"/>
      <c r="DQ1" s="441"/>
      <c r="DR1" s="441"/>
      <c r="DS1" s="441"/>
      <c r="DT1" s="441"/>
      <c r="DU1" s="441"/>
      <c r="DV1" s="441"/>
      <c r="DW1" s="441"/>
      <c r="DX1" s="441"/>
      <c r="DY1" s="441"/>
      <c r="DZ1" s="441"/>
      <c r="EA1" s="441"/>
      <c r="EB1" s="441"/>
      <c r="EC1" s="441"/>
    </row>
    <row r="2" spans="1:135" ht="27" customHeight="1" x14ac:dyDescent="0.2">
      <c r="A2" s="420" t="s">
        <v>141</v>
      </c>
      <c r="B2" s="392" t="s">
        <v>1</v>
      </c>
      <c r="C2" s="395" t="s">
        <v>6</v>
      </c>
      <c r="D2" s="370" t="s">
        <v>38</v>
      </c>
      <c r="E2" s="370"/>
      <c r="F2" s="370" t="s">
        <v>339</v>
      </c>
      <c r="G2" s="370" t="s">
        <v>188</v>
      </c>
      <c r="H2" s="371" t="s">
        <v>39</v>
      </c>
      <c r="I2" s="371" t="s">
        <v>40</v>
      </c>
      <c r="J2" s="370" t="s">
        <v>41</v>
      </c>
      <c r="K2" s="370" t="s">
        <v>42</v>
      </c>
      <c r="L2" s="395" t="s">
        <v>3</v>
      </c>
      <c r="M2" s="395"/>
      <c r="N2" s="395" t="s">
        <v>4</v>
      </c>
      <c r="O2" s="395"/>
      <c r="P2" s="395"/>
      <c r="Q2" s="395"/>
      <c r="R2" s="388" t="s">
        <v>144</v>
      </c>
      <c r="S2" s="389"/>
      <c r="T2" s="389"/>
      <c r="U2" s="389"/>
      <c r="V2" s="389"/>
      <c r="W2" s="389"/>
      <c r="X2" s="389"/>
      <c r="Y2" s="389"/>
      <c r="Z2" s="389"/>
      <c r="AA2" s="389"/>
      <c r="AB2" s="390"/>
      <c r="AC2" s="400" t="s">
        <v>147</v>
      </c>
      <c r="AD2" s="401"/>
      <c r="AE2" s="401"/>
      <c r="AF2" s="401"/>
      <c r="AG2" s="401"/>
      <c r="AH2" s="402"/>
      <c r="AI2" s="456" t="s">
        <v>75</v>
      </c>
      <c r="AJ2" s="378" t="s">
        <v>52</v>
      </c>
      <c r="AK2" s="378" t="s">
        <v>53</v>
      </c>
      <c r="AL2" s="378" t="s">
        <v>54</v>
      </c>
      <c r="AM2" s="378" t="s">
        <v>55</v>
      </c>
      <c r="AN2" s="378" t="s">
        <v>56</v>
      </c>
      <c r="AO2" s="378" t="s">
        <v>57</v>
      </c>
      <c r="AP2" s="381" t="s">
        <v>58</v>
      </c>
      <c r="AQ2" s="381" t="s">
        <v>59</v>
      </c>
      <c r="AR2" s="381" t="s">
        <v>60</v>
      </c>
      <c r="AS2" s="381" t="s">
        <v>61</v>
      </c>
      <c r="AT2" s="381" t="s">
        <v>62</v>
      </c>
      <c r="AU2" s="374" t="s">
        <v>148</v>
      </c>
      <c r="AV2" s="374"/>
      <c r="AW2" s="374"/>
      <c r="AX2" s="381" t="s">
        <v>63</v>
      </c>
      <c r="AY2" s="381" t="s">
        <v>64</v>
      </c>
      <c r="AZ2" s="381" t="s">
        <v>65</v>
      </c>
      <c r="BA2" s="381" t="s">
        <v>66</v>
      </c>
      <c r="BB2" s="381" t="s">
        <v>67</v>
      </c>
      <c r="BC2" s="381" t="s">
        <v>68</v>
      </c>
      <c r="BD2" s="381" t="s">
        <v>69</v>
      </c>
      <c r="BE2" s="381" t="s">
        <v>70</v>
      </c>
      <c r="BF2" s="381" t="s">
        <v>71</v>
      </c>
      <c r="BG2" s="423" t="s">
        <v>72</v>
      </c>
      <c r="BH2" s="424"/>
      <c r="BI2" s="425"/>
      <c r="BJ2" s="407" t="s">
        <v>28</v>
      </c>
      <c r="BK2" s="407"/>
      <c r="BL2" s="407"/>
      <c r="BM2" s="407" t="s">
        <v>29</v>
      </c>
      <c r="BN2" s="407"/>
      <c r="BO2" s="407"/>
      <c r="BP2" s="407" t="s">
        <v>152</v>
      </c>
      <c r="BQ2" s="407"/>
      <c r="BR2" s="407"/>
      <c r="BS2" s="406" t="s">
        <v>31</v>
      </c>
      <c r="BT2" s="406"/>
      <c r="BU2" s="385" t="s">
        <v>32</v>
      </c>
      <c r="BV2" s="385" t="s">
        <v>33</v>
      </c>
      <c r="BW2" s="385" t="s">
        <v>34</v>
      </c>
      <c r="BX2" s="416" t="s">
        <v>37</v>
      </c>
      <c r="BY2" s="410" t="s">
        <v>340</v>
      </c>
      <c r="BZ2" s="411"/>
      <c r="CA2" s="464" t="s">
        <v>355</v>
      </c>
      <c r="CB2" s="464" t="s">
        <v>356</v>
      </c>
      <c r="CC2" s="464" t="s">
        <v>357</v>
      </c>
      <c r="CD2" s="464" t="s">
        <v>358</v>
      </c>
      <c r="CE2" s="464" t="s">
        <v>359</v>
      </c>
      <c r="CF2" s="464" t="s">
        <v>360</v>
      </c>
      <c r="CG2" s="464" t="s">
        <v>361</v>
      </c>
      <c r="CH2" s="464" t="s">
        <v>362</v>
      </c>
      <c r="CI2" s="461" t="s">
        <v>363</v>
      </c>
      <c r="CJ2" s="461"/>
      <c r="CK2" s="460" t="s">
        <v>364</v>
      </c>
      <c r="CL2" s="460" t="s">
        <v>365</v>
      </c>
      <c r="CM2" s="450" t="s">
        <v>190</v>
      </c>
      <c r="CN2" s="457" t="s">
        <v>51</v>
      </c>
      <c r="CO2" s="374" t="s">
        <v>186</v>
      </c>
      <c r="CP2" s="374"/>
      <c r="CQ2" s="374" t="s">
        <v>187</v>
      </c>
      <c r="CR2" s="374"/>
      <c r="CS2" s="374" t="s">
        <v>49</v>
      </c>
      <c r="CT2" s="455"/>
      <c r="CU2" s="453" t="s">
        <v>354</v>
      </c>
      <c r="CV2" s="437" t="s">
        <v>347</v>
      </c>
      <c r="CW2" s="438"/>
      <c r="CX2" s="438"/>
      <c r="CY2" s="438"/>
      <c r="CZ2" s="438"/>
      <c r="DA2" s="439"/>
      <c r="DB2" s="442" t="s">
        <v>317</v>
      </c>
      <c r="DC2" s="442"/>
      <c r="DD2" s="442"/>
      <c r="DE2" s="442"/>
      <c r="DF2" s="442" t="s">
        <v>318</v>
      </c>
      <c r="DG2" s="442"/>
      <c r="DH2" s="442"/>
      <c r="DI2" s="442"/>
      <c r="DJ2" s="443" t="s">
        <v>319</v>
      </c>
      <c r="DK2" s="444" t="s">
        <v>320</v>
      </c>
      <c r="DL2" s="444"/>
      <c r="DM2" s="444"/>
      <c r="DN2" s="444"/>
      <c r="DO2" s="444"/>
      <c r="DP2" s="444"/>
      <c r="DQ2" s="444"/>
      <c r="DR2" s="444"/>
      <c r="DS2" s="444"/>
      <c r="DT2" s="444"/>
      <c r="DU2" s="444"/>
      <c r="DV2" s="444"/>
      <c r="DW2" s="444"/>
      <c r="DX2" s="444"/>
      <c r="DY2" s="444"/>
      <c r="DZ2" s="444"/>
      <c r="EA2" s="444"/>
      <c r="EB2" s="444"/>
      <c r="EC2" s="444"/>
    </row>
    <row r="3" spans="1:135" ht="13.15" customHeight="1" x14ac:dyDescent="0.2">
      <c r="A3" s="421"/>
      <c r="B3" s="393"/>
      <c r="C3" s="395"/>
      <c r="D3" s="370"/>
      <c r="E3" s="370"/>
      <c r="F3" s="370"/>
      <c r="G3" s="370"/>
      <c r="H3" s="371"/>
      <c r="I3" s="371"/>
      <c r="J3" s="370"/>
      <c r="K3" s="370"/>
      <c r="L3" s="370" t="s">
        <v>43</v>
      </c>
      <c r="M3" s="370" t="s">
        <v>44</v>
      </c>
      <c r="N3" s="370" t="s">
        <v>45</v>
      </c>
      <c r="O3" s="370" t="s">
        <v>46</v>
      </c>
      <c r="P3" s="370" t="s">
        <v>316</v>
      </c>
      <c r="Q3" s="416" t="s">
        <v>47</v>
      </c>
      <c r="R3" s="447" t="s">
        <v>49</v>
      </c>
      <c r="S3" s="448"/>
      <c r="T3" s="374" t="s">
        <v>145</v>
      </c>
      <c r="U3" s="374"/>
      <c r="V3" s="374"/>
      <c r="W3" s="374" t="s">
        <v>146</v>
      </c>
      <c r="X3" s="374"/>
      <c r="Y3" s="374"/>
      <c r="Z3" s="374" t="s">
        <v>194</v>
      </c>
      <c r="AA3" s="374"/>
      <c r="AB3" s="374"/>
      <c r="AC3" s="454" t="s">
        <v>195</v>
      </c>
      <c r="AD3" s="396" t="s">
        <v>146</v>
      </c>
      <c r="AE3" s="396"/>
      <c r="AF3" s="396"/>
      <c r="AG3" s="397" t="s">
        <v>145</v>
      </c>
      <c r="AH3" s="397" t="s">
        <v>194</v>
      </c>
      <c r="AI3" s="456"/>
      <c r="AJ3" s="379"/>
      <c r="AK3" s="379"/>
      <c r="AL3" s="379"/>
      <c r="AM3" s="379"/>
      <c r="AN3" s="379"/>
      <c r="AO3" s="379"/>
      <c r="AP3" s="382"/>
      <c r="AQ3" s="382"/>
      <c r="AR3" s="382"/>
      <c r="AS3" s="382"/>
      <c r="AT3" s="382"/>
      <c r="AU3" s="432" t="s">
        <v>2</v>
      </c>
      <c r="AV3" s="435" t="s">
        <v>73</v>
      </c>
      <c r="AW3" s="436"/>
      <c r="AX3" s="382"/>
      <c r="AY3" s="382"/>
      <c r="AZ3" s="382"/>
      <c r="BA3" s="382"/>
      <c r="BB3" s="382"/>
      <c r="BC3" s="382"/>
      <c r="BD3" s="382"/>
      <c r="BE3" s="382"/>
      <c r="BF3" s="382"/>
      <c r="BG3" s="426"/>
      <c r="BH3" s="427"/>
      <c r="BI3" s="428"/>
      <c r="BJ3" s="403" t="s">
        <v>30</v>
      </c>
      <c r="BK3" s="406" t="s">
        <v>76</v>
      </c>
      <c r="BL3" s="406" t="s">
        <v>77</v>
      </c>
      <c r="BM3" s="403" t="s">
        <v>30</v>
      </c>
      <c r="BN3" s="406" t="s">
        <v>76</v>
      </c>
      <c r="BO3" s="406" t="s">
        <v>77</v>
      </c>
      <c r="BP3" s="419" t="s">
        <v>30</v>
      </c>
      <c r="BQ3" s="397" t="s">
        <v>76</v>
      </c>
      <c r="BR3" s="397" t="s">
        <v>77</v>
      </c>
      <c r="BS3" s="406"/>
      <c r="BT3" s="406"/>
      <c r="BU3" s="386"/>
      <c r="BV3" s="386"/>
      <c r="BW3" s="386"/>
      <c r="BX3" s="416"/>
      <c r="BY3" s="412"/>
      <c r="BZ3" s="413"/>
      <c r="CA3" s="465"/>
      <c r="CB3" s="465"/>
      <c r="CC3" s="465"/>
      <c r="CD3" s="465"/>
      <c r="CE3" s="465"/>
      <c r="CF3" s="465"/>
      <c r="CG3" s="465"/>
      <c r="CH3" s="465"/>
      <c r="CI3" s="461"/>
      <c r="CJ3" s="461"/>
      <c r="CK3" s="460"/>
      <c r="CL3" s="460"/>
      <c r="CM3" s="451"/>
      <c r="CN3" s="458"/>
      <c r="CO3" s="374"/>
      <c r="CP3" s="374"/>
      <c r="CQ3" s="374"/>
      <c r="CR3" s="374"/>
      <c r="CS3" s="374"/>
      <c r="CT3" s="455"/>
      <c r="CU3" s="453"/>
      <c r="CV3" s="440" t="s">
        <v>345</v>
      </c>
      <c r="CW3" s="440"/>
      <c r="CX3" s="440"/>
      <c r="CY3" s="440" t="s">
        <v>346</v>
      </c>
      <c r="CZ3" s="440"/>
      <c r="DA3" s="440"/>
      <c r="DB3" s="442"/>
      <c r="DC3" s="442"/>
      <c r="DD3" s="442"/>
      <c r="DE3" s="442"/>
      <c r="DF3" s="442"/>
      <c r="DG3" s="442"/>
      <c r="DH3" s="442"/>
      <c r="DI3" s="442"/>
      <c r="DJ3" s="443"/>
      <c r="DK3" s="445" t="s">
        <v>321</v>
      </c>
      <c r="DL3" s="442" t="s">
        <v>322</v>
      </c>
      <c r="DM3" s="442"/>
      <c r="DN3" s="446" t="s">
        <v>323</v>
      </c>
      <c r="DO3" s="446"/>
      <c r="DP3" s="446"/>
      <c r="DQ3" s="446"/>
      <c r="DR3" s="446"/>
      <c r="DS3" s="446"/>
      <c r="DT3" s="446"/>
      <c r="DU3" s="446"/>
      <c r="DV3" s="446"/>
      <c r="DW3" s="446"/>
      <c r="DX3" s="446"/>
      <c r="DY3" s="446"/>
      <c r="DZ3" s="446"/>
      <c r="EA3" s="446"/>
      <c r="EB3" s="442" t="s">
        <v>324</v>
      </c>
      <c r="EC3" s="442"/>
    </row>
    <row r="4" spans="1:135" x14ac:dyDescent="0.2">
      <c r="A4" s="421"/>
      <c r="B4" s="393"/>
      <c r="C4" s="395"/>
      <c r="D4" s="370"/>
      <c r="E4" s="370"/>
      <c r="F4" s="370"/>
      <c r="G4" s="370"/>
      <c r="H4" s="371"/>
      <c r="I4" s="371"/>
      <c r="J4" s="370"/>
      <c r="K4" s="370"/>
      <c r="L4" s="370"/>
      <c r="M4" s="370"/>
      <c r="N4" s="370"/>
      <c r="O4" s="370"/>
      <c r="P4" s="370"/>
      <c r="Q4" s="416"/>
      <c r="R4" s="384" t="s">
        <v>50</v>
      </c>
      <c r="S4" s="384"/>
      <c r="T4" s="376" t="s">
        <v>45</v>
      </c>
      <c r="U4" s="384" t="s">
        <v>50</v>
      </c>
      <c r="V4" s="384"/>
      <c r="W4" s="376" t="s">
        <v>45</v>
      </c>
      <c r="X4" s="384" t="s">
        <v>50</v>
      </c>
      <c r="Y4" s="384"/>
      <c r="Z4" s="376" t="s">
        <v>45</v>
      </c>
      <c r="AA4" s="384" t="s">
        <v>50</v>
      </c>
      <c r="AB4" s="384"/>
      <c r="AC4" s="454"/>
      <c r="AD4" s="449" t="s">
        <v>49</v>
      </c>
      <c r="AE4" s="399" t="s">
        <v>191</v>
      </c>
      <c r="AF4" s="399"/>
      <c r="AG4" s="397"/>
      <c r="AH4" s="397"/>
      <c r="AI4" s="456"/>
      <c r="AJ4" s="379"/>
      <c r="AK4" s="379"/>
      <c r="AL4" s="379"/>
      <c r="AM4" s="379"/>
      <c r="AN4" s="379"/>
      <c r="AO4" s="379"/>
      <c r="AP4" s="382"/>
      <c r="AQ4" s="382"/>
      <c r="AR4" s="382"/>
      <c r="AS4" s="382"/>
      <c r="AT4" s="382"/>
      <c r="AU4" s="433"/>
      <c r="AV4" s="432" t="s">
        <v>11</v>
      </c>
      <c r="AW4" s="432" t="s">
        <v>12</v>
      </c>
      <c r="AX4" s="382"/>
      <c r="AY4" s="382"/>
      <c r="AZ4" s="382"/>
      <c r="BA4" s="382"/>
      <c r="BB4" s="382"/>
      <c r="BC4" s="382"/>
      <c r="BD4" s="382"/>
      <c r="BE4" s="382"/>
      <c r="BF4" s="382"/>
      <c r="BG4" s="429"/>
      <c r="BH4" s="430"/>
      <c r="BI4" s="431"/>
      <c r="BJ4" s="404"/>
      <c r="BK4" s="406"/>
      <c r="BL4" s="406"/>
      <c r="BM4" s="404"/>
      <c r="BN4" s="406"/>
      <c r="BO4" s="406"/>
      <c r="BP4" s="419"/>
      <c r="BQ4" s="397"/>
      <c r="BR4" s="397"/>
      <c r="BS4" s="417" t="s">
        <v>35</v>
      </c>
      <c r="BT4" s="417" t="s">
        <v>36</v>
      </c>
      <c r="BU4" s="386"/>
      <c r="BV4" s="386"/>
      <c r="BW4" s="386"/>
      <c r="BX4" s="416"/>
      <c r="BY4" s="414"/>
      <c r="BZ4" s="415"/>
      <c r="CA4" s="465"/>
      <c r="CB4" s="465"/>
      <c r="CC4" s="465"/>
      <c r="CD4" s="465"/>
      <c r="CE4" s="465"/>
      <c r="CF4" s="465"/>
      <c r="CG4" s="465"/>
      <c r="CH4" s="465"/>
      <c r="CI4" s="462" t="s">
        <v>366</v>
      </c>
      <c r="CJ4" s="462" t="s">
        <v>367</v>
      </c>
      <c r="CK4" s="460"/>
      <c r="CL4" s="460"/>
      <c r="CM4" s="451"/>
      <c r="CN4" s="458"/>
      <c r="CO4" s="374"/>
      <c r="CP4" s="374"/>
      <c r="CQ4" s="374"/>
      <c r="CR4" s="374"/>
      <c r="CS4" s="374"/>
      <c r="CT4" s="455"/>
      <c r="CU4" s="453"/>
      <c r="CV4" s="440"/>
      <c r="CW4" s="440"/>
      <c r="CX4" s="440"/>
      <c r="CY4" s="440"/>
      <c r="CZ4" s="440"/>
      <c r="DA4" s="440"/>
      <c r="DB4" s="443" t="s">
        <v>325</v>
      </c>
      <c r="DC4" s="443" t="s">
        <v>326</v>
      </c>
      <c r="DD4" s="443" t="s">
        <v>327</v>
      </c>
      <c r="DE4" s="443" t="s">
        <v>328</v>
      </c>
      <c r="DF4" s="443" t="s">
        <v>325</v>
      </c>
      <c r="DG4" s="443" t="s">
        <v>326</v>
      </c>
      <c r="DH4" s="443" t="s">
        <v>327</v>
      </c>
      <c r="DI4" s="443" t="s">
        <v>328</v>
      </c>
      <c r="DJ4" s="443"/>
      <c r="DK4" s="445"/>
      <c r="DL4" s="443" t="s">
        <v>329</v>
      </c>
      <c r="DM4" s="443" t="s">
        <v>330</v>
      </c>
      <c r="DN4" s="446" t="s">
        <v>329</v>
      </c>
      <c r="DO4" s="446"/>
      <c r="DP4" s="446"/>
      <c r="DQ4" s="446"/>
      <c r="DR4" s="446"/>
      <c r="DS4" s="446"/>
      <c r="DT4" s="446"/>
      <c r="DU4" s="446" t="s">
        <v>330</v>
      </c>
      <c r="DV4" s="446"/>
      <c r="DW4" s="446"/>
      <c r="DX4" s="446"/>
      <c r="DY4" s="446"/>
      <c r="DZ4" s="446"/>
      <c r="EA4" s="446"/>
      <c r="EB4" s="442"/>
      <c r="EC4" s="442"/>
    </row>
    <row r="5" spans="1:135" ht="179.25" x14ac:dyDescent="0.2">
      <c r="A5" s="422"/>
      <c r="B5" s="394"/>
      <c r="C5" s="395"/>
      <c r="D5" s="370"/>
      <c r="E5" s="370"/>
      <c r="F5" s="370"/>
      <c r="G5" s="370"/>
      <c r="H5" s="371"/>
      <c r="I5" s="371"/>
      <c r="J5" s="370"/>
      <c r="K5" s="370"/>
      <c r="L5" s="370"/>
      <c r="M5" s="370"/>
      <c r="N5" s="370"/>
      <c r="O5" s="370"/>
      <c r="P5" s="370"/>
      <c r="Q5" s="416"/>
      <c r="R5" s="331" t="s">
        <v>48</v>
      </c>
      <c r="S5" s="331" t="s">
        <v>7</v>
      </c>
      <c r="T5" s="377"/>
      <c r="U5" s="330" t="s">
        <v>48</v>
      </c>
      <c r="V5" s="330" t="s">
        <v>7</v>
      </c>
      <c r="W5" s="377"/>
      <c r="X5" s="330" t="s">
        <v>48</v>
      </c>
      <c r="Y5" s="330" t="s">
        <v>7</v>
      </c>
      <c r="Z5" s="377"/>
      <c r="AA5" s="195" t="s">
        <v>48</v>
      </c>
      <c r="AB5" s="195" t="s">
        <v>7</v>
      </c>
      <c r="AC5" s="454"/>
      <c r="AD5" s="449"/>
      <c r="AE5" s="196" t="s">
        <v>192</v>
      </c>
      <c r="AF5" s="197" t="s">
        <v>193</v>
      </c>
      <c r="AG5" s="397"/>
      <c r="AH5" s="397"/>
      <c r="AI5" s="456"/>
      <c r="AJ5" s="380"/>
      <c r="AK5" s="380"/>
      <c r="AL5" s="380"/>
      <c r="AM5" s="380"/>
      <c r="AN5" s="380"/>
      <c r="AO5" s="380"/>
      <c r="AP5" s="383"/>
      <c r="AQ5" s="383"/>
      <c r="AR5" s="383"/>
      <c r="AS5" s="383"/>
      <c r="AT5" s="383"/>
      <c r="AU5" s="434"/>
      <c r="AV5" s="434"/>
      <c r="AW5" s="434"/>
      <c r="AX5" s="383"/>
      <c r="AY5" s="383"/>
      <c r="AZ5" s="383"/>
      <c r="BA5" s="383"/>
      <c r="BB5" s="383"/>
      <c r="BC5" s="383"/>
      <c r="BD5" s="383"/>
      <c r="BE5" s="383"/>
      <c r="BF5" s="383"/>
      <c r="BG5" s="113" t="s">
        <v>74</v>
      </c>
      <c r="BH5" s="113" t="s">
        <v>8</v>
      </c>
      <c r="BI5" s="114" t="s">
        <v>9</v>
      </c>
      <c r="BJ5" s="405"/>
      <c r="BK5" s="406"/>
      <c r="BL5" s="406"/>
      <c r="BM5" s="405"/>
      <c r="BN5" s="406"/>
      <c r="BO5" s="406"/>
      <c r="BP5" s="419"/>
      <c r="BQ5" s="397"/>
      <c r="BR5" s="397"/>
      <c r="BS5" s="418"/>
      <c r="BT5" s="418"/>
      <c r="BU5" s="387"/>
      <c r="BV5" s="387"/>
      <c r="BW5" s="387"/>
      <c r="BX5" s="416"/>
      <c r="BY5" s="252" t="s">
        <v>341</v>
      </c>
      <c r="BZ5" s="252" t="s">
        <v>342</v>
      </c>
      <c r="CA5" s="466"/>
      <c r="CB5" s="466"/>
      <c r="CC5" s="466"/>
      <c r="CD5" s="466"/>
      <c r="CE5" s="466"/>
      <c r="CF5" s="466"/>
      <c r="CG5" s="466"/>
      <c r="CH5" s="466"/>
      <c r="CI5" s="463"/>
      <c r="CJ5" s="463"/>
      <c r="CK5" s="460"/>
      <c r="CL5" s="460"/>
      <c r="CM5" s="452"/>
      <c r="CN5" s="459"/>
      <c r="CO5" s="185" t="s">
        <v>188</v>
      </c>
      <c r="CP5" s="185" t="s">
        <v>189</v>
      </c>
      <c r="CQ5" s="185" t="s">
        <v>188</v>
      </c>
      <c r="CR5" s="185" t="s">
        <v>189</v>
      </c>
      <c r="CS5" s="185" t="s">
        <v>188</v>
      </c>
      <c r="CT5" s="192" t="s">
        <v>189</v>
      </c>
      <c r="CU5" s="453"/>
      <c r="CV5" s="309" t="s">
        <v>188</v>
      </c>
      <c r="CW5" s="309" t="s">
        <v>348</v>
      </c>
      <c r="CX5" s="242" t="s">
        <v>349</v>
      </c>
      <c r="CY5" s="308" t="s">
        <v>188</v>
      </c>
      <c r="CZ5" s="308" t="s">
        <v>350</v>
      </c>
      <c r="DA5" s="242" t="s">
        <v>351</v>
      </c>
      <c r="DB5" s="443"/>
      <c r="DC5" s="443"/>
      <c r="DD5" s="443"/>
      <c r="DE5" s="443"/>
      <c r="DF5" s="443"/>
      <c r="DG5" s="443"/>
      <c r="DH5" s="443"/>
      <c r="DI5" s="443"/>
      <c r="DJ5" s="443"/>
      <c r="DK5" s="445"/>
      <c r="DL5" s="443"/>
      <c r="DM5" s="443"/>
      <c r="DN5" s="240" t="s">
        <v>331</v>
      </c>
      <c r="DO5" s="240" t="s">
        <v>332</v>
      </c>
      <c r="DP5" s="241" t="s">
        <v>333</v>
      </c>
      <c r="DQ5" s="241" t="s">
        <v>334</v>
      </c>
      <c r="DR5" s="240" t="s">
        <v>335</v>
      </c>
      <c r="DS5" s="241" t="s">
        <v>333</v>
      </c>
      <c r="DT5" s="241" t="s">
        <v>334</v>
      </c>
      <c r="DU5" s="240" t="s">
        <v>331</v>
      </c>
      <c r="DV5" s="240" t="s">
        <v>332</v>
      </c>
      <c r="DW5" s="241" t="s">
        <v>333</v>
      </c>
      <c r="DX5" s="241" t="s">
        <v>334</v>
      </c>
      <c r="DY5" s="240" t="s">
        <v>335</v>
      </c>
      <c r="DZ5" s="241" t="s">
        <v>333</v>
      </c>
      <c r="EA5" s="241" t="s">
        <v>334</v>
      </c>
      <c r="EB5" s="241" t="s">
        <v>325</v>
      </c>
      <c r="EC5" s="241" t="s">
        <v>336</v>
      </c>
    </row>
    <row r="6" spans="1:135" s="148" customFormat="1" x14ac:dyDescent="0.2">
      <c r="A6" s="147"/>
      <c r="B6" s="168"/>
      <c r="C6" s="147">
        <v>1</v>
      </c>
      <c r="D6" s="147">
        <v>2</v>
      </c>
      <c r="E6" s="147"/>
      <c r="F6" s="147">
        <v>4</v>
      </c>
      <c r="G6" s="147">
        <v>5</v>
      </c>
      <c r="H6" s="147">
        <v>6</v>
      </c>
      <c r="I6" s="147">
        <v>7</v>
      </c>
      <c r="J6" s="147">
        <v>8</v>
      </c>
      <c r="K6" s="147">
        <v>9</v>
      </c>
      <c r="L6" s="147">
        <v>10</v>
      </c>
      <c r="M6" s="147">
        <v>11</v>
      </c>
      <c r="N6" s="147">
        <v>12</v>
      </c>
      <c r="O6" s="147">
        <v>13</v>
      </c>
      <c r="P6" s="147">
        <v>14</v>
      </c>
      <c r="Q6" s="321">
        <v>15</v>
      </c>
      <c r="R6" s="147">
        <v>16</v>
      </c>
      <c r="S6" s="147">
        <v>17</v>
      </c>
      <c r="T6" s="147">
        <v>18</v>
      </c>
      <c r="U6" s="147">
        <v>19</v>
      </c>
      <c r="V6" s="147">
        <v>20</v>
      </c>
      <c r="W6" s="147">
        <v>21</v>
      </c>
      <c r="X6" s="147">
        <v>22</v>
      </c>
      <c r="Y6" s="147">
        <v>23</v>
      </c>
      <c r="Z6" s="147">
        <v>24</v>
      </c>
      <c r="AA6" s="147">
        <v>25</v>
      </c>
      <c r="AB6" s="147">
        <v>26</v>
      </c>
      <c r="AC6" s="147">
        <v>27</v>
      </c>
      <c r="AD6" s="147">
        <v>28</v>
      </c>
      <c r="AE6" s="147">
        <v>29</v>
      </c>
      <c r="AF6" s="147">
        <v>30</v>
      </c>
      <c r="AG6" s="147">
        <v>31</v>
      </c>
      <c r="AH6" s="147">
        <v>32</v>
      </c>
      <c r="AI6" s="147">
        <v>33</v>
      </c>
      <c r="AJ6" s="147">
        <v>34</v>
      </c>
      <c r="AK6" s="147">
        <v>35</v>
      </c>
      <c r="AL6" s="147">
        <v>36</v>
      </c>
      <c r="AM6" s="147">
        <v>37</v>
      </c>
      <c r="AN6" s="147">
        <v>38</v>
      </c>
      <c r="AO6" s="147">
        <v>39</v>
      </c>
      <c r="AP6" s="147">
        <v>40</v>
      </c>
      <c r="AQ6" s="147">
        <v>41</v>
      </c>
      <c r="AR6" s="147">
        <v>42</v>
      </c>
      <c r="AS6" s="147">
        <v>43</v>
      </c>
      <c r="AT6" s="147">
        <v>44</v>
      </c>
      <c r="AU6" s="147">
        <v>45</v>
      </c>
      <c r="AV6" s="147">
        <v>46</v>
      </c>
      <c r="AW6" s="147">
        <v>47</v>
      </c>
      <c r="AX6" s="147">
        <v>48</v>
      </c>
      <c r="AY6" s="147">
        <v>49</v>
      </c>
      <c r="AZ6" s="147">
        <v>50</v>
      </c>
      <c r="BA6" s="147">
        <v>51</v>
      </c>
      <c r="BB6" s="147">
        <v>52</v>
      </c>
      <c r="BC6" s="147">
        <v>53</v>
      </c>
      <c r="BD6" s="147">
        <v>54</v>
      </c>
      <c r="BE6" s="147">
        <v>55</v>
      </c>
      <c r="BF6" s="147">
        <v>56</v>
      </c>
      <c r="BG6" s="147">
        <v>57</v>
      </c>
      <c r="BH6" s="147">
        <v>58</v>
      </c>
      <c r="BI6" s="147">
        <v>59</v>
      </c>
      <c r="BJ6" s="147">
        <v>60</v>
      </c>
      <c r="BK6" s="147">
        <v>61</v>
      </c>
      <c r="BL6" s="147">
        <v>62</v>
      </c>
      <c r="BM6" s="147">
        <v>63</v>
      </c>
      <c r="BN6" s="147">
        <v>64</v>
      </c>
      <c r="BO6" s="147">
        <v>65</v>
      </c>
      <c r="BP6" s="147">
        <v>66</v>
      </c>
      <c r="BQ6" s="147">
        <v>67</v>
      </c>
      <c r="BR6" s="147">
        <v>68</v>
      </c>
      <c r="BS6" s="147">
        <v>69</v>
      </c>
      <c r="BT6" s="147">
        <v>70</v>
      </c>
      <c r="BU6" s="147">
        <v>71</v>
      </c>
      <c r="BV6" s="147">
        <v>72</v>
      </c>
      <c r="BW6" s="147">
        <v>73</v>
      </c>
      <c r="BX6" s="147">
        <v>74</v>
      </c>
      <c r="BY6" s="147">
        <v>75</v>
      </c>
      <c r="BZ6" s="147">
        <v>76</v>
      </c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>
        <v>77</v>
      </c>
      <c r="CN6" s="147">
        <v>78</v>
      </c>
      <c r="CO6" s="147">
        <v>79</v>
      </c>
      <c r="CP6" s="147">
        <v>80</v>
      </c>
      <c r="CQ6" s="147">
        <v>81</v>
      </c>
      <c r="CR6" s="147">
        <v>82</v>
      </c>
      <c r="CS6" s="147">
        <v>83</v>
      </c>
      <c r="CT6" s="147">
        <v>84</v>
      </c>
      <c r="CU6" s="147">
        <v>85</v>
      </c>
      <c r="CV6" s="147">
        <v>86</v>
      </c>
      <c r="CW6" s="147">
        <v>87</v>
      </c>
      <c r="CX6" s="147">
        <v>88</v>
      </c>
      <c r="CY6" s="147">
        <v>89</v>
      </c>
      <c r="CZ6" s="147">
        <v>90</v>
      </c>
      <c r="DA6" s="147">
        <v>91</v>
      </c>
      <c r="DB6" s="147">
        <v>92</v>
      </c>
      <c r="DC6" s="147">
        <v>93</v>
      </c>
      <c r="DD6" s="147">
        <v>94</v>
      </c>
      <c r="DE6" s="147">
        <v>95</v>
      </c>
      <c r="DF6" s="147">
        <v>96</v>
      </c>
      <c r="DG6" s="147">
        <v>97</v>
      </c>
      <c r="DH6" s="147">
        <v>98</v>
      </c>
      <c r="DI6" s="147">
        <v>99</v>
      </c>
      <c r="DJ6" s="147">
        <v>100</v>
      </c>
      <c r="DK6" s="147">
        <v>101</v>
      </c>
      <c r="DL6" s="147">
        <v>102</v>
      </c>
      <c r="DM6" s="147">
        <v>103</v>
      </c>
      <c r="DN6" s="147">
        <v>104</v>
      </c>
      <c r="DO6" s="147">
        <v>105</v>
      </c>
      <c r="DP6" s="147">
        <v>106</v>
      </c>
      <c r="DQ6" s="147">
        <v>107</v>
      </c>
      <c r="DR6" s="147">
        <v>108</v>
      </c>
      <c r="DS6" s="147">
        <v>109</v>
      </c>
      <c r="DT6" s="147">
        <v>110</v>
      </c>
      <c r="DU6" s="147">
        <v>111</v>
      </c>
      <c r="DV6" s="147">
        <v>112</v>
      </c>
      <c r="DW6" s="147">
        <v>113</v>
      </c>
      <c r="DX6" s="147">
        <v>114</v>
      </c>
      <c r="DY6" s="147">
        <v>115</v>
      </c>
      <c r="DZ6" s="147">
        <v>116</v>
      </c>
      <c r="EA6" s="147">
        <v>117</v>
      </c>
      <c r="EB6" s="147">
        <v>118</v>
      </c>
      <c r="EC6" s="147">
        <v>119</v>
      </c>
    </row>
    <row r="7" spans="1:135" x14ac:dyDescent="0.2">
      <c r="A7" s="10" t="s">
        <v>143</v>
      </c>
      <c r="B7" s="169">
        <v>1</v>
      </c>
      <c r="C7" s="12" t="s">
        <v>112</v>
      </c>
      <c r="D7" s="13">
        <v>1992</v>
      </c>
      <c r="E7" s="1"/>
      <c r="F7" s="2" t="s">
        <v>24</v>
      </c>
      <c r="G7" s="111">
        <v>1</v>
      </c>
      <c r="H7" s="1">
        <v>9</v>
      </c>
      <c r="I7" s="1" t="s">
        <v>22</v>
      </c>
      <c r="J7" s="122">
        <v>10244</v>
      </c>
      <c r="K7" s="122">
        <v>421</v>
      </c>
      <c r="L7" s="122"/>
      <c r="M7" s="122">
        <v>374</v>
      </c>
      <c r="N7" s="122">
        <v>32</v>
      </c>
      <c r="O7" s="122">
        <v>96</v>
      </c>
      <c r="P7" s="122">
        <v>32</v>
      </c>
      <c r="Q7" s="322">
        <v>83</v>
      </c>
      <c r="R7" s="179">
        <v>2155.4</v>
      </c>
      <c r="S7" s="121">
        <v>1387.4</v>
      </c>
      <c r="T7" s="122">
        <f>N7-W7-Z7</f>
        <v>27</v>
      </c>
      <c r="U7" s="180">
        <f>R7-X7-AA7</f>
        <v>1806.8000000000002</v>
      </c>
      <c r="V7" s="180">
        <f>S7-Y7-AB7</f>
        <v>1157.8000000000002</v>
      </c>
      <c r="W7" s="122">
        <v>5</v>
      </c>
      <c r="X7" s="180">
        <v>348.6</v>
      </c>
      <c r="Y7" s="180">
        <v>229.6</v>
      </c>
      <c r="Z7" s="122"/>
      <c r="AA7" s="122"/>
      <c r="AB7" s="122"/>
      <c r="AC7" s="180">
        <f>AD7+AG7+AH7</f>
        <v>224.7</v>
      </c>
      <c r="AD7" s="179">
        <f>AE7+AF7</f>
        <v>224.7</v>
      </c>
      <c r="AE7" s="271"/>
      <c r="AF7" s="179">
        <v>224.7</v>
      </c>
      <c r="AG7" s="180"/>
      <c r="AH7" s="180"/>
      <c r="AI7" s="180">
        <f>R7+AC7</f>
        <v>2380.1</v>
      </c>
      <c r="AJ7" s="122">
        <v>120</v>
      </c>
      <c r="AK7" s="122">
        <v>1</v>
      </c>
      <c r="AL7" s="122">
        <v>1</v>
      </c>
      <c r="AM7" s="122">
        <v>1</v>
      </c>
      <c r="AN7" s="122"/>
      <c r="AO7" s="122">
        <v>1</v>
      </c>
      <c r="AP7" s="122">
        <v>2297</v>
      </c>
      <c r="AQ7" s="122"/>
      <c r="AR7" s="122">
        <f>85+65+40+40</f>
        <v>230</v>
      </c>
      <c r="AS7" s="122">
        <v>175</v>
      </c>
      <c r="AT7" s="122">
        <v>72</v>
      </c>
      <c r="AU7" s="122">
        <f t="shared" ref="AU7:AU35" si="0">AV7+AW7</f>
        <v>2792</v>
      </c>
      <c r="AV7" s="122"/>
      <c r="AW7" s="122">
        <v>2792</v>
      </c>
      <c r="AX7" s="122">
        <v>1187</v>
      </c>
      <c r="AY7" s="122">
        <v>88</v>
      </c>
      <c r="AZ7" s="122">
        <v>374</v>
      </c>
      <c r="BA7" s="122">
        <v>314</v>
      </c>
      <c r="BB7" s="122">
        <v>16</v>
      </c>
      <c r="BC7" s="122">
        <v>19</v>
      </c>
      <c r="BD7" s="122">
        <v>140</v>
      </c>
      <c r="BE7" s="122">
        <v>285</v>
      </c>
      <c r="BF7" s="122">
        <v>1</v>
      </c>
      <c r="BG7" s="122">
        <v>1635</v>
      </c>
      <c r="BH7" s="122">
        <v>472</v>
      </c>
      <c r="BI7" s="122">
        <v>132</v>
      </c>
      <c r="BJ7" s="115" t="str">
        <f>IF((I7="кир"),G7,"0")</f>
        <v>0</v>
      </c>
      <c r="BK7" s="115" t="str">
        <f>IF((I7="кир"),R7,"0")</f>
        <v>0</v>
      </c>
      <c r="BL7" s="115" t="str">
        <f>IF((I7="кир"),S7,"0")</f>
        <v>0</v>
      </c>
      <c r="BM7" s="115">
        <f>IF((I7="пан"),G7,"0")</f>
        <v>1</v>
      </c>
      <c r="BN7" s="115">
        <f>IF((I7="пан"),R7,"0")</f>
        <v>2155.4</v>
      </c>
      <c r="BO7" s="115">
        <f>IF((I7="пан"),S7,"0")</f>
        <v>1387.4</v>
      </c>
      <c r="BP7" s="115" t="str">
        <f>IF((I7="смеш"),G7,"0")</f>
        <v>0</v>
      </c>
      <c r="BQ7" s="115" t="str">
        <f>IF((I7="смеш"),R7,"0")</f>
        <v>0</v>
      </c>
      <c r="BR7" s="115" t="str">
        <f>IF((I7="смеш"),S7,"0")</f>
        <v>0</v>
      </c>
      <c r="BS7" s="115"/>
      <c r="BT7" s="115">
        <v>1</v>
      </c>
      <c r="BU7" s="115">
        <v>314</v>
      </c>
      <c r="BV7" s="115">
        <v>18</v>
      </c>
      <c r="BW7" s="115"/>
      <c r="BX7" s="115"/>
      <c r="BY7" s="253">
        <v>741.5</v>
      </c>
      <c r="BZ7" s="253">
        <v>378.6</v>
      </c>
      <c r="CA7" s="343">
        <f>163.2+215.4</f>
        <v>378.6</v>
      </c>
      <c r="CB7" s="343">
        <f>2.6+7.5</f>
        <v>10.1</v>
      </c>
      <c r="CC7" s="344"/>
      <c r="CD7" s="345">
        <v>313.89999999999998</v>
      </c>
      <c r="CE7" s="344">
        <v>23.8</v>
      </c>
      <c r="CF7" s="344"/>
      <c r="CG7" s="344">
        <v>5.9</v>
      </c>
      <c r="CH7" s="346">
        <v>9.1999999999999993</v>
      </c>
      <c r="CI7" s="347">
        <f>CH7+CG7+CF7+CE7+CD7+CC7+CB7+CA7</f>
        <v>741.5</v>
      </c>
      <c r="CJ7" s="347">
        <f t="shared" ref="CJ7:CJ35" si="1">CA7+CC7</f>
        <v>378.6</v>
      </c>
      <c r="CK7" s="348">
        <v>374</v>
      </c>
      <c r="CL7" s="349">
        <f t="shared" ref="CL7:CL35" si="2">CK7+CI7</f>
        <v>1115.5</v>
      </c>
      <c r="CM7" s="188">
        <v>856</v>
      </c>
      <c r="CN7" s="188">
        <f t="shared" ref="CN7:CN35" si="3">CM7-K7</f>
        <v>435</v>
      </c>
      <c r="CO7" s="186" t="str">
        <f t="shared" ref="CO7:CO35" si="4">IF(CP7&gt;0,G7,"0")</f>
        <v>0</v>
      </c>
      <c r="CP7" s="187">
        <f t="shared" ref="CP7:CP35" si="5">AV7</f>
        <v>0</v>
      </c>
      <c r="CQ7" s="186">
        <f t="shared" ref="CQ7:CQ13" si="6">IF(CR7&gt;0,G7,"0")</f>
        <v>1</v>
      </c>
      <c r="CR7" s="187">
        <f t="shared" ref="CR7:CR35" si="7">AW7</f>
        <v>2792</v>
      </c>
      <c r="CS7" s="187">
        <f t="shared" ref="CS7:CT7" si="8">CO7+CQ7</f>
        <v>1</v>
      </c>
      <c r="CT7" s="187">
        <f t="shared" si="8"/>
        <v>2792</v>
      </c>
      <c r="CU7" s="14">
        <v>53</v>
      </c>
      <c r="CV7" s="284" t="str">
        <f>IF((X7/R7*100&gt;=50), G7, "0")</f>
        <v>0</v>
      </c>
      <c r="CW7" s="284" t="str">
        <f>IF((X7/R7*100&gt;=50), R7, "0")</f>
        <v>0</v>
      </c>
      <c r="CX7" s="243">
        <f>X7/R7*100</f>
        <v>16.17333209613065</v>
      </c>
      <c r="CY7" s="216" t="str">
        <f>IF(((X7+AD7)/AI7*100&gt;=50), G7, "0")</f>
        <v>0</v>
      </c>
      <c r="CZ7" s="216" t="str">
        <f>IF(((X7+AD7)/AI7*100&gt;=50), AI7, "0")</f>
        <v>0</v>
      </c>
      <c r="DA7" s="243">
        <f>(X7+AD7)/AI7*100</f>
        <v>24.087223225914876</v>
      </c>
      <c r="DB7" s="291">
        <v>1</v>
      </c>
      <c r="DC7" s="291">
        <v>1</v>
      </c>
      <c r="DD7" s="291">
        <v>1</v>
      </c>
      <c r="DE7" s="291">
        <v>1</v>
      </c>
      <c r="DF7" s="291">
        <v>2</v>
      </c>
      <c r="DG7" s="291">
        <v>1</v>
      </c>
      <c r="DH7" s="291">
        <v>1</v>
      </c>
      <c r="DI7" s="291">
        <v>1</v>
      </c>
      <c r="DJ7" s="292">
        <v>1</v>
      </c>
      <c r="DK7" s="292">
        <v>32</v>
      </c>
      <c r="DL7" s="292">
        <f>DK7-DM7</f>
        <v>28</v>
      </c>
      <c r="DM7" s="292">
        <v>4</v>
      </c>
      <c r="DN7" s="292">
        <v>24</v>
      </c>
      <c r="DO7" s="292">
        <v>18</v>
      </c>
      <c r="DP7" s="292">
        <v>14</v>
      </c>
      <c r="DQ7" s="292">
        <v>18</v>
      </c>
      <c r="DR7" s="292">
        <v>20</v>
      </c>
      <c r="DS7" s="292">
        <v>12</v>
      </c>
      <c r="DT7" s="292">
        <v>20</v>
      </c>
      <c r="DU7" s="292">
        <v>3</v>
      </c>
      <c r="DV7" s="292">
        <v>2</v>
      </c>
      <c r="DW7" s="292">
        <v>0</v>
      </c>
      <c r="DX7" s="292">
        <v>2</v>
      </c>
      <c r="DY7" s="292">
        <v>2</v>
      </c>
      <c r="DZ7" s="292">
        <v>0</v>
      </c>
      <c r="EA7" s="292">
        <v>2</v>
      </c>
      <c r="EB7" s="292">
        <v>32</v>
      </c>
      <c r="EC7" s="292">
        <v>32</v>
      </c>
      <c r="ED7" s="342"/>
      <c r="EE7" s="342"/>
    </row>
    <row r="8" spans="1:135" x14ac:dyDescent="0.2">
      <c r="A8" s="10" t="s">
        <v>143</v>
      </c>
      <c r="B8" s="169">
        <v>2</v>
      </c>
      <c r="C8" s="12" t="s">
        <v>113</v>
      </c>
      <c r="D8" s="13">
        <v>1993</v>
      </c>
      <c r="E8" s="1"/>
      <c r="F8" s="2" t="s">
        <v>25</v>
      </c>
      <c r="G8" s="111">
        <v>1</v>
      </c>
      <c r="H8" s="1">
        <v>9</v>
      </c>
      <c r="I8" s="1" t="s">
        <v>22</v>
      </c>
      <c r="J8" s="122">
        <v>38461</v>
      </c>
      <c r="K8" s="122">
        <v>1629</v>
      </c>
      <c r="L8" s="122"/>
      <c r="M8" s="122">
        <v>1535.7</v>
      </c>
      <c r="N8" s="122">
        <v>125</v>
      </c>
      <c r="O8" s="122">
        <v>382</v>
      </c>
      <c r="P8" s="122">
        <v>125</v>
      </c>
      <c r="Q8" s="322">
        <v>380</v>
      </c>
      <c r="R8" s="179">
        <v>10168.5</v>
      </c>
      <c r="S8" s="121">
        <v>6645.3</v>
      </c>
      <c r="T8" s="122">
        <f t="shared" ref="T8:T35" si="9">N8-W8-Z8</f>
        <v>94</v>
      </c>
      <c r="U8" s="180">
        <f t="shared" ref="U8:U35" si="10">R8-X8-AA8</f>
        <v>7408.2</v>
      </c>
      <c r="V8" s="180">
        <f t="shared" ref="V8:V35" si="11">S8-Y8-AB8</f>
        <v>4830.6499999999996</v>
      </c>
      <c r="W8" s="122">
        <v>31</v>
      </c>
      <c r="X8" s="180">
        <v>2760.3</v>
      </c>
      <c r="Y8" s="180">
        <v>1814.65</v>
      </c>
      <c r="Z8" s="122"/>
      <c r="AA8" s="122"/>
      <c r="AB8" s="122"/>
      <c r="AC8" s="180">
        <f t="shared" ref="AC8:AC35" si="12">AD8+AG8+AH8</f>
        <v>93.8</v>
      </c>
      <c r="AD8" s="179">
        <f t="shared" ref="AD8:AD35" si="13">AE8+AF8</f>
        <v>93.8</v>
      </c>
      <c r="AE8" s="271"/>
      <c r="AF8" s="179">
        <v>93.8</v>
      </c>
      <c r="AG8" s="180"/>
      <c r="AH8" s="180"/>
      <c r="AI8" s="180">
        <f t="shared" ref="AI8:AI35" si="14">R8+AC8</f>
        <v>10262.299999999999</v>
      </c>
      <c r="AJ8" s="122">
        <v>225</v>
      </c>
      <c r="AK8" s="122">
        <v>4</v>
      </c>
      <c r="AL8" s="122">
        <v>4</v>
      </c>
      <c r="AM8" s="122">
        <v>4</v>
      </c>
      <c r="AN8" s="122"/>
      <c r="AO8" s="122">
        <v>4</v>
      </c>
      <c r="AP8" s="122">
        <v>6803</v>
      </c>
      <c r="AQ8" s="122"/>
      <c r="AR8" s="122">
        <f>147+147+75+250</f>
        <v>619</v>
      </c>
      <c r="AS8" s="122">
        <v>524</v>
      </c>
      <c r="AT8" s="122">
        <v>128</v>
      </c>
      <c r="AU8" s="122">
        <f t="shared" si="0"/>
        <v>8893</v>
      </c>
      <c r="AV8" s="122"/>
      <c r="AW8" s="122">
        <v>8893</v>
      </c>
      <c r="AX8" s="122">
        <v>3232</v>
      </c>
      <c r="AY8" s="122">
        <v>339</v>
      </c>
      <c r="AZ8" s="122">
        <v>1536</v>
      </c>
      <c r="BA8" s="122">
        <v>1317</v>
      </c>
      <c r="BB8" s="122">
        <v>64</v>
      </c>
      <c r="BC8" s="122">
        <v>81</v>
      </c>
      <c r="BD8" s="122">
        <v>550</v>
      </c>
      <c r="BE8" s="122">
        <v>1059</v>
      </c>
      <c r="BF8" s="122">
        <v>2</v>
      </c>
      <c r="BG8" s="122">
        <v>6215</v>
      </c>
      <c r="BH8" s="122">
        <v>1888</v>
      </c>
      <c r="BI8" s="122">
        <v>648</v>
      </c>
      <c r="BJ8" s="115" t="str">
        <f t="shared" ref="BJ8:BJ35" si="15">IF((I8="кир"),G8,"0")</f>
        <v>0</v>
      </c>
      <c r="BK8" s="115" t="str">
        <f t="shared" ref="BK8:BK35" si="16">IF((I8="кир"),R8,"0")</f>
        <v>0</v>
      </c>
      <c r="BL8" s="115" t="str">
        <f t="shared" ref="BL8:BL35" si="17">IF((I8="кир"),S8,"0")</f>
        <v>0</v>
      </c>
      <c r="BM8" s="115">
        <f t="shared" ref="BM8:BM35" si="18">IF((I8="пан"),G8,"0")</f>
        <v>1</v>
      </c>
      <c r="BN8" s="115">
        <f t="shared" ref="BN8:BN35" si="19">IF((I8="пан"),R8,"0")</f>
        <v>10168.5</v>
      </c>
      <c r="BO8" s="115">
        <f t="shared" ref="BO8:BO35" si="20">IF((I8="пан"),S8,"0")</f>
        <v>6645.3</v>
      </c>
      <c r="BP8" s="115" t="str">
        <f t="shared" ref="BP8:BP35" si="21">IF((I8="смеш"),G8,"0")</f>
        <v>0</v>
      </c>
      <c r="BQ8" s="115" t="str">
        <f t="shared" ref="BQ8:BQ35" si="22">IF((I8="смеш"),R8,"0")</f>
        <v>0</v>
      </c>
      <c r="BR8" s="115" t="str">
        <f t="shared" ref="BR8:BR35" si="23">IF((I8="смеш"),S8,"0")</f>
        <v>0</v>
      </c>
      <c r="BS8" s="115"/>
      <c r="BT8" s="115">
        <v>4</v>
      </c>
      <c r="BU8" s="115">
        <v>1317</v>
      </c>
      <c r="BV8" s="115">
        <v>406</v>
      </c>
      <c r="BW8" s="115"/>
      <c r="BX8" s="115"/>
      <c r="BY8" s="253">
        <v>2527.0999999999995</v>
      </c>
      <c r="BZ8" s="253">
        <v>1088.0999999999999</v>
      </c>
      <c r="CA8" s="343">
        <f>971.7-3.6*4+130.8</f>
        <v>1088.1000000000001</v>
      </c>
      <c r="CB8" s="343">
        <f>3.6*4+33.6</f>
        <v>48</v>
      </c>
      <c r="CC8" s="344"/>
      <c r="CD8" s="350">
        <v>1316.8</v>
      </c>
      <c r="CE8" s="343">
        <f>8.1+9.1+8.7+8.5</f>
        <v>34.4</v>
      </c>
      <c r="CF8" s="344"/>
      <c r="CG8" s="344">
        <v>21.6</v>
      </c>
      <c r="CH8" s="346">
        <f>9.1+9.1</f>
        <v>18.2</v>
      </c>
      <c r="CI8" s="347">
        <f t="shared" ref="CI8:CI35" si="24">CH8+CG8+CF8+CE8+CD8+CC8+CB8+CA8</f>
        <v>2527.1000000000004</v>
      </c>
      <c r="CJ8" s="347">
        <f t="shared" si="1"/>
        <v>1088.1000000000001</v>
      </c>
      <c r="CK8" s="348">
        <v>1536</v>
      </c>
      <c r="CL8" s="349">
        <f t="shared" si="2"/>
        <v>4063.1000000000004</v>
      </c>
      <c r="CM8" s="188">
        <v>3088</v>
      </c>
      <c r="CN8" s="188">
        <f t="shared" si="3"/>
        <v>1459</v>
      </c>
      <c r="CO8" s="186" t="str">
        <f t="shared" si="4"/>
        <v>0</v>
      </c>
      <c r="CP8" s="187">
        <f t="shared" si="5"/>
        <v>0</v>
      </c>
      <c r="CQ8" s="186">
        <f t="shared" si="6"/>
        <v>1</v>
      </c>
      <c r="CR8" s="187">
        <f t="shared" si="7"/>
        <v>8893</v>
      </c>
      <c r="CS8" s="187">
        <f t="shared" ref="CS8:CS35" si="25">CO8+CQ8</f>
        <v>1</v>
      </c>
      <c r="CT8" s="187">
        <f t="shared" ref="CT8:CT35" si="26">CP8+CR8</f>
        <v>8893</v>
      </c>
      <c r="CU8" s="14">
        <v>55</v>
      </c>
      <c r="CV8" s="284" t="str">
        <f t="shared" ref="CV8:CV35" si="27">IF((X8/R8*100&gt;=50), G8, "0")</f>
        <v>0</v>
      </c>
      <c r="CW8" s="284" t="str">
        <f t="shared" ref="CW8:CW35" si="28">IF((X8/R8*100&gt;=50), R8, "0")</f>
        <v>0</v>
      </c>
      <c r="CX8" s="243">
        <f t="shared" ref="CX8:CX35" si="29">X8/R8*100</f>
        <v>27.145596695677831</v>
      </c>
      <c r="CY8" s="216" t="str">
        <f t="shared" ref="CY8:CY35" si="30">IF(((X8+AD8)/AI8*100&gt;=50), G8, "0")</f>
        <v>0</v>
      </c>
      <c r="CZ8" s="216" t="str">
        <f t="shared" ref="CZ8:CZ35" si="31">IF(((X8+AD8)/AI8*100&gt;=50), AI8, "0")</f>
        <v>0</v>
      </c>
      <c r="DA8" s="243">
        <f t="shared" ref="DA8:DA35" si="32">(X8+AD8)/AI8*100</f>
        <v>27.811504243688066</v>
      </c>
      <c r="DB8" s="291">
        <v>1</v>
      </c>
      <c r="DC8" s="291">
        <v>1</v>
      </c>
      <c r="DD8" s="291">
        <v>1</v>
      </c>
      <c r="DE8" s="291">
        <v>1</v>
      </c>
      <c r="DF8" s="291">
        <v>4</v>
      </c>
      <c r="DG8" s="291">
        <v>2</v>
      </c>
      <c r="DH8" s="291">
        <v>2</v>
      </c>
      <c r="DI8" s="291">
        <v>2</v>
      </c>
      <c r="DJ8" s="292">
        <v>2</v>
      </c>
      <c r="DK8" s="292">
        <v>125</v>
      </c>
      <c r="DL8" s="292">
        <f t="shared" ref="DL8:DL35" si="33">DK8-DM8</f>
        <v>91</v>
      </c>
      <c r="DM8" s="292">
        <v>34</v>
      </c>
      <c r="DN8" s="292">
        <v>75</v>
      </c>
      <c r="DO8" s="292">
        <v>58</v>
      </c>
      <c r="DP8" s="292">
        <v>105</v>
      </c>
      <c r="DQ8" s="292">
        <v>84</v>
      </c>
      <c r="DR8" s="292">
        <v>60</v>
      </c>
      <c r="DS8" s="292">
        <v>102</v>
      </c>
      <c r="DT8" s="292">
        <v>87</v>
      </c>
      <c r="DU8" s="292">
        <v>20</v>
      </c>
      <c r="DV8" s="292">
        <v>17</v>
      </c>
      <c r="DW8" s="292">
        <v>16</v>
      </c>
      <c r="DX8" s="292">
        <v>31</v>
      </c>
      <c r="DY8" s="292">
        <v>18</v>
      </c>
      <c r="DZ8" s="292">
        <v>14</v>
      </c>
      <c r="EA8" s="292">
        <v>33</v>
      </c>
      <c r="EB8" s="292">
        <v>125</v>
      </c>
      <c r="EC8" s="292">
        <v>125</v>
      </c>
      <c r="ED8" s="342"/>
      <c r="EE8" s="342"/>
    </row>
    <row r="9" spans="1:135" x14ac:dyDescent="0.2">
      <c r="A9" s="10" t="s">
        <v>143</v>
      </c>
      <c r="B9" s="169">
        <v>3</v>
      </c>
      <c r="C9" s="12" t="s">
        <v>114</v>
      </c>
      <c r="D9" s="13">
        <v>1993</v>
      </c>
      <c r="E9" s="1"/>
      <c r="F9" s="2" t="s">
        <v>150</v>
      </c>
      <c r="G9" s="111">
        <v>1</v>
      </c>
      <c r="H9" s="1">
        <v>9</v>
      </c>
      <c r="I9" s="1" t="s">
        <v>22</v>
      </c>
      <c r="J9" s="122">
        <v>25989</v>
      </c>
      <c r="K9" s="122">
        <v>1108</v>
      </c>
      <c r="L9" s="122"/>
      <c r="M9" s="122">
        <v>1022.1</v>
      </c>
      <c r="N9" s="122">
        <v>90</v>
      </c>
      <c r="O9" s="122">
        <v>266</v>
      </c>
      <c r="P9" s="122">
        <v>90</v>
      </c>
      <c r="Q9" s="322">
        <v>254</v>
      </c>
      <c r="R9" s="179">
        <v>6866.5</v>
      </c>
      <c r="S9" s="121">
        <v>4425</v>
      </c>
      <c r="T9" s="122">
        <f t="shared" si="9"/>
        <v>75</v>
      </c>
      <c r="U9" s="180">
        <f t="shared" si="10"/>
        <v>5694.9</v>
      </c>
      <c r="V9" s="180">
        <f t="shared" si="11"/>
        <v>3780.62</v>
      </c>
      <c r="W9" s="122">
        <v>15</v>
      </c>
      <c r="X9" s="180">
        <v>1171.5999999999999</v>
      </c>
      <c r="Y9" s="180">
        <v>644.38</v>
      </c>
      <c r="Z9" s="122"/>
      <c r="AA9" s="122"/>
      <c r="AB9" s="122"/>
      <c r="AC9" s="180">
        <f t="shared" si="12"/>
        <v>0</v>
      </c>
      <c r="AD9" s="179">
        <f t="shared" si="13"/>
        <v>0</v>
      </c>
      <c r="AE9" s="271"/>
      <c r="AF9" s="179"/>
      <c r="AG9" s="180"/>
      <c r="AH9" s="180"/>
      <c r="AI9" s="180">
        <f t="shared" si="14"/>
        <v>6866.5</v>
      </c>
      <c r="AJ9" s="122">
        <v>235</v>
      </c>
      <c r="AK9" s="122">
        <v>3</v>
      </c>
      <c r="AL9" s="122">
        <v>3</v>
      </c>
      <c r="AM9" s="122">
        <v>3</v>
      </c>
      <c r="AN9" s="122"/>
      <c r="AO9" s="122">
        <v>3</v>
      </c>
      <c r="AP9" s="122">
        <v>4822</v>
      </c>
      <c r="AQ9" s="122"/>
      <c r="AR9" s="122">
        <f>134+130+64+160</f>
        <v>488</v>
      </c>
      <c r="AS9" s="122">
        <v>380</v>
      </c>
      <c r="AT9" s="122">
        <v>96</v>
      </c>
      <c r="AU9" s="122">
        <f t="shared" si="0"/>
        <v>6667</v>
      </c>
      <c r="AV9" s="122"/>
      <c r="AW9" s="122">
        <v>6667</v>
      </c>
      <c r="AX9" s="122">
        <v>2424</v>
      </c>
      <c r="AY9" s="122">
        <v>214</v>
      </c>
      <c r="AZ9" s="122">
        <v>1022</v>
      </c>
      <c r="BA9" s="122">
        <v>891</v>
      </c>
      <c r="BB9" s="122">
        <v>48</v>
      </c>
      <c r="BC9" s="122">
        <v>57</v>
      </c>
      <c r="BD9" s="122">
        <v>375</v>
      </c>
      <c r="BE9" s="122">
        <v>713</v>
      </c>
      <c r="BF9" s="122">
        <v>1</v>
      </c>
      <c r="BG9" s="122">
        <v>3570</v>
      </c>
      <c r="BH9" s="122">
        <v>1416</v>
      </c>
      <c r="BI9" s="122">
        <v>456</v>
      </c>
      <c r="BJ9" s="115" t="str">
        <f t="shared" si="15"/>
        <v>0</v>
      </c>
      <c r="BK9" s="115" t="str">
        <f t="shared" si="16"/>
        <v>0</v>
      </c>
      <c r="BL9" s="115" t="str">
        <f t="shared" si="17"/>
        <v>0</v>
      </c>
      <c r="BM9" s="115">
        <f t="shared" si="18"/>
        <v>1</v>
      </c>
      <c r="BN9" s="115">
        <f t="shared" si="19"/>
        <v>6866.5</v>
      </c>
      <c r="BO9" s="115">
        <f t="shared" si="20"/>
        <v>4425</v>
      </c>
      <c r="BP9" s="115" t="str">
        <f t="shared" si="21"/>
        <v>0</v>
      </c>
      <c r="BQ9" s="115" t="str">
        <f t="shared" si="22"/>
        <v>0</v>
      </c>
      <c r="BR9" s="115" t="str">
        <f t="shared" si="23"/>
        <v>0</v>
      </c>
      <c r="BS9" s="115">
        <v>2</v>
      </c>
      <c r="BT9" s="115">
        <v>1</v>
      </c>
      <c r="BU9" s="115">
        <v>918</v>
      </c>
      <c r="BV9" s="115">
        <v>305</v>
      </c>
      <c r="BW9" s="115"/>
      <c r="BX9" s="115"/>
      <c r="BY9" s="253">
        <v>1753.3999999999999</v>
      </c>
      <c r="BZ9" s="253">
        <v>777.2</v>
      </c>
      <c r="CA9" s="343">
        <f>692.4+84.8</f>
        <v>777.19999999999993</v>
      </c>
      <c r="CB9" s="343">
        <f>7.8+8.9*3</f>
        <v>34.5</v>
      </c>
      <c r="CC9" s="344"/>
      <c r="CD9" s="343">
        <f>917.6-8.9*3</f>
        <v>890.9</v>
      </c>
      <c r="CE9" s="343">
        <f>7.6+8.2+8</f>
        <v>23.799999999999997</v>
      </c>
      <c r="CF9" s="344"/>
      <c r="CG9" s="344">
        <v>17.7</v>
      </c>
      <c r="CH9" s="346">
        <v>9.3000000000000007</v>
      </c>
      <c r="CI9" s="347">
        <f t="shared" si="24"/>
        <v>1753.3999999999999</v>
      </c>
      <c r="CJ9" s="347">
        <f t="shared" si="1"/>
        <v>777.19999999999993</v>
      </c>
      <c r="CK9" s="348">
        <v>1022</v>
      </c>
      <c r="CL9" s="349">
        <f t="shared" si="2"/>
        <v>2775.3999999999996</v>
      </c>
      <c r="CM9" s="188">
        <v>2598</v>
      </c>
      <c r="CN9" s="188">
        <f t="shared" si="3"/>
        <v>1490</v>
      </c>
      <c r="CO9" s="186" t="str">
        <f t="shared" si="4"/>
        <v>0</v>
      </c>
      <c r="CP9" s="187">
        <f t="shared" si="5"/>
        <v>0</v>
      </c>
      <c r="CQ9" s="186">
        <f t="shared" si="6"/>
        <v>1</v>
      </c>
      <c r="CR9" s="187">
        <f t="shared" si="7"/>
        <v>6667</v>
      </c>
      <c r="CS9" s="187">
        <f t="shared" si="25"/>
        <v>1</v>
      </c>
      <c r="CT9" s="187">
        <f t="shared" si="26"/>
        <v>6667</v>
      </c>
      <c r="CU9" s="14">
        <v>50</v>
      </c>
      <c r="CV9" s="284" t="str">
        <f t="shared" si="27"/>
        <v>0</v>
      </c>
      <c r="CW9" s="284" t="str">
        <f t="shared" si="28"/>
        <v>0</v>
      </c>
      <c r="CX9" s="243">
        <f t="shared" si="29"/>
        <v>17.062550061894704</v>
      </c>
      <c r="CY9" s="216" t="str">
        <f t="shared" si="30"/>
        <v>0</v>
      </c>
      <c r="CZ9" s="216" t="str">
        <f t="shared" si="31"/>
        <v>0</v>
      </c>
      <c r="DA9" s="243">
        <f t="shared" si="32"/>
        <v>17.062550061894704</v>
      </c>
      <c r="DB9" s="291">
        <v>1</v>
      </c>
      <c r="DC9" s="291">
        <v>1</v>
      </c>
      <c r="DD9" s="291">
        <v>1</v>
      </c>
      <c r="DE9" s="291">
        <v>1</v>
      </c>
      <c r="DF9" s="291">
        <v>2</v>
      </c>
      <c r="DG9" s="291">
        <v>1</v>
      </c>
      <c r="DH9" s="291">
        <v>1</v>
      </c>
      <c r="DI9" s="291">
        <v>1</v>
      </c>
      <c r="DJ9" s="292">
        <v>1</v>
      </c>
      <c r="DK9" s="292">
        <v>90</v>
      </c>
      <c r="DL9" s="292">
        <f t="shared" si="33"/>
        <v>75</v>
      </c>
      <c r="DM9" s="292">
        <v>15</v>
      </c>
      <c r="DN9" s="292">
        <v>61</v>
      </c>
      <c r="DO9" s="292">
        <v>54</v>
      </c>
      <c r="DP9" s="292">
        <v>61</v>
      </c>
      <c r="DQ9" s="292">
        <v>81</v>
      </c>
      <c r="DR9" s="292">
        <v>56</v>
      </c>
      <c r="DS9" s="292">
        <v>58</v>
      </c>
      <c r="DT9" s="292">
        <v>84</v>
      </c>
      <c r="DU9" s="292">
        <v>10</v>
      </c>
      <c r="DV9" s="292">
        <v>8</v>
      </c>
      <c r="DW9" s="292">
        <v>5</v>
      </c>
      <c r="DX9" s="292">
        <v>13</v>
      </c>
      <c r="DY9" s="292">
        <v>8</v>
      </c>
      <c r="DZ9" s="292">
        <v>5</v>
      </c>
      <c r="EA9" s="292">
        <v>13</v>
      </c>
      <c r="EB9" s="292">
        <v>90</v>
      </c>
      <c r="EC9" s="292">
        <v>90</v>
      </c>
      <c r="ED9" s="342"/>
      <c r="EE9" s="342"/>
    </row>
    <row r="10" spans="1:135" x14ac:dyDescent="0.2">
      <c r="A10" s="10" t="s">
        <v>143</v>
      </c>
      <c r="B10" s="169">
        <v>4</v>
      </c>
      <c r="C10" s="12" t="s">
        <v>115</v>
      </c>
      <c r="D10" s="13">
        <v>1993</v>
      </c>
      <c r="E10" s="1"/>
      <c r="F10" s="2" t="s">
        <v>25</v>
      </c>
      <c r="G10" s="111">
        <v>1</v>
      </c>
      <c r="H10" s="1">
        <v>9</v>
      </c>
      <c r="I10" s="1" t="s">
        <v>22</v>
      </c>
      <c r="J10" s="122">
        <v>27030</v>
      </c>
      <c r="K10" s="122">
        <v>1091</v>
      </c>
      <c r="L10" s="122"/>
      <c r="M10" s="122">
        <v>1081.8</v>
      </c>
      <c r="N10" s="122">
        <v>90</v>
      </c>
      <c r="O10" s="122">
        <v>280</v>
      </c>
      <c r="P10" s="122">
        <v>92</v>
      </c>
      <c r="Q10" s="322">
        <v>238</v>
      </c>
      <c r="R10" s="311">
        <f>7169.03+1.1</f>
        <v>7170.13</v>
      </c>
      <c r="S10" s="121">
        <v>4677.3</v>
      </c>
      <c r="T10" s="122">
        <f t="shared" si="9"/>
        <v>64</v>
      </c>
      <c r="U10" s="180">
        <f t="shared" si="10"/>
        <v>5053.5300000000007</v>
      </c>
      <c r="V10" s="180">
        <f t="shared" si="11"/>
        <v>3379.2700000000004</v>
      </c>
      <c r="W10" s="122">
        <v>26</v>
      </c>
      <c r="X10" s="180">
        <v>2116.6</v>
      </c>
      <c r="Y10" s="180">
        <v>1298.03</v>
      </c>
      <c r="Z10" s="122"/>
      <c r="AA10" s="122"/>
      <c r="AB10" s="122"/>
      <c r="AC10" s="180">
        <f t="shared" si="12"/>
        <v>0</v>
      </c>
      <c r="AD10" s="179">
        <f t="shared" si="13"/>
        <v>0</v>
      </c>
      <c r="AE10" s="271"/>
      <c r="AF10" s="179"/>
      <c r="AG10" s="180"/>
      <c r="AH10" s="180"/>
      <c r="AI10" s="180">
        <f t="shared" si="14"/>
        <v>7170.13</v>
      </c>
      <c r="AJ10" s="122">
        <v>217</v>
      </c>
      <c r="AK10" s="122">
        <v>3</v>
      </c>
      <c r="AL10" s="122">
        <v>3</v>
      </c>
      <c r="AM10" s="122">
        <v>3</v>
      </c>
      <c r="AN10" s="122"/>
      <c r="AO10" s="122">
        <v>3</v>
      </c>
      <c r="AP10" s="122">
        <v>5200</v>
      </c>
      <c r="AQ10" s="122"/>
      <c r="AR10" s="122">
        <f>170+140+71+145</f>
        <v>526</v>
      </c>
      <c r="AS10" s="122">
        <v>382</v>
      </c>
      <c r="AT10" s="122">
        <v>96</v>
      </c>
      <c r="AU10" s="122">
        <f t="shared" si="0"/>
        <v>6667</v>
      </c>
      <c r="AV10" s="122"/>
      <c r="AW10" s="122">
        <v>6667</v>
      </c>
      <c r="AX10" s="122">
        <v>2424</v>
      </c>
      <c r="AY10" s="122">
        <v>239</v>
      </c>
      <c r="AZ10" s="122">
        <v>1082</v>
      </c>
      <c r="BA10" s="122">
        <v>920</v>
      </c>
      <c r="BB10" s="122">
        <v>48</v>
      </c>
      <c r="BC10" s="122">
        <v>57</v>
      </c>
      <c r="BD10" s="122">
        <v>389</v>
      </c>
      <c r="BE10" s="122">
        <v>760</v>
      </c>
      <c r="BF10" s="122">
        <v>1</v>
      </c>
      <c r="BG10" s="122">
        <v>3715</v>
      </c>
      <c r="BH10" s="122">
        <v>1416</v>
      </c>
      <c r="BI10" s="122">
        <v>456</v>
      </c>
      <c r="BJ10" s="115" t="str">
        <f t="shared" si="15"/>
        <v>0</v>
      </c>
      <c r="BK10" s="115" t="str">
        <f t="shared" si="16"/>
        <v>0</v>
      </c>
      <c r="BL10" s="115" t="str">
        <f t="shared" si="17"/>
        <v>0</v>
      </c>
      <c r="BM10" s="115">
        <f t="shared" si="18"/>
        <v>1</v>
      </c>
      <c r="BN10" s="115">
        <f t="shared" si="19"/>
        <v>7170.13</v>
      </c>
      <c r="BO10" s="115">
        <f t="shared" si="20"/>
        <v>4677.3</v>
      </c>
      <c r="BP10" s="115" t="str">
        <f t="shared" si="21"/>
        <v>0</v>
      </c>
      <c r="BQ10" s="115" t="str">
        <f t="shared" si="22"/>
        <v>0</v>
      </c>
      <c r="BR10" s="115" t="str">
        <f t="shared" si="23"/>
        <v>0</v>
      </c>
      <c r="BS10" s="115"/>
      <c r="BT10" s="115">
        <v>3</v>
      </c>
      <c r="BU10" s="115">
        <v>920</v>
      </c>
      <c r="BV10" s="115">
        <v>305</v>
      </c>
      <c r="BW10" s="115"/>
      <c r="BX10" s="115"/>
      <c r="BY10" s="253">
        <v>1743.4</v>
      </c>
      <c r="BZ10" s="253">
        <v>738.6</v>
      </c>
      <c r="CA10" s="350">
        <f>746.7-8.1</f>
        <v>738.6</v>
      </c>
      <c r="CB10" s="343">
        <f>2.7*3+25.8</f>
        <v>33.900000000000006</v>
      </c>
      <c r="CC10" s="344"/>
      <c r="CD10" s="350">
        <v>919.8</v>
      </c>
      <c r="CE10" s="344">
        <f>8.7+8+8</f>
        <v>24.7</v>
      </c>
      <c r="CF10" s="344"/>
      <c r="CG10" s="344">
        <v>13.7</v>
      </c>
      <c r="CH10" s="346">
        <v>12.7</v>
      </c>
      <c r="CI10" s="347">
        <f t="shared" si="24"/>
        <v>1743.4</v>
      </c>
      <c r="CJ10" s="347">
        <f t="shared" si="1"/>
        <v>738.6</v>
      </c>
      <c r="CK10" s="348">
        <v>1082</v>
      </c>
      <c r="CL10" s="349">
        <f t="shared" si="2"/>
        <v>2825.4</v>
      </c>
      <c r="CM10" s="188">
        <v>2399</v>
      </c>
      <c r="CN10" s="188">
        <f t="shared" si="3"/>
        <v>1308</v>
      </c>
      <c r="CO10" s="186" t="str">
        <f t="shared" si="4"/>
        <v>0</v>
      </c>
      <c r="CP10" s="187">
        <f t="shared" si="5"/>
        <v>0</v>
      </c>
      <c r="CQ10" s="186">
        <f t="shared" si="6"/>
        <v>1</v>
      </c>
      <c r="CR10" s="187">
        <f t="shared" si="7"/>
        <v>6667</v>
      </c>
      <c r="CS10" s="187">
        <f t="shared" si="25"/>
        <v>1</v>
      </c>
      <c r="CT10" s="187">
        <f t="shared" si="26"/>
        <v>6667</v>
      </c>
      <c r="CU10" s="14">
        <v>54</v>
      </c>
      <c r="CV10" s="284" t="str">
        <f t="shared" si="27"/>
        <v>0</v>
      </c>
      <c r="CW10" s="284" t="str">
        <f t="shared" si="28"/>
        <v>0</v>
      </c>
      <c r="CX10" s="243">
        <f t="shared" si="29"/>
        <v>29.519687927555005</v>
      </c>
      <c r="CY10" s="216" t="str">
        <f t="shared" si="30"/>
        <v>0</v>
      </c>
      <c r="CZ10" s="216" t="str">
        <f t="shared" si="31"/>
        <v>0</v>
      </c>
      <c r="DA10" s="243">
        <f t="shared" si="32"/>
        <v>29.519687927555005</v>
      </c>
      <c r="DB10" s="291">
        <v>1</v>
      </c>
      <c r="DC10" s="291">
        <v>1</v>
      </c>
      <c r="DD10" s="291">
        <v>1</v>
      </c>
      <c r="DE10" s="291">
        <v>1</v>
      </c>
      <c r="DF10" s="291">
        <v>2</v>
      </c>
      <c r="DG10" s="291">
        <v>2</v>
      </c>
      <c r="DH10" s="291">
        <v>2</v>
      </c>
      <c r="DI10" s="291">
        <v>2</v>
      </c>
      <c r="DJ10" s="292">
        <v>2</v>
      </c>
      <c r="DK10" s="292">
        <v>90</v>
      </c>
      <c r="DL10" s="292">
        <f t="shared" si="33"/>
        <v>64</v>
      </c>
      <c r="DM10" s="292">
        <v>26</v>
      </c>
      <c r="DN10" s="292">
        <v>61</v>
      </c>
      <c r="DO10" s="292">
        <v>39</v>
      </c>
      <c r="DP10" s="292">
        <v>79</v>
      </c>
      <c r="DQ10" s="292">
        <v>65</v>
      </c>
      <c r="DR10" s="292">
        <v>40</v>
      </c>
      <c r="DS10" s="292">
        <v>79</v>
      </c>
      <c r="DT10" s="292">
        <v>65</v>
      </c>
      <c r="DU10" s="292">
        <v>16</v>
      </c>
      <c r="DV10" s="292">
        <v>2</v>
      </c>
      <c r="DW10" s="292">
        <v>4</v>
      </c>
      <c r="DX10" s="292">
        <v>4</v>
      </c>
      <c r="DY10" s="292">
        <v>4</v>
      </c>
      <c r="DZ10" s="292">
        <v>0</v>
      </c>
      <c r="EA10" s="292">
        <v>8</v>
      </c>
      <c r="EB10" s="292">
        <v>90</v>
      </c>
      <c r="EC10" s="292">
        <v>90</v>
      </c>
      <c r="ED10" s="342"/>
      <c r="EE10" s="342"/>
    </row>
    <row r="11" spans="1:135" x14ac:dyDescent="0.2">
      <c r="A11" s="10" t="s">
        <v>143</v>
      </c>
      <c r="B11" s="169">
        <v>5</v>
      </c>
      <c r="C11" s="12" t="s">
        <v>116</v>
      </c>
      <c r="D11" s="13">
        <v>1993</v>
      </c>
      <c r="E11" s="1"/>
      <c r="F11" s="2" t="s">
        <v>25</v>
      </c>
      <c r="G11" s="111">
        <v>1</v>
      </c>
      <c r="H11" s="1">
        <v>9</v>
      </c>
      <c r="I11" s="1" t="s">
        <v>22</v>
      </c>
      <c r="J11" s="122">
        <v>35106</v>
      </c>
      <c r="K11" s="122">
        <v>1484</v>
      </c>
      <c r="L11" s="122"/>
      <c r="M11" s="122">
        <v>1392</v>
      </c>
      <c r="N11" s="122">
        <v>126</v>
      </c>
      <c r="O11" s="122">
        <v>354</v>
      </c>
      <c r="P11" s="122">
        <v>126</v>
      </c>
      <c r="Q11" s="322">
        <v>361</v>
      </c>
      <c r="R11" s="179">
        <v>9131.7000000000007</v>
      </c>
      <c r="S11" s="121">
        <v>5812.8</v>
      </c>
      <c r="T11" s="122">
        <f t="shared" si="9"/>
        <v>105</v>
      </c>
      <c r="U11" s="180">
        <f t="shared" si="10"/>
        <v>7358.5000000000009</v>
      </c>
      <c r="V11" s="180">
        <f t="shared" si="11"/>
        <v>4650.97</v>
      </c>
      <c r="W11" s="122">
        <v>21</v>
      </c>
      <c r="X11" s="180">
        <v>1773.2</v>
      </c>
      <c r="Y11" s="180">
        <v>1161.83</v>
      </c>
      <c r="Z11" s="122"/>
      <c r="AA11" s="122"/>
      <c r="AB11" s="122"/>
      <c r="AC11" s="180">
        <f t="shared" si="12"/>
        <v>0</v>
      </c>
      <c r="AD11" s="179">
        <f t="shared" si="13"/>
        <v>0</v>
      </c>
      <c r="AE11" s="271"/>
      <c r="AF11" s="179"/>
      <c r="AG11" s="180"/>
      <c r="AH11" s="180"/>
      <c r="AI11" s="180">
        <f t="shared" si="14"/>
        <v>9131.7000000000007</v>
      </c>
      <c r="AJ11" s="122">
        <v>216</v>
      </c>
      <c r="AK11" s="122">
        <v>4</v>
      </c>
      <c r="AL11" s="122">
        <v>4</v>
      </c>
      <c r="AM11" s="122">
        <v>4</v>
      </c>
      <c r="AN11" s="122"/>
      <c r="AO11" s="122">
        <v>4</v>
      </c>
      <c r="AP11" s="122">
        <v>6178</v>
      </c>
      <c r="AQ11" s="180">
        <v>350.88</v>
      </c>
      <c r="AR11" s="122">
        <f>147+147+75+250</f>
        <v>619</v>
      </c>
      <c r="AS11" s="122">
        <v>490</v>
      </c>
      <c r="AT11" s="122">
        <v>128</v>
      </c>
      <c r="AU11" s="122">
        <f t="shared" si="0"/>
        <v>8893</v>
      </c>
      <c r="AV11" s="122"/>
      <c r="AW11" s="122">
        <v>8893</v>
      </c>
      <c r="AX11" s="122">
        <v>3232</v>
      </c>
      <c r="AY11" s="122">
        <v>284</v>
      </c>
      <c r="AZ11" s="122">
        <v>1392</v>
      </c>
      <c r="BA11" s="122">
        <v>1132</v>
      </c>
      <c r="BB11" s="122">
        <v>64</v>
      </c>
      <c r="BC11" s="122">
        <v>79</v>
      </c>
      <c r="BD11" s="122">
        <v>500</v>
      </c>
      <c r="BE11" s="122">
        <v>968</v>
      </c>
      <c r="BF11" s="122">
        <v>1</v>
      </c>
      <c r="BG11" s="122">
        <v>4306</v>
      </c>
      <c r="BH11" s="122">
        <v>1888</v>
      </c>
      <c r="BI11" s="122">
        <v>648</v>
      </c>
      <c r="BJ11" s="115" t="str">
        <f t="shared" si="15"/>
        <v>0</v>
      </c>
      <c r="BK11" s="115" t="str">
        <f t="shared" si="16"/>
        <v>0</v>
      </c>
      <c r="BL11" s="115" t="str">
        <f t="shared" si="17"/>
        <v>0</v>
      </c>
      <c r="BM11" s="115">
        <f t="shared" si="18"/>
        <v>1</v>
      </c>
      <c r="BN11" s="115">
        <f t="shared" si="19"/>
        <v>9131.7000000000007</v>
      </c>
      <c r="BO11" s="115">
        <f t="shared" si="20"/>
        <v>5812.8</v>
      </c>
      <c r="BP11" s="115" t="str">
        <f t="shared" si="21"/>
        <v>0</v>
      </c>
      <c r="BQ11" s="115" t="str">
        <f t="shared" si="22"/>
        <v>0</v>
      </c>
      <c r="BR11" s="115" t="str">
        <f t="shared" si="23"/>
        <v>0</v>
      </c>
      <c r="BS11" s="115"/>
      <c r="BT11" s="115">
        <v>4</v>
      </c>
      <c r="BU11" s="115">
        <v>1132</v>
      </c>
      <c r="BV11" s="115">
        <v>406</v>
      </c>
      <c r="BW11" s="115"/>
      <c r="BX11" s="115"/>
      <c r="BY11" s="253">
        <v>2343.6999999999998</v>
      </c>
      <c r="BZ11" s="253">
        <v>1084.5999999999999</v>
      </c>
      <c r="CA11" s="343">
        <f>965.1-3.6*4+133.9</f>
        <v>1084.6000000000001</v>
      </c>
      <c r="CB11" s="343">
        <f>3.6*4+33.2</f>
        <v>47.6</v>
      </c>
      <c r="CC11" s="344"/>
      <c r="CD11" s="350">
        <v>1132</v>
      </c>
      <c r="CE11" s="343">
        <f>7.2+7.2+6.4+7.6</f>
        <v>28.4</v>
      </c>
      <c r="CF11" s="344"/>
      <c r="CG11" s="344">
        <v>21.6</v>
      </c>
      <c r="CH11" s="343">
        <f>16.8+2.6+10.1</f>
        <v>29.5</v>
      </c>
      <c r="CI11" s="347">
        <f t="shared" si="24"/>
        <v>2343.6999999999998</v>
      </c>
      <c r="CJ11" s="347">
        <f t="shared" si="1"/>
        <v>1084.6000000000001</v>
      </c>
      <c r="CK11" s="348">
        <v>1392</v>
      </c>
      <c r="CL11" s="349">
        <f t="shared" si="2"/>
        <v>3735.7</v>
      </c>
      <c r="CM11" s="188">
        <v>3018</v>
      </c>
      <c r="CN11" s="188">
        <f t="shared" si="3"/>
        <v>1534</v>
      </c>
      <c r="CO11" s="186" t="str">
        <f t="shared" si="4"/>
        <v>0</v>
      </c>
      <c r="CP11" s="187">
        <f t="shared" si="5"/>
        <v>0</v>
      </c>
      <c r="CQ11" s="186">
        <f t="shared" si="6"/>
        <v>1</v>
      </c>
      <c r="CR11" s="187">
        <f t="shared" si="7"/>
        <v>8893</v>
      </c>
      <c r="CS11" s="187">
        <f t="shared" si="25"/>
        <v>1</v>
      </c>
      <c r="CT11" s="187">
        <f t="shared" si="26"/>
        <v>8893</v>
      </c>
      <c r="CU11" s="14">
        <v>48</v>
      </c>
      <c r="CV11" s="284" t="str">
        <f t="shared" si="27"/>
        <v>0</v>
      </c>
      <c r="CW11" s="284" t="str">
        <f t="shared" si="28"/>
        <v>0</v>
      </c>
      <c r="CX11" s="243">
        <f t="shared" si="29"/>
        <v>19.418071114907409</v>
      </c>
      <c r="CY11" s="216" t="str">
        <f t="shared" si="30"/>
        <v>0</v>
      </c>
      <c r="CZ11" s="216" t="str">
        <f t="shared" si="31"/>
        <v>0</v>
      </c>
      <c r="DA11" s="243">
        <f t="shared" si="32"/>
        <v>19.418071114907409</v>
      </c>
      <c r="DB11" s="291">
        <v>1</v>
      </c>
      <c r="DC11" s="291">
        <v>1</v>
      </c>
      <c r="DD11" s="291">
        <v>1</v>
      </c>
      <c r="DE11" s="291">
        <v>1</v>
      </c>
      <c r="DF11" s="291">
        <v>2</v>
      </c>
      <c r="DG11" s="291">
        <v>1</v>
      </c>
      <c r="DH11" s="291">
        <v>1</v>
      </c>
      <c r="DI11" s="291">
        <v>1</v>
      </c>
      <c r="DJ11" s="292">
        <v>1</v>
      </c>
      <c r="DK11" s="292">
        <v>126</v>
      </c>
      <c r="DL11" s="292">
        <f t="shared" si="33"/>
        <v>106</v>
      </c>
      <c r="DM11" s="292">
        <v>20</v>
      </c>
      <c r="DN11" s="292">
        <v>86</v>
      </c>
      <c r="DO11" s="292">
        <v>63</v>
      </c>
      <c r="DP11" s="292">
        <v>107</v>
      </c>
      <c r="DQ11" s="292">
        <v>95</v>
      </c>
      <c r="DR11" s="292">
        <v>65</v>
      </c>
      <c r="DS11" s="292">
        <v>104</v>
      </c>
      <c r="DT11" s="292">
        <v>98</v>
      </c>
      <c r="DU11" s="292">
        <v>17</v>
      </c>
      <c r="DV11" s="292">
        <v>12</v>
      </c>
      <c r="DW11" s="292">
        <v>7</v>
      </c>
      <c r="DX11" s="292">
        <v>19</v>
      </c>
      <c r="DY11" s="292">
        <v>13</v>
      </c>
      <c r="DZ11" s="292">
        <v>5</v>
      </c>
      <c r="EA11" s="292">
        <v>21</v>
      </c>
      <c r="EB11" s="292">
        <v>126</v>
      </c>
      <c r="EC11" s="292">
        <v>126</v>
      </c>
      <c r="ED11" s="342"/>
      <c r="EE11" s="342"/>
    </row>
    <row r="12" spans="1:135" x14ac:dyDescent="0.2">
      <c r="A12" s="10" t="s">
        <v>143</v>
      </c>
      <c r="B12" s="169">
        <v>6</v>
      </c>
      <c r="C12" s="12" t="s">
        <v>117</v>
      </c>
      <c r="D12" s="13">
        <v>1993</v>
      </c>
      <c r="E12" s="1"/>
      <c r="F12" s="2" t="s">
        <v>24</v>
      </c>
      <c r="G12" s="111">
        <v>1</v>
      </c>
      <c r="H12" s="1">
        <v>9</v>
      </c>
      <c r="I12" s="1" t="s">
        <v>22</v>
      </c>
      <c r="J12" s="122">
        <v>10293</v>
      </c>
      <c r="K12" s="122">
        <v>403</v>
      </c>
      <c r="L12" s="122"/>
      <c r="M12" s="122">
        <v>376</v>
      </c>
      <c r="N12" s="122">
        <v>33</v>
      </c>
      <c r="O12" s="122">
        <v>100</v>
      </c>
      <c r="P12" s="122">
        <v>33</v>
      </c>
      <c r="Q12" s="322">
        <v>84</v>
      </c>
      <c r="R12" s="179">
        <v>2227.21</v>
      </c>
      <c r="S12" s="121">
        <v>1434.1</v>
      </c>
      <c r="T12" s="122">
        <f t="shared" si="9"/>
        <v>29</v>
      </c>
      <c r="U12" s="180">
        <f t="shared" si="10"/>
        <v>1931.01</v>
      </c>
      <c r="V12" s="180">
        <f t="shared" si="11"/>
        <v>1238.6999999999998</v>
      </c>
      <c r="W12" s="122">
        <v>4</v>
      </c>
      <c r="X12" s="180">
        <v>296.2</v>
      </c>
      <c r="Y12" s="180">
        <v>195.4</v>
      </c>
      <c r="Z12" s="122"/>
      <c r="AA12" s="122"/>
      <c r="AB12" s="122"/>
      <c r="AC12" s="180">
        <f t="shared" si="12"/>
        <v>134.1</v>
      </c>
      <c r="AD12" s="179">
        <f t="shared" si="13"/>
        <v>134.1</v>
      </c>
      <c r="AE12" s="271"/>
      <c r="AF12" s="179">
        <v>134.1</v>
      </c>
      <c r="AG12" s="180"/>
      <c r="AH12" s="180"/>
      <c r="AI12" s="180">
        <f t="shared" si="14"/>
        <v>2361.31</v>
      </c>
      <c r="AJ12" s="122">
        <v>114</v>
      </c>
      <c r="AK12" s="122">
        <v>1</v>
      </c>
      <c r="AL12" s="122">
        <v>1</v>
      </c>
      <c r="AM12" s="122">
        <v>1</v>
      </c>
      <c r="AN12" s="122"/>
      <c r="AO12" s="122">
        <v>1</v>
      </c>
      <c r="AP12" s="122">
        <v>2302</v>
      </c>
      <c r="AQ12" s="180"/>
      <c r="AR12" s="122">
        <f>90+65+34+30</f>
        <v>219</v>
      </c>
      <c r="AS12" s="122">
        <v>127</v>
      </c>
      <c r="AT12" s="122">
        <v>72</v>
      </c>
      <c r="AU12" s="122">
        <f t="shared" si="0"/>
        <v>2792</v>
      </c>
      <c r="AV12" s="122"/>
      <c r="AW12" s="122">
        <v>2792</v>
      </c>
      <c r="AX12" s="122">
        <v>1187</v>
      </c>
      <c r="AY12" s="122">
        <v>91</v>
      </c>
      <c r="AZ12" s="122">
        <v>376</v>
      </c>
      <c r="BA12" s="122">
        <v>314</v>
      </c>
      <c r="BB12" s="122">
        <v>16</v>
      </c>
      <c r="BC12" s="122">
        <v>19</v>
      </c>
      <c r="BD12" s="122">
        <v>142</v>
      </c>
      <c r="BE12" s="122">
        <v>287</v>
      </c>
      <c r="BF12" s="122">
        <v>1</v>
      </c>
      <c r="BG12" s="122">
        <v>1765</v>
      </c>
      <c r="BH12" s="122">
        <v>472</v>
      </c>
      <c r="BI12" s="122">
        <v>132</v>
      </c>
      <c r="BJ12" s="115" t="str">
        <f t="shared" si="15"/>
        <v>0</v>
      </c>
      <c r="BK12" s="115" t="str">
        <f t="shared" si="16"/>
        <v>0</v>
      </c>
      <c r="BL12" s="115" t="str">
        <f t="shared" si="17"/>
        <v>0</v>
      </c>
      <c r="BM12" s="115">
        <f t="shared" si="18"/>
        <v>1</v>
      </c>
      <c r="BN12" s="115">
        <f t="shared" si="19"/>
        <v>2227.21</v>
      </c>
      <c r="BO12" s="115">
        <f t="shared" si="20"/>
        <v>1434.1</v>
      </c>
      <c r="BP12" s="115" t="str">
        <f t="shared" si="21"/>
        <v>0</v>
      </c>
      <c r="BQ12" s="115" t="str">
        <f t="shared" si="22"/>
        <v>0</v>
      </c>
      <c r="BR12" s="115" t="str">
        <f t="shared" si="23"/>
        <v>0</v>
      </c>
      <c r="BS12" s="115"/>
      <c r="BT12" s="115">
        <v>1</v>
      </c>
      <c r="BU12" s="115">
        <v>314</v>
      </c>
      <c r="BV12" s="115">
        <v>18</v>
      </c>
      <c r="BW12" s="115"/>
      <c r="BX12" s="115"/>
      <c r="BY12" s="253">
        <v>757.7</v>
      </c>
      <c r="BZ12" s="253">
        <v>395.6</v>
      </c>
      <c r="CA12" s="343">
        <f>163+232.6</f>
        <v>395.6</v>
      </c>
      <c r="CB12" s="343">
        <f>2.6+7.5</f>
        <v>10.1</v>
      </c>
      <c r="CC12" s="344"/>
      <c r="CD12" s="350">
        <v>313.89999999999998</v>
      </c>
      <c r="CE12" s="343">
        <f>21.8+1.8</f>
        <v>23.6</v>
      </c>
      <c r="CF12" s="344"/>
      <c r="CG12" s="344">
        <v>5.9</v>
      </c>
      <c r="CH12" s="346">
        <v>8.6</v>
      </c>
      <c r="CI12" s="347">
        <f t="shared" si="24"/>
        <v>757.7</v>
      </c>
      <c r="CJ12" s="347">
        <f t="shared" si="1"/>
        <v>395.6</v>
      </c>
      <c r="CK12" s="348">
        <v>376</v>
      </c>
      <c r="CL12" s="349">
        <f t="shared" si="2"/>
        <v>1133.7</v>
      </c>
      <c r="CM12" s="188">
        <v>808</v>
      </c>
      <c r="CN12" s="188">
        <f t="shared" si="3"/>
        <v>405</v>
      </c>
      <c r="CO12" s="186" t="str">
        <f t="shared" si="4"/>
        <v>0</v>
      </c>
      <c r="CP12" s="187">
        <f t="shared" si="5"/>
        <v>0</v>
      </c>
      <c r="CQ12" s="186">
        <f t="shared" si="6"/>
        <v>1</v>
      </c>
      <c r="CR12" s="187">
        <f t="shared" si="7"/>
        <v>2792</v>
      </c>
      <c r="CS12" s="187">
        <f t="shared" si="25"/>
        <v>1</v>
      </c>
      <c r="CT12" s="187">
        <f t="shared" si="26"/>
        <v>2792</v>
      </c>
      <c r="CU12" s="14">
        <v>51</v>
      </c>
      <c r="CV12" s="284" t="str">
        <f t="shared" si="27"/>
        <v>0</v>
      </c>
      <c r="CW12" s="284" t="str">
        <f t="shared" si="28"/>
        <v>0</v>
      </c>
      <c r="CX12" s="243">
        <f t="shared" si="29"/>
        <v>13.299150057695503</v>
      </c>
      <c r="CY12" s="216" t="str">
        <f t="shared" si="30"/>
        <v>0</v>
      </c>
      <c r="CZ12" s="216" t="str">
        <f t="shared" si="31"/>
        <v>0</v>
      </c>
      <c r="DA12" s="243">
        <f t="shared" si="32"/>
        <v>18.222935573897541</v>
      </c>
      <c r="DB12" s="291">
        <v>1</v>
      </c>
      <c r="DC12" s="291">
        <v>1</v>
      </c>
      <c r="DD12" s="291">
        <v>1</v>
      </c>
      <c r="DE12" s="291">
        <v>1</v>
      </c>
      <c r="DF12" s="291">
        <v>2</v>
      </c>
      <c r="DG12" s="291">
        <v>1</v>
      </c>
      <c r="DH12" s="291">
        <v>1</v>
      </c>
      <c r="DI12" s="291">
        <v>1</v>
      </c>
      <c r="DJ12" s="292">
        <v>1</v>
      </c>
      <c r="DK12" s="292">
        <v>33</v>
      </c>
      <c r="DL12" s="292">
        <f t="shared" si="33"/>
        <v>28</v>
      </c>
      <c r="DM12" s="292">
        <v>5</v>
      </c>
      <c r="DN12" s="292">
        <v>28</v>
      </c>
      <c r="DO12" s="292">
        <v>24</v>
      </c>
      <c r="DP12" s="292">
        <v>9</v>
      </c>
      <c r="DQ12" s="292">
        <v>24</v>
      </c>
      <c r="DR12" s="292">
        <v>25</v>
      </c>
      <c r="DS12" s="292">
        <v>8</v>
      </c>
      <c r="DT12" s="292">
        <v>25</v>
      </c>
      <c r="DU12" s="292">
        <v>1</v>
      </c>
      <c r="DV12" s="292">
        <v>1</v>
      </c>
      <c r="DW12" s="292">
        <v>2</v>
      </c>
      <c r="DX12" s="292">
        <v>1</v>
      </c>
      <c r="DY12" s="292">
        <v>1</v>
      </c>
      <c r="DZ12" s="292">
        <v>2</v>
      </c>
      <c r="EA12" s="292">
        <v>1</v>
      </c>
      <c r="EB12" s="292">
        <v>33</v>
      </c>
      <c r="EC12" s="292">
        <v>33</v>
      </c>
      <c r="ED12" s="342"/>
      <c r="EE12" s="342"/>
    </row>
    <row r="13" spans="1:135" x14ac:dyDescent="0.2">
      <c r="A13" s="10" t="s">
        <v>143</v>
      </c>
      <c r="B13" s="169">
        <v>7</v>
      </c>
      <c r="C13" s="12" t="s">
        <v>118</v>
      </c>
      <c r="D13" s="13">
        <v>1993</v>
      </c>
      <c r="E13" s="1"/>
      <c r="F13" s="2" t="s">
        <v>24</v>
      </c>
      <c r="G13" s="111">
        <v>1</v>
      </c>
      <c r="H13" s="1">
        <v>9</v>
      </c>
      <c r="I13" s="1" t="s">
        <v>22</v>
      </c>
      <c r="J13" s="122">
        <v>29280.5</v>
      </c>
      <c r="K13" s="122">
        <v>1147</v>
      </c>
      <c r="L13" s="122"/>
      <c r="M13" s="122">
        <v>1074.9100000000001</v>
      </c>
      <c r="N13" s="122">
        <v>105</v>
      </c>
      <c r="O13" s="122">
        <v>285</v>
      </c>
      <c r="P13" s="122">
        <v>108</v>
      </c>
      <c r="Q13" s="322">
        <v>273</v>
      </c>
      <c r="R13" s="179">
        <v>6828.38</v>
      </c>
      <c r="S13" s="121">
        <v>4236</v>
      </c>
      <c r="T13" s="122">
        <f t="shared" si="9"/>
        <v>88</v>
      </c>
      <c r="U13" s="180">
        <f t="shared" si="10"/>
        <v>5658.39</v>
      </c>
      <c r="V13" s="180">
        <f t="shared" si="11"/>
        <v>3502.81</v>
      </c>
      <c r="W13" s="122">
        <v>17</v>
      </c>
      <c r="X13" s="180">
        <v>1169.99</v>
      </c>
      <c r="Y13" s="180">
        <v>733.19</v>
      </c>
      <c r="Z13" s="122"/>
      <c r="AA13" s="122"/>
      <c r="AB13" s="122"/>
      <c r="AC13" s="180">
        <f t="shared" si="12"/>
        <v>0</v>
      </c>
      <c r="AD13" s="179">
        <f t="shared" si="13"/>
        <v>0</v>
      </c>
      <c r="AE13" s="271"/>
      <c r="AF13" s="179"/>
      <c r="AG13" s="180"/>
      <c r="AH13" s="180"/>
      <c r="AI13" s="180">
        <f t="shared" si="14"/>
        <v>6828.38</v>
      </c>
      <c r="AJ13" s="122">
        <v>280</v>
      </c>
      <c r="AK13" s="122">
        <v>3</v>
      </c>
      <c r="AL13" s="122">
        <v>3</v>
      </c>
      <c r="AM13" s="122">
        <v>3</v>
      </c>
      <c r="AN13" s="122"/>
      <c r="AO13" s="122">
        <v>3</v>
      </c>
      <c r="AP13" s="122">
        <v>5061</v>
      </c>
      <c r="AQ13" s="180"/>
      <c r="AR13" s="122">
        <f>79+80+39+120</f>
        <v>318</v>
      </c>
      <c r="AS13" s="122">
        <v>361</v>
      </c>
      <c r="AT13" s="122">
        <v>216</v>
      </c>
      <c r="AU13" s="122">
        <f t="shared" si="0"/>
        <v>8114</v>
      </c>
      <c r="AV13" s="122"/>
      <c r="AW13" s="122">
        <v>8114</v>
      </c>
      <c r="AX13" s="122">
        <v>2424</v>
      </c>
      <c r="AY13" s="122">
        <v>257</v>
      </c>
      <c r="AZ13" s="122">
        <v>1075</v>
      </c>
      <c r="BA13" s="122">
        <v>888</v>
      </c>
      <c r="BB13" s="122">
        <v>48</v>
      </c>
      <c r="BC13" s="122">
        <v>56</v>
      </c>
      <c r="BD13" s="122">
        <v>393</v>
      </c>
      <c r="BE13" s="122">
        <v>866</v>
      </c>
      <c r="BF13" s="122">
        <v>1</v>
      </c>
      <c r="BG13" s="122">
        <v>3520</v>
      </c>
      <c r="BH13" s="122">
        <v>1416</v>
      </c>
      <c r="BI13" s="122">
        <v>456</v>
      </c>
      <c r="BJ13" s="115" t="str">
        <f t="shared" si="15"/>
        <v>0</v>
      </c>
      <c r="BK13" s="115" t="str">
        <f t="shared" si="16"/>
        <v>0</v>
      </c>
      <c r="BL13" s="115" t="str">
        <f t="shared" si="17"/>
        <v>0</v>
      </c>
      <c r="BM13" s="115">
        <f t="shared" si="18"/>
        <v>1</v>
      </c>
      <c r="BN13" s="115">
        <f t="shared" si="19"/>
        <v>6828.38</v>
      </c>
      <c r="BO13" s="115">
        <f t="shared" si="20"/>
        <v>4236</v>
      </c>
      <c r="BP13" s="115" t="str">
        <f t="shared" si="21"/>
        <v>0</v>
      </c>
      <c r="BQ13" s="115" t="str">
        <f t="shared" si="22"/>
        <v>0</v>
      </c>
      <c r="BR13" s="115" t="str">
        <f t="shared" si="23"/>
        <v>0</v>
      </c>
      <c r="BS13" s="115"/>
      <c r="BT13" s="115">
        <v>3</v>
      </c>
      <c r="BU13" s="115">
        <v>888</v>
      </c>
      <c r="BV13" s="115">
        <v>60</v>
      </c>
      <c r="BW13" s="115"/>
      <c r="BX13" s="115"/>
      <c r="BY13" s="253">
        <v>2105.6</v>
      </c>
      <c r="BZ13" s="253">
        <v>1104.0999999999999</v>
      </c>
      <c r="CA13" s="343">
        <f>477.5-3*3+635.6</f>
        <v>1104.0999999999999</v>
      </c>
      <c r="CB13" s="343">
        <f>3*3+26.4</f>
        <v>35.4</v>
      </c>
      <c r="CC13" s="344"/>
      <c r="CD13" s="350">
        <v>888.3</v>
      </c>
      <c r="CE13" s="343">
        <f>14.1+31.4+6.9</f>
        <v>52.4</v>
      </c>
      <c r="CF13" s="344"/>
      <c r="CG13" s="344">
        <v>8.1</v>
      </c>
      <c r="CH13" s="346">
        <v>17.3</v>
      </c>
      <c r="CI13" s="347">
        <f t="shared" si="24"/>
        <v>2105.6</v>
      </c>
      <c r="CJ13" s="347">
        <f t="shared" si="1"/>
        <v>1104.0999999999999</v>
      </c>
      <c r="CK13" s="348">
        <v>1075</v>
      </c>
      <c r="CL13" s="349">
        <f t="shared" si="2"/>
        <v>3180.6</v>
      </c>
      <c r="CM13" s="188">
        <v>1900</v>
      </c>
      <c r="CN13" s="188">
        <f t="shared" si="3"/>
        <v>753</v>
      </c>
      <c r="CO13" s="186" t="str">
        <f t="shared" si="4"/>
        <v>0</v>
      </c>
      <c r="CP13" s="187">
        <f t="shared" si="5"/>
        <v>0</v>
      </c>
      <c r="CQ13" s="186">
        <f t="shared" si="6"/>
        <v>1</v>
      </c>
      <c r="CR13" s="187">
        <f t="shared" si="7"/>
        <v>8114</v>
      </c>
      <c r="CS13" s="187">
        <f t="shared" si="25"/>
        <v>1</v>
      </c>
      <c r="CT13" s="187">
        <f t="shared" si="26"/>
        <v>8114</v>
      </c>
      <c r="CU13" s="14">
        <v>50</v>
      </c>
      <c r="CV13" s="284" t="str">
        <f t="shared" si="27"/>
        <v>0</v>
      </c>
      <c r="CW13" s="284" t="str">
        <f t="shared" si="28"/>
        <v>0</v>
      </c>
      <c r="CX13" s="243">
        <f t="shared" si="29"/>
        <v>17.134225101707873</v>
      </c>
      <c r="CY13" s="216" t="str">
        <f t="shared" si="30"/>
        <v>0</v>
      </c>
      <c r="CZ13" s="216" t="str">
        <f t="shared" si="31"/>
        <v>0</v>
      </c>
      <c r="DA13" s="243">
        <f t="shared" si="32"/>
        <v>17.134225101707873</v>
      </c>
      <c r="DB13" s="291">
        <v>1</v>
      </c>
      <c r="DC13" s="291">
        <v>1</v>
      </c>
      <c r="DD13" s="291">
        <v>1</v>
      </c>
      <c r="DE13" s="291">
        <v>1</v>
      </c>
      <c r="DF13" s="291">
        <v>2</v>
      </c>
      <c r="DG13" s="291">
        <v>1</v>
      </c>
      <c r="DH13" s="291">
        <v>1</v>
      </c>
      <c r="DI13" s="291">
        <v>1</v>
      </c>
      <c r="DJ13" s="292">
        <v>1</v>
      </c>
      <c r="DK13" s="292">
        <v>105</v>
      </c>
      <c r="DL13" s="292">
        <f t="shared" si="33"/>
        <v>87</v>
      </c>
      <c r="DM13" s="292">
        <v>18</v>
      </c>
      <c r="DN13" s="292">
        <v>74</v>
      </c>
      <c r="DO13" s="292">
        <v>59</v>
      </c>
      <c r="DP13" s="292">
        <v>63</v>
      </c>
      <c r="DQ13" s="292">
        <v>78</v>
      </c>
      <c r="DR13" s="292">
        <v>63</v>
      </c>
      <c r="DS13" s="292">
        <v>59</v>
      </c>
      <c r="DT13" s="292">
        <v>83</v>
      </c>
      <c r="DU13" s="292">
        <v>14</v>
      </c>
      <c r="DV13" s="292">
        <v>9</v>
      </c>
      <c r="DW13" s="292">
        <v>0</v>
      </c>
      <c r="DX13" s="292">
        <v>13</v>
      </c>
      <c r="DY13" s="292">
        <v>10</v>
      </c>
      <c r="DZ13" s="292">
        <v>0</v>
      </c>
      <c r="EA13" s="292">
        <v>14</v>
      </c>
      <c r="EB13" s="292">
        <v>105</v>
      </c>
      <c r="EC13" s="292">
        <v>105</v>
      </c>
      <c r="ED13" s="342"/>
      <c r="EE13" s="342"/>
    </row>
    <row r="14" spans="1:135" x14ac:dyDescent="0.2">
      <c r="A14" s="10" t="s">
        <v>143</v>
      </c>
      <c r="B14" s="169">
        <v>8</v>
      </c>
      <c r="C14" s="12" t="s">
        <v>119</v>
      </c>
      <c r="D14" s="13">
        <v>1996</v>
      </c>
      <c r="E14" s="1"/>
      <c r="F14" s="2" t="s">
        <v>151</v>
      </c>
      <c r="G14" s="111">
        <v>1</v>
      </c>
      <c r="H14" s="1">
        <v>9</v>
      </c>
      <c r="I14" s="1" t="s">
        <v>22</v>
      </c>
      <c r="J14" s="122">
        <v>17493</v>
      </c>
      <c r="K14" s="122">
        <v>738</v>
      </c>
      <c r="L14" s="122"/>
      <c r="M14" s="122">
        <v>688.7</v>
      </c>
      <c r="N14" s="122">
        <v>71</v>
      </c>
      <c r="O14" s="122">
        <v>178</v>
      </c>
      <c r="P14" s="122">
        <v>71</v>
      </c>
      <c r="Q14" s="322">
        <v>173</v>
      </c>
      <c r="R14" s="179">
        <v>4722.8999999999996</v>
      </c>
      <c r="S14" s="121">
        <v>2706</v>
      </c>
      <c r="T14" s="122">
        <f t="shared" si="9"/>
        <v>61</v>
      </c>
      <c r="U14" s="180">
        <f t="shared" si="10"/>
        <v>4045.0999999999995</v>
      </c>
      <c r="V14" s="180">
        <f t="shared" si="11"/>
        <v>2316.33</v>
      </c>
      <c r="W14" s="122">
        <v>10</v>
      </c>
      <c r="X14" s="180">
        <v>677.8</v>
      </c>
      <c r="Y14" s="180">
        <v>389.67</v>
      </c>
      <c r="Z14" s="122"/>
      <c r="AA14" s="122"/>
      <c r="AB14" s="122"/>
      <c r="AC14" s="180">
        <f t="shared" si="12"/>
        <v>0</v>
      </c>
      <c r="AD14" s="179">
        <f t="shared" si="13"/>
        <v>0</v>
      </c>
      <c r="AE14" s="271"/>
      <c r="AF14" s="179"/>
      <c r="AG14" s="180"/>
      <c r="AH14" s="180"/>
      <c r="AI14" s="180">
        <f t="shared" si="14"/>
        <v>4722.8999999999996</v>
      </c>
      <c r="AJ14" s="122">
        <v>197</v>
      </c>
      <c r="AK14" s="122">
        <v>2</v>
      </c>
      <c r="AL14" s="122">
        <v>2</v>
      </c>
      <c r="AM14" s="122">
        <v>2</v>
      </c>
      <c r="AN14" s="122"/>
      <c r="AO14" s="122">
        <v>2</v>
      </c>
      <c r="AP14" s="122">
        <v>3462</v>
      </c>
      <c r="AQ14" s="180">
        <v>91.75</v>
      </c>
      <c r="AR14" s="122">
        <f>150+150+100+140</f>
        <v>540</v>
      </c>
      <c r="AS14" s="122">
        <v>256</v>
      </c>
      <c r="AT14" s="122">
        <v>64</v>
      </c>
      <c r="AU14" s="122">
        <f t="shared" si="0"/>
        <v>4435</v>
      </c>
      <c r="AV14" s="122">
        <v>3765</v>
      </c>
      <c r="AW14" s="122">
        <v>670</v>
      </c>
      <c r="AX14" s="122">
        <v>1616</v>
      </c>
      <c r="AY14" s="122">
        <v>151</v>
      </c>
      <c r="AZ14" s="122">
        <v>689</v>
      </c>
      <c r="BA14" s="122">
        <v>594</v>
      </c>
      <c r="BB14" s="122">
        <v>32</v>
      </c>
      <c r="BC14" s="122">
        <v>53</v>
      </c>
      <c r="BD14" s="122">
        <v>250</v>
      </c>
      <c r="BE14" s="122">
        <v>536</v>
      </c>
      <c r="BF14" s="122">
        <v>1</v>
      </c>
      <c r="BG14" s="122">
        <v>3060</v>
      </c>
      <c r="BH14" s="122">
        <v>944</v>
      </c>
      <c r="BI14" s="122">
        <v>294</v>
      </c>
      <c r="BJ14" s="115" t="str">
        <f t="shared" si="15"/>
        <v>0</v>
      </c>
      <c r="BK14" s="115" t="str">
        <f t="shared" si="16"/>
        <v>0</v>
      </c>
      <c r="BL14" s="115" t="str">
        <f t="shared" si="17"/>
        <v>0</v>
      </c>
      <c r="BM14" s="115">
        <f t="shared" si="18"/>
        <v>1</v>
      </c>
      <c r="BN14" s="115">
        <f t="shared" si="19"/>
        <v>4722.8999999999996</v>
      </c>
      <c r="BO14" s="115">
        <f t="shared" si="20"/>
        <v>2706</v>
      </c>
      <c r="BP14" s="115" t="str">
        <f t="shared" si="21"/>
        <v>0</v>
      </c>
      <c r="BQ14" s="115" t="str">
        <f t="shared" si="22"/>
        <v>0</v>
      </c>
      <c r="BR14" s="115" t="str">
        <f t="shared" si="23"/>
        <v>0</v>
      </c>
      <c r="BS14" s="115"/>
      <c r="BT14" s="115">
        <v>6</v>
      </c>
      <c r="BU14" s="115">
        <v>594</v>
      </c>
      <c r="BV14" s="115">
        <v>255</v>
      </c>
      <c r="BW14" s="115"/>
      <c r="BX14" s="115"/>
      <c r="BY14" s="253">
        <v>1212.5</v>
      </c>
      <c r="BZ14" s="253">
        <v>554</v>
      </c>
      <c r="CA14" s="343">
        <f>84-3.5*2+477</f>
        <v>554</v>
      </c>
      <c r="CB14" s="343">
        <f>3.5*2+17.8</f>
        <v>24.8</v>
      </c>
      <c r="CC14" s="344"/>
      <c r="CD14" s="350">
        <v>593.6</v>
      </c>
      <c r="CE14" s="343">
        <f>8.3+7.9</f>
        <v>16.200000000000003</v>
      </c>
      <c r="CF14" s="344"/>
      <c r="CG14" s="344">
        <v>11.8</v>
      </c>
      <c r="CH14" s="346">
        <f>7.9+4.2</f>
        <v>12.100000000000001</v>
      </c>
      <c r="CI14" s="347">
        <f t="shared" si="24"/>
        <v>1212.5</v>
      </c>
      <c r="CJ14" s="347">
        <f t="shared" si="1"/>
        <v>554</v>
      </c>
      <c r="CK14" s="348">
        <v>689</v>
      </c>
      <c r="CL14" s="349">
        <f t="shared" si="2"/>
        <v>1901.5</v>
      </c>
      <c r="CM14" s="188">
        <v>1451</v>
      </c>
      <c r="CN14" s="188">
        <f t="shared" si="3"/>
        <v>713</v>
      </c>
      <c r="CO14" s="186">
        <f t="shared" si="4"/>
        <v>1</v>
      </c>
      <c r="CP14" s="187">
        <f t="shared" si="5"/>
        <v>3765</v>
      </c>
      <c r="CQ14" s="186"/>
      <c r="CR14" s="187">
        <f t="shared" si="7"/>
        <v>670</v>
      </c>
      <c r="CS14" s="187">
        <f t="shared" si="25"/>
        <v>1</v>
      </c>
      <c r="CT14" s="187">
        <f t="shared" si="26"/>
        <v>4435</v>
      </c>
      <c r="CU14" s="14">
        <v>61</v>
      </c>
      <c r="CV14" s="284" t="str">
        <f t="shared" si="27"/>
        <v>0</v>
      </c>
      <c r="CW14" s="284" t="str">
        <f t="shared" si="28"/>
        <v>0</v>
      </c>
      <c r="CX14" s="243">
        <f t="shared" si="29"/>
        <v>14.351351923606259</v>
      </c>
      <c r="CY14" s="216" t="str">
        <f t="shared" si="30"/>
        <v>0</v>
      </c>
      <c r="CZ14" s="216" t="str">
        <f t="shared" si="31"/>
        <v>0</v>
      </c>
      <c r="DA14" s="243">
        <f t="shared" si="32"/>
        <v>14.351351923606259</v>
      </c>
      <c r="DB14" s="291">
        <v>1</v>
      </c>
      <c r="DC14" s="291">
        <v>1</v>
      </c>
      <c r="DD14" s="291">
        <v>1</v>
      </c>
      <c r="DE14" s="291">
        <v>1</v>
      </c>
      <c r="DF14" s="291">
        <v>2</v>
      </c>
      <c r="DG14" s="291">
        <v>2</v>
      </c>
      <c r="DH14" s="291">
        <v>2</v>
      </c>
      <c r="DI14" s="291">
        <v>2</v>
      </c>
      <c r="DJ14" s="292">
        <v>2</v>
      </c>
      <c r="DK14" s="292">
        <v>71</v>
      </c>
      <c r="DL14" s="292">
        <f t="shared" si="33"/>
        <v>60</v>
      </c>
      <c r="DM14" s="292">
        <v>11</v>
      </c>
      <c r="DN14" s="292">
        <v>49</v>
      </c>
      <c r="DO14" s="292">
        <v>34</v>
      </c>
      <c r="DP14" s="292">
        <v>63</v>
      </c>
      <c r="DQ14" s="292">
        <v>60</v>
      </c>
      <c r="DR14" s="292">
        <v>37</v>
      </c>
      <c r="DS14" s="292">
        <v>57</v>
      </c>
      <c r="DT14" s="292">
        <v>66</v>
      </c>
      <c r="DU14" s="292">
        <v>4</v>
      </c>
      <c r="DV14" s="292">
        <v>3</v>
      </c>
      <c r="DW14" s="292">
        <v>12</v>
      </c>
      <c r="DX14" s="292">
        <v>4</v>
      </c>
      <c r="DY14" s="292">
        <v>3</v>
      </c>
      <c r="DZ14" s="292">
        <v>12</v>
      </c>
      <c r="EA14" s="292">
        <v>4</v>
      </c>
      <c r="EB14" s="292">
        <v>71</v>
      </c>
      <c r="EC14" s="292">
        <v>71</v>
      </c>
      <c r="ED14" s="342"/>
      <c r="EE14" s="342"/>
    </row>
    <row r="15" spans="1:135" x14ac:dyDescent="0.2">
      <c r="A15" s="10" t="s">
        <v>143</v>
      </c>
      <c r="B15" s="169">
        <v>9</v>
      </c>
      <c r="C15" s="12" t="s">
        <v>120</v>
      </c>
      <c r="D15" s="13">
        <v>1992</v>
      </c>
      <c r="E15" s="1"/>
      <c r="F15" s="2" t="s">
        <v>24</v>
      </c>
      <c r="G15" s="111">
        <v>1</v>
      </c>
      <c r="H15" s="1">
        <v>9</v>
      </c>
      <c r="I15" s="1" t="s">
        <v>22</v>
      </c>
      <c r="J15" s="122">
        <v>10244</v>
      </c>
      <c r="K15" s="122">
        <v>405</v>
      </c>
      <c r="L15" s="122"/>
      <c r="M15" s="122">
        <v>374</v>
      </c>
      <c r="N15" s="122">
        <v>32</v>
      </c>
      <c r="O15" s="122">
        <v>96</v>
      </c>
      <c r="P15" s="122">
        <v>35</v>
      </c>
      <c r="Q15" s="322">
        <v>86</v>
      </c>
      <c r="R15" s="179">
        <v>2148.1999999999998</v>
      </c>
      <c r="S15" s="121">
        <v>1392</v>
      </c>
      <c r="T15" s="122">
        <f t="shared" si="9"/>
        <v>22</v>
      </c>
      <c r="U15" s="180">
        <f t="shared" si="10"/>
        <v>1421.1</v>
      </c>
      <c r="V15" s="180">
        <f t="shared" si="11"/>
        <v>955.8</v>
      </c>
      <c r="W15" s="122">
        <v>10</v>
      </c>
      <c r="X15" s="180">
        <v>727.1</v>
      </c>
      <c r="Y15" s="180">
        <v>436.2</v>
      </c>
      <c r="Z15" s="122"/>
      <c r="AA15" s="122"/>
      <c r="AB15" s="122"/>
      <c r="AC15" s="180">
        <f t="shared" si="12"/>
        <v>236.1</v>
      </c>
      <c r="AD15" s="179">
        <f t="shared" si="13"/>
        <v>0</v>
      </c>
      <c r="AE15" s="271"/>
      <c r="AF15" s="179"/>
      <c r="AG15" s="180"/>
      <c r="AH15" s="180">
        <v>236.1</v>
      </c>
      <c r="AI15" s="180">
        <f t="shared" si="14"/>
        <v>2384.2999999999997</v>
      </c>
      <c r="AJ15" s="122">
        <v>128</v>
      </c>
      <c r="AK15" s="122">
        <v>1</v>
      </c>
      <c r="AL15" s="122">
        <v>1</v>
      </c>
      <c r="AM15" s="122">
        <v>1</v>
      </c>
      <c r="AN15" s="122"/>
      <c r="AO15" s="122">
        <v>1</v>
      </c>
      <c r="AP15" s="122">
        <v>2297</v>
      </c>
      <c r="AQ15" s="180"/>
      <c r="AR15" s="122">
        <f>97+100+43+70</f>
        <v>310</v>
      </c>
      <c r="AS15" s="122">
        <v>176</v>
      </c>
      <c r="AT15" s="122">
        <v>72</v>
      </c>
      <c r="AU15" s="122">
        <f t="shared" si="0"/>
        <v>2792</v>
      </c>
      <c r="AV15" s="122"/>
      <c r="AW15" s="122">
        <v>2792</v>
      </c>
      <c r="AX15" s="122">
        <v>1187</v>
      </c>
      <c r="AY15" s="122">
        <v>89</v>
      </c>
      <c r="AZ15" s="122">
        <v>374</v>
      </c>
      <c r="BA15" s="122">
        <v>314</v>
      </c>
      <c r="BB15" s="122">
        <v>16</v>
      </c>
      <c r="BC15" s="122">
        <v>19</v>
      </c>
      <c r="BD15" s="122">
        <v>142</v>
      </c>
      <c r="BE15" s="122">
        <v>274</v>
      </c>
      <c r="BF15" s="122">
        <v>1</v>
      </c>
      <c r="BG15" s="122">
        <v>1315</v>
      </c>
      <c r="BH15" s="122">
        <v>472</v>
      </c>
      <c r="BI15" s="122">
        <v>132</v>
      </c>
      <c r="BJ15" s="115" t="str">
        <f t="shared" si="15"/>
        <v>0</v>
      </c>
      <c r="BK15" s="115" t="str">
        <f t="shared" si="16"/>
        <v>0</v>
      </c>
      <c r="BL15" s="115" t="str">
        <f t="shared" si="17"/>
        <v>0</v>
      </c>
      <c r="BM15" s="115">
        <f t="shared" si="18"/>
        <v>1</v>
      </c>
      <c r="BN15" s="115">
        <f t="shared" si="19"/>
        <v>2148.1999999999998</v>
      </c>
      <c r="BO15" s="115">
        <f t="shared" si="20"/>
        <v>1392</v>
      </c>
      <c r="BP15" s="115" t="str">
        <f t="shared" si="21"/>
        <v>0</v>
      </c>
      <c r="BQ15" s="115" t="str">
        <f t="shared" si="22"/>
        <v>0</v>
      </c>
      <c r="BR15" s="115" t="str">
        <f t="shared" si="23"/>
        <v>0</v>
      </c>
      <c r="BS15" s="115"/>
      <c r="BT15" s="115">
        <v>1</v>
      </c>
      <c r="BU15" s="115">
        <v>314</v>
      </c>
      <c r="BV15" s="115">
        <v>18</v>
      </c>
      <c r="BW15" s="115"/>
      <c r="BX15" s="115"/>
      <c r="BY15" s="253">
        <v>739.9</v>
      </c>
      <c r="BZ15" s="253">
        <v>381.2</v>
      </c>
      <c r="CA15" s="343">
        <f>162.7+218.5</f>
        <v>381.2</v>
      </c>
      <c r="CB15" s="343">
        <f>2.6+7.5</f>
        <v>10.1</v>
      </c>
      <c r="CC15" s="344"/>
      <c r="CD15" s="350">
        <v>313.89999999999998</v>
      </c>
      <c r="CE15" s="344">
        <v>28.8</v>
      </c>
      <c r="CF15" s="344"/>
      <c r="CG15" s="344">
        <v>5.9</v>
      </c>
      <c r="CH15" s="346"/>
      <c r="CI15" s="347">
        <f t="shared" si="24"/>
        <v>739.9</v>
      </c>
      <c r="CJ15" s="347">
        <f t="shared" si="1"/>
        <v>381.2</v>
      </c>
      <c r="CK15" s="348">
        <v>374</v>
      </c>
      <c r="CL15" s="349">
        <f t="shared" si="2"/>
        <v>1113.9000000000001</v>
      </c>
      <c r="CM15" s="188">
        <v>1218</v>
      </c>
      <c r="CN15" s="188">
        <f t="shared" si="3"/>
        <v>813</v>
      </c>
      <c r="CO15" s="186" t="str">
        <f t="shared" si="4"/>
        <v>0</v>
      </c>
      <c r="CP15" s="187">
        <f t="shared" si="5"/>
        <v>0</v>
      </c>
      <c r="CQ15" s="186">
        <f t="shared" ref="CQ15:CQ33" si="34">IF(CR15&gt;0,G15,"0")</f>
        <v>1</v>
      </c>
      <c r="CR15" s="187">
        <f t="shared" si="7"/>
        <v>2792</v>
      </c>
      <c r="CS15" s="187">
        <f t="shared" si="25"/>
        <v>1</v>
      </c>
      <c r="CT15" s="187">
        <f t="shared" si="26"/>
        <v>2792</v>
      </c>
      <c r="CU15" s="14">
        <v>50</v>
      </c>
      <c r="CV15" s="284" t="str">
        <f t="shared" si="27"/>
        <v>0</v>
      </c>
      <c r="CW15" s="284" t="str">
        <f t="shared" si="28"/>
        <v>0</v>
      </c>
      <c r="CX15" s="243">
        <f t="shared" si="29"/>
        <v>33.846941625546975</v>
      </c>
      <c r="CY15" s="216" t="str">
        <f t="shared" si="30"/>
        <v>0</v>
      </c>
      <c r="CZ15" s="216" t="str">
        <f t="shared" si="31"/>
        <v>0</v>
      </c>
      <c r="DA15" s="243">
        <f t="shared" si="32"/>
        <v>30.495323575053479</v>
      </c>
      <c r="DB15" s="291">
        <v>1</v>
      </c>
      <c r="DC15" s="291">
        <v>1</v>
      </c>
      <c r="DD15" s="291">
        <v>1</v>
      </c>
      <c r="DE15" s="291">
        <v>1</v>
      </c>
      <c r="DF15" s="291">
        <v>2</v>
      </c>
      <c r="DG15" s="291">
        <v>1</v>
      </c>
      <c r="DH15" s="291">
        <v>1</v>
      </c>
      <c r="DI15" s="291">
        <v>1</v>
      </c>
      <c r="DJ15" s="292">
        <v>1</v>
      </c>
      <c r="DK15" s="292">
        <v>32</v>
      </c>
      <c r="DL15" s="292">
        <f t="shared" si="33"/>
        <v>21</v>
      </c>
      <c r="DM15" s="292">
        <v>11</v>
      </c>
      <c r="DN15" s="292">
        <v>22</v>
      </c>
      <c r="DO15" s="292">
        <v>20</v>
      </c>
      <c r="DP15" s="292">
        <v>12</v>
      </c>
      <c r="DQ15" s="292">
        <v>20</v>
      </c>
      <c r="DR15" s="292">
        <v>20</v>
      </c>
      <c r="DS15" s="292">
        <v>12</v>
      </c>
      <c r="DT15" s="292">
        <v>20</v>
      </c>
      <c r="DU15" s="292">
        <v>5</v>
      </c>
      <c r="DV15" s="292">
        <v>4</v>
      </c>
      <c r="DW15" s="292">
        <v>3</v>
      </c>
      <c r="DX15" s="292">
        <v>4</v>
      </c>
      <c r="DY15" s="292">
        <v>4</v>
      </c>
      <c r="DZ15" s="292">
        <v>3</v>
      </c>
      <c r="EA15" s="292">
        <v>4</v>
      </c>
      <c r="EB15" s="292">
        <v>32</v>
      </c>
      <c r="EC15" s="292">
        <v>32</v>
      </c>
      <c r="ED15" s="342"/>
      <c r="EE15" s="342"/>
    </row>
    <row r="16" spans="1:135" x14ac:dyDescent="0.2">
      <c r="A16" s="10" t="s">
        <v>143</v>
      </c>
      <c r="B16" s="169">
        <v>10</v>
      </c>
      <c r="C16" s="12" t="s">
        <v>121</v>
      </c>
      <c r="D16" s="13">
        <v>1993</v>
      </c>
      <c r="E16" s="1"/>
      <c r="F16" s="2" t="s">
        <v>151</v>
      </c>
      <c r="G16" s="111">
        <v>1</v>
      </c>
      <c r="H16" s="1">
        <v>9</v>
      </c>
      <c r="I16" s="1" t="s">
        <v>22</v>
      </c>
      <c r="J16" s="122">
        <v>26058</v>
      </c>
      <c r="K16" s="122">
        <v>1114</v>
      </c>
      <c r="L16" s="122"/>
      <c r="M16" s="122">
        <v>1021.9</v>
      </c>
      <c r="N16" s="122">
        <v>108</v>
      </c>
      <c r="O16" s="122">
        <v>266</v>
      </c>
      <c r="P16" s="122">
        <v>108</v>
      </c>
      <c r="Q16" s="322">
        <v>296</v>
      </c>
      <c r="R16" s="179">
        <v>7037.1</v>
      </c>
      <c r="S16" s="121">
        <v>4029</v>
      </c>
      <c r="T16" s="122">
        <f t="shared" si="9"/>
        <v>91</v>
      </c>
      <c r="U16" s="180">
        <f t="shared" si="10"/>
        <v>5894.4000000000005</v>
      </c>
      <c r="V16" s="180">
        <f t="shared" si="11"/>
        <v>3367.31</v>
      </c>
      <c r="W16" s="122">
        <v>17</v>
      </c>
      <c r="X16" s="180">
        <v>1142.7</v>
      </c>
      <c r="Y16" s="180">
        <v>661.69</v>
      </c>
      <c r="Z16" s="122"/>
      <c r="AA16" s="122"/>
      <c r="AB16" s="122"/>
      <c r="AC16" s="180">
        <f t="shared" si="12"/>
        <v>0</v>
      </c>
      <c r="AD16" s="179">
        <f t="shared" si="13"/>
        <v>0</v>
      </c>
      <c r="AE16" s="271"/>
      <c r="AF16" s="179"/>
      <c r="AG16" s="180"/>
      <c r="AH16" s="180"/>
      <c r="AI16" s="180">
        <f t="shared" si="14"/>
        <v>7037.1</v>
      </c>
      <c r="AJ16" s="122">
        <v>341</v>
      </c>
      <c r="AK16" s="122">
        <v>3</v>
      </c>
      <c r="AL16" s="122">
        <v>3</v>
      </c>
      <c r="AM16" s="122">
        <v>3</v>
      </c>
      <c r="AN16" s="122"/>
      <c r="AO16" s="122">
        <v>3</v>
      </c>
      <c r="AP16" s="122">
        <v>4757</v>
      </c>
      <c r="AQ16" s="180"/>
      <c r="AR16" s="122">
        <f>200+200+95+170</f>
        <v>665</v>
      </c>
      <c r="AS16" s="122">
        <v>446</v>
      </c>
      <c r="AT16" s="122">
        <v>96</v>
      </c>
      <c r="AU16" s="122">
        <f t="shared" si="0"/>
        <v>6230</v>
      </c>
      <c r="AV16" s="122"/>
      <c r="AW16" s="122">
        <v>6230</v>
      </c>
      <c r="AX16" s="122">
        <v>2424</v>
      </c>
      <c r="AY16" s="122">
        <v>231</v>
      </c>
      <c r="AZ16" s="122">
        <v>1022</v>
      </c>
      <c r="BA16" s="122">
        <v>845</v>
      </c>
      <c r="BB16" s="122">
        <v>48</v>
      </c>
      <c r="BC16" s="122">
        <v>75</v>
      </c>
      <c r="BD16" s="122">
        <v>375</v>
      </c>
      <c r="BE16" s="122">
        <v>806</v>
      </c>
      <c r="BF16" s="122">
        <v>1</v>
      </c>
      <c r="BG16" s="122">
        <v>4020</v>
      </c>
      <c r="BH16" s="122">
        <v>1416</v>
      </c>
      <c r="BI16" s="122">
        <v>456</v>
      </c>
      <c r="BJ16" s="115" t="str">
        <f t="shared" si="15"/>
        <v>0</v>
      </c>
      <c r="BK16" s="115" t="str">
        <f t="shared" si="16"/>
        <v>0</v>
      </c>
      <c r="BL16" s="115" t="str">
        <f t="shared" si="17"/>
        <v>0</v>
      </c>
      <c r="BM16" s="115">
        <f t="shared" si="18"/>
        <v>1</v>
      </c>
      <c r="BN16" s="115">
        <f t="shared" si="19"/>
        <v>7037.1</v>
      </c>
      <c r="BO16" s="115">
        <f t="shared" si="20"/>
        <v>4029</v>
      </c>
      <c r="BP16" s="115" t="str">
        <f t="shared" si="21"/>
        <v>0</v>
      </c>
      <c r="BQ16" s="115" t="str">
        <f t="shared" si="22"/>
        <v>0</v>
      </c>
      <c r="BR16" s="115" t="str">
        <f t="shared" si="23"/>
        <v>0</v>
      </c>
      <c r="BS16" s="115"/>
      <c r="BT16" s="115">
        <v>3</v>
      </c>
      <c r="BU16" s="115">
        <v>845</v>
      </c>
      <c r="BV16" s="115">
        <v>383</v>
      </c>
      <c r="BW16" s="115"/>
      <c r="BX16" s="115"/>
      <c r="BY16" s="253">
        <v>1743.1</v>
      </c>
      <c r="BZ16" s="253">
        <v>808.2</v>
      </c>
      <c r="CA16" s="343">
        <f>687.2+121</f>
        <v>808.2</v>
      </c>
      <c r="CB16" s="343">
        <f>7.8+26.7</f>
        <v>34.5</v>
      </c>
      <c r="CC16" s="344"/>
      <c r="CD16" s="343">
        <f>871.6-26.7</f>
        <v>844.9</v>
      </c>
      <c r="CE16" s="343">
        <f>8.1+8.1+8</f>
        <v>24.2</v>
      </c>
      <c r="CF16" s="344"/>
      <c r="CG16" s="344">
        <v>17.7</v>
      </c>
      <c r="CH16" s="343">
        <f>9.5+4.1</f>
        <v>13.6</v>
      </c>
      <c r="CI16" s="347">
        <f t="shared" si="24"/>
        <v>1743.1</v>
      </c>
      <c r="CJ16" s="347">
        <f t="shared" si="1"/>
        <v>808.2</v>
      </c>
      <c r="CK16" s="348">
        <v>1022</v>
      </c>
      <c r="CL16" s="349">
        <f t="shared" si="2"/>
        <v>2765.1</v>
      </c>
      <c r="CM16" s="188">
        <v>2043</v>
      </c>
      <c r="CN16" s="188">
        <f t="shared" si="3"/>
        <v>929</v>
      </c>
      <c r="CO16" s="186" t="str">
        <f t="shared" si="4"/>
        <v>0</v>
      </c>
      <c r="CP16" s="187">
        <f t="shared" si="5"/>
        <v>0</v>
      </c>
      <c r="CQ16" s="186">
        <f t="shared" si="34"/>
        <v>1</v>
      </c>
      <c r="CR16" s="187">
        <f t="shared" si="7"/>
        <v>6230</v>
      </c>
      <c r="CS16" s="187">
        <f t="shared" si="25"/>
        <v>1</v>
      </c>
      <c r="CT16" s="187">
        <f t="shared" si="26"/>
        <v>6230</v>
      </c>
      <c r="CU16" s="14">
        <v>54</v>
      </c>
      <c r="CV16" s="284" t="str">
        <f t="shared" si="27"/>
        <v>0</v>
      </c>
      <c r="CW16" s="284" t="str">
        <f t="shared" si="28"/>
        <v>0</v>
      </c>
      <c r="CX16" s="243">
        <f t="shared" si="29"/>
        <v>16.238223131687768</v>
      </c>
      <c r="CY16" s="216" t="str">
        <f t="shared" si="30"/>
        <v>0</v>
      </c>
      <c r="CZ16" s="216" t="str">
        <f t="shared" si="31"/>
        <v>0</v>
      </c>
      <c r="DA16" s="243">
        <f t="shared" si="32"/>
        <v>16.238223131687768</v>
      </c>
      <c r="DB16" s="291">
        <v>1</v>
      </c>
      <c r="DC16" s="291">
        <v>1</v>
      </c>
      <c r="DD16" s="291">
        <v>1</v>
      </c>
      <c r="DE16" s="291">
        <v>1</v>
      </c>
      <c r="DF16" s="291">
        <v>2</v>
      </c>
      <c r="DG16" s="291">
        <v>1</v>
      </c>
      <c r="DH16" s="291">
        <v>1</v>
      </c>
      <c r="DI16" s="291">
        <v>1</v>
      </c>
      <c r="DJ16" s="292">
        <v>1</v>
      </c>
      <c r="DK16" s="292">
        <v>108</v>
      </c>
      <c r="DL16" s="292">
        <f t="shared" si="33"/>
        <v>91</v>
      </c>
      <c r="DM16" s="292">
        <v>17</v>
      </c>
      <c r="DN16" s="292">
        <v>87</v>
      </c>
      <c r="DO16" s="292">
        <v>62</v>
      </c>
      <c r="DP16" s="292">
        <v>80</v>
      </c>
      <c r="DQ16" s="292">
        <v>114</v>
      </c>
      <c r="DR16" s="292">
        <v>65</v>
      </c>
      <c r="DS16" s="292">
        <v>74</v>
      </c>
      <c r="DT16" s="292">
        <v>120</v>
      </c>
      <c r="DU16" s="292">
        <v>9</v>
      </c>
      <c r="DV16" s="292">
        <v>5</v>
      </c>
      <c r="DW16" s="292">
        <v>15</v>
      </c>
      <c r="DX16" s="292">
        <v>9</v>
      </c>
      <c r="DY16" s="292">
        <v>5</v>
      </c>
      <c r="DZ16" s="292">
        <v>15</v>
      </c>
      <c r="EA16" s="292">
        <v>9</v>
      </c>
      <c r="EB16" s="292">
        <v>108</v>
      </c>
      <c r="EC16" s="292">
        <v>108</v>
      </c>
      <c r="ED16" s="342"/>
      <c r="EE16" s="342"/>
    </row>
    <row r="17" spans="1:135" x14ac:dyDescent="0.2">
      <c r="A17" s="10" t="s">
        <v>143</v>
      </c>
      <c r="B17" s="169">
        <v>11</v>
      </c>
      <c r="C17" s="12" t="s">
        <v>122</v>
      </c>
      <c r="D17" s="13">
        <v>1992</v>
      </c>
      <c r="E17" s="1"/>
      <c r="F17" s="2" t="s">
        <v>24</v>
      </c>
      <c r="G17" s="111">
        <v>1</v>
      </c>
      <c r="H17" s="1">
        <v>9</v>
      </c>
      <c r="I17" s="1" t="s">
        <v>22</v>
      </c>
      <c r="J17" s="122">
        <v>29209</v>
      </c>
      <c r="K17" s="122">
        <v>1146</v>
      </c>
      <c r="L17" s="122"/>
      <c r="M17" s="122">
        <v>1071.0999999999999</v>
      </c>
      <c r="N17" s="122">
        <v>105</v>
      </c>
      <c r="O17" s="122">
        <v>285</v>
      </c>
      <c r="P17" s="122">
        <v>106</v>
      </c>
      <c r="Q17" s="322">
        <v>240</v>
      </c>
      <c r="R17" s="179">
        <v>6814</v>
      </c>
      <c r="S17" s="121">
        <v>4218.3</v>
      </c>
      <c r="T17" s="122">
        <f t="shared" si="9"/>
        <v>90</v>
      </c>
      <c r="U17" s="180">
        <f t="shared" si="10"/>
        <v>5797</v>
      </c>
      <c r="V17" s="180">
        <f t="shared" si="11"/>
        <v>3580.3100000000004</v>
      </c>
      <c r="W17" s="122">
        <v>15</v>
      </c>
      <c r="X17" s="180">
        <v>1017</v>
      </c>
      <c r="Y17" s="180">
        <v>637.99</v>
      </c>
      <c r="Z17" s="122"/>
      <c r="AA17" s="122"/>
      <c r="AB17" s="122"/>
      <c r="AC17" s="180">
        <f t="shared" si="12"/>
        <v>0</v>
      </c>
      <c r="AD17" s="179">
        <f t="shared" si="13"/>
        <v>0</v>
      </c>
      <c r="AE17" s="271"/>
      <c r="AF17" s="179"/>
      <c r="AG17" s="180"/>
      <c r="AH17" s="180"/>
      <c r="AI17" s="180">
        <f t="shared" si="14"/>
        <v>6814</v>
      </c>
      <c r="AJ17" s="122">
        <v>279</v>
      </c>
      <c r="AK17" s="122">
        <v>3</v>
      </c>
      <c r="AL17" s="122">
        <v>3</v>
      </c>
      <c r="AM17" s="122">
        <v>3</v>
      </c>
      <c r="AN17" s="122"/>
      <c r="AO17" s="122">
        <v>3</v>
      </c>
      <c r="AP17" s="122">
        <v>5024</v>
      </c>
      <c r="AQ17" s="180"/>
      <c r="AR17" s="122">
        <f>180+190+86+180</f>
        <v>636</v>
      </c>
      <c r="AS17" s="122">
        <v>350</v>
      </c>
      <c r="AT17" s="122">
        <v>216</v>
      </c>
      <c r="AU17" s="122">
        <f t="shared" si="0"/>
        <v>8114</v>
      </c>
      <c r="AV17" s="122"/>
      <c r="AW17" s="122">
        <v>8114</v>
      </c>
      <c r="AX17" s="122">
        <v>2517</v>
      </c>
      <c r="AY17" s="122">
        <v>255</v>
      </c>
      <c r="AZ17" s="122">
        <v>1071</v>
      </c>
      <c r="BA17" s="122">
        <v>888</v>
      </c>
      <c r="BB17" s="122">
        <v>51</v>
      </c>
      <c r="BC17" s="122">
        <v>56</v>
      </c>
      <c r="BD17" s="122">
        <v>390</v>
      </c>
      <c r="BE17" s="122">
        <v>858</v>
      </c>
      <c r="BF17" s="122">
        <v>1</v>
      </c>
      <c r="BG17" s="122">
        <v>3520</v>
      </c>
      <c r="BH17" s="122">
        <v>1416</v>
      </c>
      <c r="BI17" s="122">
        <v>456</v>
      </c>
      <c r="BJ17" s="115" t="str">
        <f t="shared" si="15"/>
        <v>0</v>
      </c>
      <c r="BK17" s="115" t="str">
        <f t="shared" si="16"/>
        <v>0</v>
      </c>
      <c r="BL17" s="115" t="str">
        <f t="shared" si="17"/>
        <v>0</v>
      </c>
      <c r="BM17" s="115">
        <f t="shared" si="18"/>
        <v>1</v>
      </c>
      <c r="BN17" s="115">
        <f t="shared" si="19"/>
        <v>6814</v>
      </c>
      <c r="BO17" s="115">
        <f t="shared" si="20"/>
        <v>4218.3</v>
      </c>
      <c r="BP17" s="115" t="str">
        <f t="shared" si="21"/>
        <v>0</v>
      </c>
      <c r="BQ17" s="115" t="str">
        <f t="shared" si="22"/>
        <v>0</v>
      </c>
      <c r="BR17" s="115" t="str">
        <f t="shared" si="23"/>
        <v>0</v>
      </c>
      <c r="BS17" s="115"/>
      <c r="BT17" s="115">
        <v>4</v>
      </c>
      <c r="BU17" s="115">
        <v>888</v>
      </c>
      <c r="BV17" s="115">
        <v>60</v>
      </c>
      <c r="BW17" s="115"/>
      <c r="BX17" s="115"/>
      <c r="BY17" s="253">
        <v>2108.1999999999998</v>
      </c>
      <c r="BZ17" s="253">
        <v>1115.8</v>
      </c>
      <c r="CA17" s="343">
        <f>428.7-2.9*3+695.8</f>
        <v>1115.8</v>
      </c>
      <c r="CB17" s="343">
        <f>2.9*3+21</f>
        <v>29.7</v>
      </c>
      <c r="CC17" s="344"/>
      <c r="CD17" s="350">
        <v>888.2</v>
      </c>
      <c r="CE17" s="343">
        <f>14.1+23.8+7</f>
        <v>44.9</v>
      </c>
      <c r="CF17" s="344"/>
      <c r="CG17" s="344">
        <v>14.2</v>
      </c>
      <c r="CH17" s="346">
        <v>15.4</v>
      </c>
      <c r="CI17" s="347">
        <f t="shared" si="24"/>
        <v>2108.1999999999998</v>
      </c>
      <c r="CJ17" s="347">
        <f t="shared" si="1"/>
        <v>1115.8</v>
      </c>
      <c r="CK17" s="348">
        <v>1071</v>
      </c>
      <c r="CL17" s="349">
        <f t="shared" si="2"/>
        <v>3179.2</v>
      </c>
      <c r="CM17" s="188">
        <v>3171</v>
      </c>
      <c r="CN17" s="188">
        <f t="shared" si="3"/>
        <v>2025</v>
      </c>
      <c r="CO17" s="186" t="str">
        <f t="shared" si="4"/>
        <v>0</v>
      </c>
      <c r="CP17" s="187">
        <f t="shared" si="5"/>
        <v>0</v>
      </c>
      <c r="CQ17" s="186">
        <f t="shared" si="34"/>
        <v>1</v>
      </c>
      <c r="CR17" s="187">
        <f t="shared" si="7"/>
        <v>8114</v>
      </c>
      <c r="CS17" s="187">
        <f t="shared" si="25"/>
        <v>1</v>
      </c>
      <c r="CT17" s="187">
        <f t="shared" si="26"/>
        <v>8114</v>
      </c>
      <c r="CU17" s="14">
        <v>53</v>
      </c>
      <c r="CV17" s="284" t="str">
        <f t="shared" si="27"/>
        <v>0</v>
      </c>
      <c r="CW17" s="284" t="str">
        <f t="shared" si="28"/>
        <v>0</v>
      </c>
      <c r="CX17" s="243">
        <f t="shared" si="29"/>
        <v>14.925154094511301</v>
      </c>
      <c r="CY17" s="216" t="str">
        <f t="shared" si="30"/>
        <v>0</v>
      </c>
      <c r="CZ17" s="216" t="str">
        <f t="shared" si="31"/>
        <v>0</v>
      </c>
      <c r="DA17" s="243">
        <f t="shared" si="32"/>
        <v>14.925154094511301</v>
      </c>
      <c r="DB17" s="291">
        <v>1</v>
      </c>
      <c r="DC17" s="291">
        <v>1</v>
      </c>
      <c r="DD17" s="291">
        <v>1</v>
      </c>
      <c r="DE17" s="291">
        <v>1</v>
      </c>
      <c r="DF17" s="291">
        <v>2</v>
      </c>
      <c r="DG17" s="291">
        <v>1</v>
      </c>
      <c r="DH17" s="291">
        <v>1</v>
      </c>
      <c r="DI17" s="291">
        <v>1</v>
      </c>
      <c r="DJ17" s="292">
        <v>1</v>
      </c>
      <c r="DK17" s="292">
        <v>105</v>
      </c>
      <c r="DL17" s="292">
        <f t="shared" si="33"/>
        <v>88</v>
      </c>
      <c r="DM17" s="292">
        <v>17</v>
      </c>
      <c r="DN17" s="292">
        <v>75</v>
      </c>
      <c r="DO17" s="292">
        <v>62</v>
      </c>
      <c r="DP17" s="292">
        <v>57</v>
      </c>
      <c r="DQ17" s="292">
        <v>83</v>
      </c>
      <c r="DR17" s="292">
        <v>64</v>
      </c>
      <c r="DS17" s="292">
        <v>54</v>
      </c>
      <c r="DT17" s="292">
        <v>86</v>
      </c>
      <c r="DU17" s="292">
        <v>10</v>
      </c>
      <c r="DV17" s="292">
        <v>9</v>
      </c>
      <c r="DW17" s="292">
        <v>2</v>
      </c>
      <c r="DX17" s="292">
        <v>12</v>
      </c>
      <c r="DY17" s="292">
        <v>9</v>
      </c>
      <c r="DZ17" s="292">
        <v>2</v>
      </c>
      <c r="EA17" s="292">
        <v>12</v>
      </c>
      <c r="EB17" s="292">
        <v>105</v>
      </c>
      <c r="EC17" s="292">
        <v>105</v>
      </c>
      <c r="ED17" s="342"/>
      <c r="EE17" s="342"/>
    </row>
    <row r="18" spans="1:135" x14ac:dyDescent="0.2">
      <c r="A18" s="10" t="s">
        <v>143</v>
      </c>
      <c r="B18" s="169">
        <v>12</v>
      </c>
      <c r="C18" s="12" t="s">
        <v>123</v>
      </c>
      <c r="D18" s="13">
        <v>1992</v>
      </c>
      <c r="E18" s="1"/>
      <c r="F18" s="2" t="s">
        <v>24</v>
      </c>
      <c r="G18" s="111">
        <v>1</v>
      </c>
      <c r="H18" s="1">
        <v>9</v>
      </c>
      <c r="I18" s="1" t="s">
        <v>22</v>
      </c>
      <c r="J18" s="122">
        <v>19736</v>
      </c>
      <c r="K18" s="122">
        <v>761</v>
      </c>
      <c r="L18" s="122"/>
      <c r="M18" s="122">
        <v>720.3</v>
      </c>
      <c r="N18" s="122">
        <v>70</v>
      </c>
      <c r="O18" s="122">
        <v>194</v>
      </c>
      <c r="P18" s="122">
        <v>73</v>
      </c>
      <c r="Q18" s="322">
        <v>183</v>
      </c>
      <c r="R18" s="179">
        <f>4601.44-0.04</f>
        <v>4601.3999999999996</v>
      </c>
      <c r="S18" s="121">
        <f>2877.4</f>
        <v>2877.4</v>
      </c>
      <c r="T18" s="122">
        <f t="shared" si="9"/>
        <v>64</v>
      </c>
      <c r="U18" s="180">
        <f t="shared" si="10"/>
        <v>4254.5999999999995</v>
      </c>
      <c r="V18" s="180">
        <f t="shared" si="11"/>
        <v>2657.7400000000002</v>
      </c>
      <c r="W18" s="122">
        <v>6</v>
      </c>
      <c r="X18" s="180">
        <v>346.8</v>
      </c>
      <c r="Y18" s="180">
        <v>219.66</v>
      </c>
      <c r="Z18" s="122"/>
      <c r="AA18" s="122"/>
      <c r="AB18" s="122"/>
      <c r="AC18" s="180">
        <f t="shared" si="12"/>
        <v>0</v>
      </c>
      <c r="AD18" s="179">
        <f t="shared" si="13"/>
        <v>0</v>
      </c>
      <c r="AE18" s="271"/>
      <c r="AF18" s="311">
        <f>68.5-68.5</f>
        <v>0</v>
      </c>
      <c r="AG18" s="180"/>
      <c r="AH18" s="180"/>
      <c r="AI18" s="180">
        <f t="shared" si="14"/>
        <v>4601.3999999999996</v>
      </c>
      <c r="AJ18" s="122">
        <v>192</v>
      </c>
      <c r="AK18" s="122">
        <v>2</v>
      </c>
      <c r="AL18" s="122">
        <v>2</v>
      </c>
      <c r="AM18" s="122">
        <v>2</v>
      </c>
      <c r="AN18" s="122"/>
      <c r="AO18" s="122">
        <v>2</v>
      </c>
      <c r="AP18" s="122">
        <v>3657</v>
      </c>
      <c r="AQ18" s="180"/>
      <c r="AR18" s="122">
        <f>70+100+50+80</f>
        <v>300</v>
      </c>
      <c r="AS18" s="122">
        <v>272</v>
      </c>
      <c r="AT18" s="122">
        <v>144</v>
      </c>
      <c r="AU18" s="122">
        <f t="shared" si="0"/>
        <v>5571</v>
      </c>
      <c r="AV18" s="122"/>
      <c r="AW18" s="122">
        <v>5571</v>
      </c>
      <c r="AX18" s="122">
        <v>1687</v>
      </c>
      <c r="AY18" s="122">
        <v>173</v>
      </c>
      <c r="AZ18" s="122">
        <v>720</v>
      </c>
      <c r="BA18" s="122">
        <v>597</v>
      </c>
      <c r="BB18" s="122">
        <v>32</v>
      </c>
      <c r="BC18" s="122">
        <v>39</v>
      </c>
      <c r="BD18" s="122">
        <v>266</v>
      </c>
      <c r="BE18" s="122">
        <v>573</v>
      </c>
      <c r="BF18" s="122">
        <v>1</v>
      </c>
      <c r="BG18" s="122">
        <v>2847</v>
      </c>
      <c r="BH18" s="122">
        <v>944</v>
      </c>
      <c r="BI18" s="122">
        <v>294</v>
      </c>
      <c r="BJ18" s="115" t="str">
        <f t="shared" si="15"/>
        <v>0</v>
      </c>
      <c r="BK18" s="115" t="str">
        <f t="shared" si="16"/>
        <v>0</v>
      </c>
      <c r="BL18" s="115" t="str">
        <f t="shared" si="17"/>
        <v>0</v>
      </c>
      <c r="BM18" s="115">
        <f t="shared" si="18"/>
        <v>1</v>
      </c>
      <c r="BN18" s="115">
        <f t="shared" si="19"/>
        <v>4601.3999999999996</v>
      </c>
      <c r="BO18" s="115">
        <f t="shared" si="20"/>
        <v>2877.4</v>
      </c>
      <c r="BP18" s="115" t="str">
        <f t="shared" si="21"/>
        <v>0</v>
      </c>
      <c r="BQ18" s="115" t="str">
        <f t="shared" si="22"/>
        <v>0</v>
      </c>
      <c r="BR18" s="115" t="str">
        <f t="shared" si="23"/>
        <v>0</v>
      </c>
      <c r="BS18" s="115"/>
      <c r="BT18" s="115">
        <v>2</v>
      </c>
      <c r="BU18" s="115">
        <v>597</v>
      </c>
      <c r="BV18" s="115">
        <v>36</v>
      </c>
      <c r="BW18" s="115"/>
      <c r="BX18" s="115"/>
      <c r="BY18" s="253">
        <v>1475.4999999999998</v>
      </c>
      <c r="BZ18" s="253">
        <v>779.4</v>
      </c>
      <c r="CA18" s="343">
        <f>472.6-(3.5+3.4)+313.7</f>
        <v>779.40000000000009</v>
      </c>
      <c r="CB18" s="343">
        <f>(3.5+3.4)+13.9</f>
        <v>20.8</v>
      </c>
      <c r="CC18" s="344"/>
      <c r="CD18" s="350">
        <v>597</v>
      </c>
      <c r="CE18" s="343">
        <f>18+17.5</f>
        <v>35.5</v>
      </c>
      <c r="CF18" s="344"/>
      <c r="CG18" s="344">
        <v>9.8000000000000007</v>
      </c>
      <c r="CH18" s="346">
        <v>33</v>
      </c>
      <c r="CI18" s="347">
        <f t="shared" si="24"/>
        <v>1475.5</v>
      </c>
      <c r="CJ18" s="347">
        <f t="shared" si="1"/>
        <v>779.40000000000009</v>
      </c>
      <c r="CK18" s="348">
        <v>720</v>
      </c>
      <c r="CL18" s="349">
        <f t="shared" si="2"/>
        <v>2195.5</v>
      </c>
      <c r="CM18" s="188">
        <v>2396</v>
      </c>
      <c r="CN18" s="188">
        <f t="shared" si="3"/>
        <v>1635</v>
      </c>
      <c r="CO18" s="186" t="str">
        <f t="shared" si="4"/>
        <v>0</v>
      </c>
      <c r="CP18" s="187">
        <f t="shared" si="5"/>
        <v>0</v>
      </c>
      <c r="CQ18" s="186">
        <f t="shared" si="34"/>
        <v>1</v>
      </c>
      <c r="CR18" s="187">
        <f t="shared" si="7"/>
        <v>5571</v>
      </c>
      <c r="CS18" s="187">
        <f t="shared" si="25"/>
        <v>1</v>
      </c>
      <c r="CT18" s="187">
        <f t="shared" si="26"/>
        <v>5571</v>
      </c>
      <c r="CU18" s="14">
        <v>51</v>
      </c>
      <c r="CV18" s="284" t="str">
        <f t="shared" si="27"/>
        <v>0</v>
      </c>
      <c r="CW18" s="284" t="str">
        <f t="shared" si="28"/>
        <v>0</v>
      </c>
      <c r="CX18" s="243">
        <f t="shared" si="29"/>
        <v>7.5368366149432795</v>
      </c>
      <c r="CY18" s="216" t="str">
        <f t="shared" si="30"/>
        <v>0</v>
      </c>
      <c r="CZ18" s="216" t="str">
        <f t="shared" si="31"/>
        <v>0</v>
      </c>
      <c r="DA18" s="243">
        <f t="shared" si="32"/>
        <v>7.5368366149432795</v>
      </c>
      <c r="DB18" s="291">
        <v>1</v>
      </c>
      <c r="DC18" s="291">
        <v>1</v>
      </c>
      <c r="DD18" s="291">
        <v>1</v>
      </c>
      <c r="DE18" s="291">
        <v>1</v>
      </c>
      <c r="DF18" s="291">
        <v>2</v>
      </c>
      <c r="DG18" s="291">
        <v>1</v>
      </c>
      <c r="DH18" s="291">
        <v>1</v>
      </c>
      <c r="DI18" s="291">
        <v>1</v>
      </c>
      <c r="DJ18" s="292">
        <v>1</v>
      </c>
      <c r="DK18" s="292">
        <v>69</v>
      </c>
      <c r="DL18" s="292">
        <f t="shared" si="33"/>
        <v>61</v>
      </c>
      <c r="DM18" s="292">
        <v>8</v>
      </c>
      <c r="DN18" s="292">
        <v>52</v>
      </c>
      <c r="DO18" s="292">
        <v>44</v>
      </c>
      <c r="DP18" s="292">
        <v>36</v>
      </c>
      <c r="DQ18" s="292">
        <v>52</v>
      </c>
      <c r="DR18" s="292">
        <v>44</v>
      </c>
      <c r="DS18" s="292">
        <v>36</v>
      </c>
      <c r="DT18" s="292">
        <v>52</v>
      </c>
      <c r="DU18" s="292">
        <v>5</v>
      </c>
      <c r="DV18" s="292">
        <v>2</v>
      </c>
      <c r="DW18" s="292">
        <v>2</v>
      </c>
      <c r="DX18" s="292">
        <v>2</v>
      </c>
      <c r="DY18" s="292">
        <v>2</v>
      </c>
      <c r="DZ18" s="292">
        <v>2</v>
      </c>
      <c r="EA18" s="292">
        <v>2</v>
      </c>
      <c r="EB18" s="292">
        <v>69</v>
      </c>
      <c r="EC18" s="292">
        <v>69</v>
      </c>
      <c r="ED18" s="342"/>
      <c r="EE18" s="342"/>
    </row>
    <row r="19" spans="1:135" x14ac:dyDescent="0.2">
      <c r="A19" s="10" t="s">
        <v>143</v>
      </c>
      <c r="B19" s="169">
        <v>13</v>
      </c>
      <c r="C19" s="12" t="s">
        <v>124</v>
      </c>
      <c r="D19" s="13">
        <v>1993</v>
      </c>
      <c r="E19" s="1"/>
      <c r="F19" s="2" t="s">
        <v>24</v>
      </c>
      <c r="G19" s="111">
        <v>1</v>
      </c>
      <c r="H19" s="1">
        <v>9</v>
      </c>
      <c r="I19" s="1" t="s">
        <v>22</v>
      </c>
      <c r="J19" s="122">
        <v>10260</v>
      </c>
      <c r="K19" s="122">
        <v>425</v>
      </c>
      <c r="L19" s="122"/>
      <c r="M19" s="122">
        <v>374.2</v>
      </c>
      <c r="N19" s="122">
        <v>32</v>
      </c>
      <c r="O19" s="122">
        <v>96</v>
      </c>
      <c r="P19" s="122">
        <v>32</v>
      </c>
      <c r="Q19" s="322">
        <v>85</v>
      </c>
      <c r="R19" s="179">
        <v>2132.44</v>
      </c>
      <c r="S19" s="121">
        <v>1352</v>
      </c>
      <c r="T19" s="122">
        <f t="shared" si="9"/>
        <v>27</v>
      </c>
      <c r="U19" s="180">
        <f t="shared" si="10"/>
        <v>1904.1000000000001</v>
      </c>
      <c r="V19" s="180">
        <f t="shared" si="11"/>
        <v>1219.57</v>
      </c>
      <c r="W19" s="122">
        <v>5</v>
      </c>
      <c r="X19" s="180">
        <v>228.34</v>
      </c>
      <c r="Y19" s="180">
        <v>132.43</v>
      </c>
      <c r="Z19" s="122"/>
      <c r="AA19" s="122"/>
      <c r="AB19" s="122"/>
      <c r="AC19" s="180">
        <f t="shared" si="12"/>
        <v>210.4</v>
      </c>
      <c r="AD19" s="179">
        <f t="shared" si="13"/>
        <v>210.4</v>
      </c>
      <c r="AE19" s="271"/>
      <c r="AF19" s="311">
        <f>207.8+2.6</f>
        <v>210.4</v>
      </c>
      <c r="AG19" s="180"/>
      <c r="AH19" s="180"/>
      <c r="AI19" s="180">
        <f t="shared" si="14"/>
        <v>2342.84</v>
      </c>
      <c r="AJ19" s="122">
        <v>97</v>
      </c>
      <c r="AK19" s="122">
        <v>1</v>
      </c>
      <c r="AL19" s="122">
        <v>1</v>
      </c>
      <c r="AM19" s="122">
        <v>1</v>
      </c>
      <c r="AN19" s="122"/>
      <c r="AO19" s="122">
        <v>1</v>
      </c>
      <c r="AP19" s="122">
        <v>2301</v>
      </c>
      <c r="AQ19" s="180"/>
      <c r="AR19" s="122">
        <f>79+70+39+60</f>
        <v>248</v>
      </c>
      <c r="AS19" s="122">
        <v>252</v>
      </c>
      <c r="AT19" s="122">
        <v>82</v>
      </c>
      <c r="AU19" s="122">
        <f t="shared" si="0"/>
        <v>2914</v>
      </c>
      <c r="AV19" s="122"/>
      <c r="AW19" s="122">
        <v>2914</v>
      </c>
      <c r="AX19" s="122">
        <v>1187</v>
      </c>
      <c r="AY19" s="122">
        <v>94</v>
      </c>
      <c r="AZ19" s="122">
        <v>374</v>
      </c>
      <c r="BA19" s="122">
        <v>349</v>
      </c>
      <c r="BB19" s="122">
        <v>17</v>
      </c>
      <c r="BC19" s="122">
        <v>19</v>
      </c>
      <c r="BD19" s="122">
        <v>140</v>
      </c>
      <c r="BE19" s="122">
        <v>274</v>
      </c>
      <c r="BF19" s="122">
        <v>1</v>
      </c>
      <c r="BG19" s="122">
        <v>1700</v>
      </c>
      <c r="BH19" s="122">
        <v>472</v>
      </c>
      <c r="BI19" s="122">
        <v>132</v>
      </c>
      <c r="BJ19" s="115" t="str">
        <f t="shared" si="15"/>
        <v>0</v>
      </c>
      <c r="BK19" s="115" t="str">
        <f t="shared" si="16"/>
        <v>0</v>
      </c>
      <c r="BL19" s="115" t="str">
        <f t="shared" si="17"/>
        <v>0</v>
      </c>
      <c r="BM19" s="115">
        <f t="shared" si="18"/>
        <v>1</v>
      </c>
      <c r="BN19" s="115">
        <f t="shared" si="19"/>
        <v>2132.44</v>
      </c>
      <c r="BO19" s="115">
        <f t="shared" si="20"/>
        <v>1352</v>
      </c>
      <c r="BP19" s="115" t="str">
        <f t="shared" si="21"/>
        <v>0</v>
      </c>
      <c r="BQ19" s="115" t="str">
        <f t="shared" si="22"/>
        <v>0</v>
      </c>
      <c r="BR19" s="115" t="str">
        <f t="shared" si="23"/>
        <v>0</v>
      </c>
      <c r="BS19" s="115"/>
      <c r="BT19" s="115">
        <v>1</v>
      </c>
      <c r="BU19" s="115">
        <v>349</v>
      </c>
      <c r="BV19" s="115">
        <v>18</v>
      </c>
      <c r="BW19" s="115"/>
      <c r="BX19" s="115"/>
      <c r="BY19" s="253">
        <v>754.59999999999991</v>
      </c>
      <c r="BZ19" s="253">
        <v>346.2</v>
      </c>
      <c r="CA19" s="343">
        <f>127.1-3+222.1</f>
        <v>346.2</v>
      </c>
      <c r="CB19" s="343">
        <f>3+7.8</f>
        <v>10.8</v>
      </c>
      <c r="CC19" s="344"/>
      <c r="CD19" s="350">
        <v>348.8</v>
      </c>
      <c r="CE19" s="344">
        <v>15.4</v>
      </c>
      <c r="CF19" s="344"/>
      <c r="CG19" s="344">
        <v>26.1</v>
      </c>
      <c r="CH19" s="343">
        <f>4.8+2.5</f>
        <v>7.3</v>
      </c>
      <c r="CI19" s="347">
        <f t="shared" si="24"/>
        <v>754.6</v>
      </c>
      <c r="CJ19" s="347">
        <f t="shared" si="1"/>
        <v>346.2</v>
      </c>
      <c r="CK19" s="348">
        <v>374</v>
      </c>
      <c r="CL19" s="349">
        <f t="shared" si="2"/>
        <v>1128.5999999999999</v>
      </c>
      <c r="CM19" s="188">
        <v>822</v>
      </c>
      <c r="CN19" s="188">
        <f t="shared" si="3"/>
        <v>397</v>
      </c>
      <c r="CO19" s="186" t="str">
        <f t="shared" si="4"/>
        <v>0</v>
      </c>
      <c r="CP19" s="187">
        <f t="shared" si="5"/>
        <v>0</v>
      </c>
      <c r="CQ19" s="186">
        <f t="shared" si="34"/>
        <v>1</v>
      </c>
      <c r="CR19" s="187">
        <f t="shared" si="7"/>
        <v>2914</v>
      </c>
      <c r="CS19" s="187">
        <f t="shared" si="25"/>
        <v>1</v>
      </c>
      <c r="CT19" s="187">
        <f t="shared" si="26"/>
        <v>2914</v>
      </c>
      <c r="CU19" s="14">
        <v>51</v>
      </c>
      <c r="CV19" s="284" t="str">
        <f t="shared" si="27"/>
        <v>0</v>
      </c>
      <c r="CW19" s="284" t="str">
        <f t="shared" si="28"/>
        <v>0</v>
      </c>
      <c r="CX19" s="243">
        <f t="shared" si="29"/>
        <v>10.707921442103881</v>
      </c>
      <c r="CY19" s="216" t="str">
        <f t="shared" si="30"/>
        <v>0</v>
      </c>
      <c r="CZ19" s="216" t="str">
        <f t="shared" si="31"/>
        <v>0</v>
      </c>
      <c r="DA19" s="243">
        <f t="shared" si="32"/>
        <v>18.726844342763481</v>
      </c>
      <c r="DB19" s="291">
        <v>1</v>
      </c>
      <c r="DC19" s="291">
        <v>1</v>
      </c>
      <c r="DD19" s="291">
        <v>1</v>
      </c>
      <c r="DE19" s="291">
        <v>1</v>
      </c>
      <c r="DF19" s="291">
        <v>2</v>
      </c>
      <c r="DG19" s="291">
        <v>1</v>
      </c>
      <c r="DH19" s="291">
        <v>1</v>
      </c>
      <c r="DI19" s="291">
        <v>1</v>
      </c>
      <c r="DJ19" s="292">
        <v>1</v>
      </c>
      <c r="DK19" s="292">
        <v>32</v>
      </c>
      <c r="DL19" s="292">
        <f t="shared" si="33"/>
        <v>29</v>
      </c>
      <c r="DM19" s="292">
        <v>3</v>
      </c>
      <c r="DN19" s="292">
        <v>24</v>
      </c>
      <c r="DO19" s="292">
        <v>21</v>
      </c>
      <c r="DP19" s="292">
        <v>11</v>
      </c>
      <c r="DQ19" s="292">
        <v>21</v>
      </c>
      <c r="DR19" s="292">
        <v>21</v>
      </c>
      <c r="DS19" s="292">
        <v>11</v>
      </c>
      <c r="DT19" s="292">
        <v>21</v>
      </c>
      <c r="DU19" s="292">
        <v>0</v>
      </c>
      <c r="DV19" s="292">
        <v>1</v>
      </c>
      <c r="DW19" s="292">
        <v>1</v>
      </c>
      <c r="DX19" s="292">
        <v>1</v>
      </c>
      <c r="DY19" s="292">
        <v>1</v>
      </c>
      <c r="DZ19" s="292">
        <v>1</v>
      </c>
      <c r="EA19" s="292">
        <v>1</v>
      </c>
      <c r="EB19" s="292">
        <v>32</v>
      </c>
      <c r="EC19" s="292">
        <v>32</v>
      </c>
      <c r="ED19" s="342"/>
      <c r="EE19" s="342"/>
    </row>
    <row r="20" spans="1:135" x14ac:dyDescent="0.2">
      <c r="A20" s="10" t="s">
        <v>143</v>
      </c>
      <c r="B20" s="169">
        <v>14</v>
      </c>
      <c r="C20" s="12" t="s">
        <v>125</v>
      </c>
      <c r="D20" s="13">
        <v>1993</v>
      </c>
      <c r="E20" s="1"/>
      <c r="F20" s="2" t="s">
        <v>24</v>
      </c>
      <c r="G20" s="111">
        <v>1</v>
      </c>
      <c r="H20" s="1">
        <v>9</v>
      </c>
      <c r="I20" s="1" t="s">
        <v>22</v>
      </c>
      <c r="J20" s="122">
        <v>19718</v>
      </c>
      <c r="K20" s="122">
        <v>902</v>
      </c>
      <c r="L20" s="122"/>
      <c r="M20" s="122">
        <v>722.01</v>
      </c>
      <c r="N20" s="122">
        <v>64</v>
      </c>
      <c r="O20" s="122">
        <v>176</v>
      </c>
      <c r="P20" s="122">
        <v>66</v>
      </c>
      <c r="Q20" s="322">
        <v>150</v>
      </c>
      <c r="R20" s="318">
        <f>4137.12-1.64-0.2</f>
        <v>4135.28</v>
      </c>
      <c r="S20" s="121">
        <v>2555.5</v>
      </c>
      <c r="T20" s="122">
        <f t="shared" si="9"/>
        <v>53</v>
      </c>
      <c r="U20" s="180">
        <f t="shared" si="10"/>
        <v>3263.4399999999996</v>
      </c>
      <c r="V20" s="180">
        <f t="shared" si="11"/>
        <v>1983.78</v>
      </c>
      <c r="W20" s="122">
        <v>11</v>
      </c>
      <c r="X20" s="180">
        <v>871.84</v>
      </c>
      <c r="Y20" s="180">
        <v>571.72</v>
      </c>
      <c r="Z20" s="122"/>
      <c r="AA20" s="122"/>
      <c r="AB20" s="122"/>
      <c r="AC20" s="180">
        <f t="shared" si="12"/>
        <v>413.30000000000007</v>
      </c>
      <c r="AD20" s="179">
        <f t="shared" si="13"/>
        <v>314.20000000000005</v>
      </c>
      <c r="AE20" s="271"/>
      <c r="AF20" s="311">
        <f>409.2-99.1+4.1</f>
        <v>314.20000000000005</v>
      </c>
      <c r="AG20" s="312">
        <f>99.1</f>
        <v>99.1</v>
      </c>
      <c r="AH20" s="180"/>
      <c r="AI20" s="180">
        <f t="shared" si="14"/>
        <v>4548.58</v>
      </c>
      <c r="AJ20" s="122">
        <v>168</v>
      </c>
      <c r="AK20" s="122">
        <v>2</v>
      </c>
      <c r="AL20" s="122">
        <v>2</v>
      </c>
      <c r="AM20" s="122">
        <v>2</v>
      </c>
      <c r="AN20" s="122"/>
      <c r="AO20" s="122">
        <v>2</v>
      </c>
      <c r="AP20" s="122">
        <v>3661</v>
      </c>
      <c r="AQ20" s="180"/>
      <c r="AR20" s="122">
        <f>170+170+90+182</f>
        <v>612</v>
      </c>
      <c r="AS20" s="122">
        <v>335</v>
      </c>
      <c r="AT20" s="122">
        <v>164</v>
      </c>
      <c r="AU20" s="122">
        <f t="shared" si="0"/>
        <v>5767</v>
      </c>
      <c r="AV20" s="122"/>
      <c r="AW20" s="122">
        <v>5767</v>
      </c>
      <c r="AX20" s="122">
        <v>1678</v>
      </c>
      <c r="AY20" s="122">
        <v>181</v>
      </c>
      <c r="AZ20" s="122">
        <v>722</v>
      </c>
      <c r="BA20" s="122">
        <v>509</v>
      </c>
      <c r="BB20" s="122">
        <v>36</v>
      </c>
      <c r="BC20" s="122">
        <v>46</v>
      </c>
      <c r="BD20" s="122">
        <v>260</v>
      </c>
      <c r="BE20" s="122">
        <v>565</v>
      </c>
      <c r="BF20" s="122">
        <v>1</v>
      </c>
      <c r="BG20" s="122">
        <v>2400</v>
      </c>
      <c r="BH20" s="122">
        <v>944</v>
      </c>
      <c r="BI20" s="122">
        <v>294</v>
      </c>
      <c r="BJ20" s="115" t="str">
        <f t="shared" si="15"/>
        <v>0</v>
      </c>
      <c r="BK20" s="115" t="str">
        <f t="shared" si="16"/>
        <v>0</v>
      </c>
      <c r="BL20" s="115" t="str">
        <f t="shared" si="17"/>
        <v>0</v>
      </c>
      <c r="BM20" s="115">
        <f t="shared" si="18"/>
        <v>1</v>
      </c>
      <c r="BN20" s="115">
        <f t="shared" si="19"/>
        <v>4135.28</v>
      </c>
      <c r="BO20" s="115">
        <f t="shared" si="20"/>
        <v>2555.5</v>
      </c>
      <c r="BP20" s="115" t="str">
        <f t="shared" si="21"/>
        <v>0</v>
      </c>
      <c r="BQ20" s="115" t="str">
        <f t="shared" si="22"/>
        <v>0</v>
      </c>
      <c r="BR20" s="115" t="str">
        <f t="shared" si="23"/>
        <v>0</v>
      </c>
      <c r="BS20" s="115"/>
      <c r="BT20" s="115">
        <v>2</v>
      </c>
      <c r="BU20" s="115">
        <v>509</v>
      </c>
      <c r="BV20" s="115">
        <v>36</v>
      </c>
      <c r="BW20" s="115"/>
      <c r="BX20" s="115"/>
      <c r="BY20" s="253">
        <v>1369.75</v>
      </c>
      <c r="BZ20" s="253">
        <v>743.5</v>
      </c>
      <c r="CA20" s="343">
        <f>441.1-3.2+311.6-3*2</f>
        <v>743.5</v>
      </c>
      <c r="CB20" s="343">
        <f>3*2+7.1*2</f>
        <v>20.2</v>
      </c>
      <c r="CC20" s="344"/>
      <c r="CD20" s="350">
        <v>509.3</v>
      </c>
      <c r="CE20" s="343">
        <f>3.2+14.7+14.8</f>
        <v>32.700000000000003</v>
      </c>
      <c r="CF20" s="344"/>
      <c r="CG20" s="344">
        <v>51.85</v>
      </c>
      <c r="CH20" s="346">
        <v>12.2</v>
      </c>
      <c r="CI20" s="347">
        <f t="shared" si="24"/>
        <v>1369.75</v>
      </c>
      <c r="CJ20" s="347">
        <f t="shared" si="1"/>
        <v>743.5</v>
      </c>
      <c r="CK20" s="348">
        <v>722</v>
      </c>
      <c r="CL20" s="349">
        <f t="shared" si="2"/>
        <v>2091.75</v>
      </c>
      <c r="CM20" s="188">
        <v>1463</v>
      </c>
      <c r="CN20" s="188">
        <f t="shared" si="3"/>
        <v>561</v>
      </c>
      <c r="CO20" s="186" t="str">
        <f t="shared" si="4"/>
        <v>0</v>
      </c>
      <c r="CP20" s="187">
        <f t="shared" si="5"/>
        <v>0</v>
      </c>
      <c r="CQ20" s="186">
        <f t="shared" si="34"/>
        <v>1</v>
      </c>
      <c r="CR20" s="187">
        <f t="shared" si="7"/>
        <v>5767</v>
      </c>
      <c r="CS20" s="187">
        <f t="shared" si="25"/>
        <v>1</v>
      </c>
      <c r="CT20" s="187">
        <f t="shared" si="26"/>
        <v>5767</v>
      </c>
      <c r="CU20" s="14">
        <v>48</v>
      </c>
      <c r="CV20" s="284" t="str">
        <f t="shared" si="27"/>
        <v>0</v>
      </c>
      <c r="CW20" s="284" t="str">
        <f t="shared" si="28"/>
        <v>0</v>
      </c>
      <c r="CX20" s="243">
        <f t="shared" si="29"/>
        <v>21.082973825230699</v>
      </c>
      <c r="CY20" s="216" t="str">
        <f t="shared" si="30"/>
        <v>0</v>
      </c>
      <c r="CZ20" s="216" t="str">
        <f t="shared" si="31"/>
        <v>0</v>
      </c>
      <c r="DA20" s="243">
        <f t="shared" si="32"/>
        <v>26.074950863786061</v>
      </c>
      <c r="DB20" s="291">
        <v>1</v>
      </c>
      <c r="DC20" s="291">
        <v>1</v>
      </c>
      <c r="DD20" s="291">
        <v>1</v>
      </c>
      <c r="DE20" s="291">
        <v>1</v>
      </c>
      <c r="DF20" s="291">
        <v>2</v>
      </c>
      <c r="DG20" s="291">
        <v>1</v>
      </c>
      <c r="DH20" s="291">
        <v>1</v>
      </c>
      <c r="DI20" s="291">
        <v>1</v>
      </c>
      <c r="DJ20" s="292">
        <v>1</v>
      </c>
      <c r="DK20" s="292">
        <v>64</v>
      </c>
      <c r="DL20" s="292">
        <f t="shared" si="33"/>
        <v>55</v>
      </c>
      <c r="DM20" s="292">
        <v>9</v>
      </c>
      <c r="DN20" s="292">
        <v>48</v>
      </c>
      <c r="DO20" s="292">
        <v>33</v>
      </c>
      <c r="DP20" s="292">
        <v>38</v>
      </c>
      <c r="DQ20" s="292">
        <v>42</v>
      </c>
      <c r="DR20" s="292">
        <v>36</v>
      </c>
      <c r="DS20" s="292">
        <v>35</v>
      </c>
      <c r="DT20" s="292">
        <v>45</v>
      </c>
      <c r="DU20" s="292">
        <v>4</v>
      </c>
      <c r="DV20" s="292">
        <v>4</v>
      </c>
      <c r="DW20" s="292">
        <v>3</v>
      </c>
      <c r="DX20" s="292">
        <v>4</v>
      </c>
      <c r="DY20" s="292">
        <v>4</v>
      </c>
      <c r="DZ20" s="292">
        <v>3</v>
      </c>
      <c r="EA20" s="292">
        <v>4</v>
      </c>
      <c r="EB20" s="292">
        <v>64</v>
      </c>
      <c r="EC20" s="292">
        <v>64</v>
      </c>
      <c r="ED20" s="342"/>
      <c r="EE20" s="342"/>
    </row>
    <row r="21" spans="1:135" x14ac:dyDescent="0.2">
      <c r="A21" s="10" t="s">
        <v>143</v>
      </c>
      <c r="B21" s="169">
        <v>15</v>
      </c>
      <c r="C21" s="12" t="s">
        <v>126</v>
      </c>
      <c r="D21" s="13">
        <v>1993</v>
      </c>
      <c r="E21" s="1"/>
      <c r="F21" s="2" t="s">
        <v>24</v>
      </c>
      <c r="G21" s="111">
        <v>1</v>
      </c>
      <c r="H21" s="1">
        <v>9</v>
      </c>
      <c r="I21" s="1" t="s">
        <v>22</v>
      </c>
      <c r="J21" s="122">
        <v>10271</v>
      </c>
      <c r="K21" s="122">
        <v>439.1</v>
      </c>
      <c r="L21" s="122"/>
      <c r="M21" s="122">
        <v>374.8</v>
      </c>
      <c r="N21" s="122">
        <v>32</v>
      </c>
      <c r="O21" s="122">
        <v>96</v>
      </c>
      <c r="P21" s="122">
        <v>32</v>
      </c>
      <c r="Q21" s="322">
        <v>83</v>
      </c>
      <c r="R21" s="179">
        <v>2129.8000000000002</v>
      </c>
      <c r="S21" s="121">
        <v>1349</v>
      </c>
      <c r="T21" s="122">
        <f t="shared" si="9"/>
        <v>27</v>
      </c>
      <c r="U21" s="180">
        <f t="shared" si="10"/>
        <v>1667.5000000000002</v>
      </c>
      <c r="V21" s="180">
        <f t="shared" si="11"/>
        <v>1029.0999999999999</v>
      </c>
      <c r="W21" s="122">
        <v>5</v>
      </c>
      <c r="X21" s="180">
        <v>462.3</v>
      </c>
      <c r="Y21" s="180">
        <v>319.89999999999998</v>
      </c>
      <c r="Z21" s="122"/>
      <c r="AA21" s="122"/>
      <c r="AB21" s="122"/>
      <c r="AC21" s="180">
        <f t="shared" si="12"/>
        <v>207.7</v>
      </c>
      <c r="AD21" s="179">
        <f t="shared" si="13"/>
        <v>106.3</v>
      </c>
      <c r="AE21" s="271"/>
      <c r="AF21" s="179">
        <v>106.3</v>
      </c>
      <c r="AG21" s="180"/>
      <c r="AH21" s="180">
        <v>101.4</v>
      </c>
      <c r="AI21" s="180">
        <f t="shared" si="14"/>
        <v>2337.5</v>
      </c>
      <c r="AJ21" s="122">
        <v>79</v>
      </c>
      <c r="AK21" s="122">
        <v>1</v>
      </c>
      <c r="AL21" s="122">
        <v>1</v>
      </c>
      <c r="AM21" s="122">
        <v>1</v>
      </c>
      <c r="AN21" s="122"/>
      <c r="AO21" s="122">
        <v>1</v>
      </c>
      <c r="AP21" s="122">
        <v>2303</v>
      </c>
      <c r="AQ21" s="316">
        <v>73.125</v>
      </c>
      <c r="AR21" s="122">
        <f>90+80+45+75</f>
        <v>290</v>
      </c>
      <c r="AS21" s="122">
        <v>185</v>
      </c>
      <c r="AT21" s="122">
        <v>82</v>
      </c>
      <c r="AU21" s="122">
        <f t="shared" si="0"/>
        <v>2914</v>
      </c>
      <c r="AV21" s="122"/>
      <c r="AW21" s="122">
        <v>2914</v>
      </c>
      <c r="AX21" s="122">
        <v>1187</v>
      </c>
      <c r="AY21" s="122">
        <v>98</v>
      </c>
      <c r="AZ21" s="122">
        <v>375</v>
      </c>
      <c r="BA21" s="122">
        <v>309</v>
      </c>
      <c r="BB21" s="122">
        <v>18</v>
      </c>
      <c r="BC21" s="122">
        <v>20</v>
      </c>
      <c r="BD21" s="122">
        <v>140</v>
      </c>
      <c r="BE21" s="122">
        <v>274</v>
      </c>
      <c r="BF21" s="122">
        <v>1</v>
      </c>
      <c r="BG21" s="122">
        <v>1030</v>
      </c>
      <c r="BH21" s="122">
        <v>472</v>
      </c>
      <c r="BI21" s="122">
        <v>132</v>
      </c>
      <c r="BJ21" s="115" t="str">
        <f t="shared" si="15"/>
        <v>0</v>
      </c>
      <c r="BK21" s="115" t="str">
        <f t="shared" si="16"/>
        <v>0</v>
      </c>
      <c r="BL21" s="115" t="str">
        <f t="shared" si="17"/>
        <v>0</v>
      </c>
      <c r="BM21" s="115">
        <f t="shared" si="18"/>
        <v>1</v>
      </c>
      <c r="BN21" s="115">
        <f t="shared" si="19"/>
        <v>2129.8000000000002</v>
      </c>
      <c r="BO21" s="115">
        <f t="shared" si="20"/>
        <v>1349</v>
      </c>
      <c r="BP21" s="115" t="str">
        <f t="shared" si="21"/>
        <v>0</v>
      </c>
      <c r="BQ21" s="115" t="str">
        <f t="shared" si="22"/>
        <v>0</v>
      </c>
      <c r="BR21" s="115" t="str">
        <f t="shared" si="23"/>
        <v>0</v>
      </c>
      <c r="BS21" s="115"/>
      <c r="BT21" s="115">
        <v>1</v>
      </c>
      <c r="BU21" s="115">
        <v>309</v>
      </c>
      <c r="BV21" s="115">
        <v>18</v>
      </c>
      <c r="BW21" s="115"/>
      <c r="BX21" s="115"/>
      <c r="BY21" s="253">
        <v>749.40000000000009</v>
      </c>
      <c r="BZ21" s="253">
        <v>374.6</v>
      </c>
      <c r="CA21" s="343">
        <f>153+221.6</f>
        <v>374.6</v>
      </c>
      <c r="CB21" s="343">
        <f>3.6+7.7</f>
        <v>11.3</v>
      </c>
      <c r="CC21" s="344"/>
      <c r="CD21" s="350">
        <v>308.8</v>
      </c>
      <c r="CE21" s="344">
        <v>15.4</v>
      </c>
      <c r="CF21" s="344"/>
      <c r="CG21" s="344">
        <v>27.1</v>
      </c>
      <c r="CH21" s="346">
        <f>5.6+6.6</f>
        <v>12.2</v>
      </c>
      <c r="CI21" s="347">
        <f t="shared" si="24"/>
        <v>749.40000000000009</v>
      </c>
      <c r="CJ21" s="347">
        <f t="shared" si="1"/>
        <v>374.6</v>
      </c>
      <c r="CK21" s="348">
        <v>375</v>
      </c>
      <c r="CL21" s="349">
        <f t="shared" si="2"/>
        <v>1124.4000000000001</v>
      </c>
      <c r="CM21" s="188">
        <v>926</v>
      </c>
      <c r="CN21" s="188">
        <f t="shared" si="3"/>
        <v>486.9</v>
      </c>
      <c r="CO21" s="186" t="str">
        <f t="shared" si="4"/>
        <v>0</v>
      </c>
      <c r="CP21" s="187">
        <f t="shared" si="5"/>
        <v>0</v>
      </c>
      <c r="CQ21" s="186">
        <f t="shared" si="34"/>
        <v>1</v>
      </c>
      <c r="CR21" s="187">
        <f t="shared" si="7"/>
        <v>2914</v>
      </c>
      <c r="CS21" s="187">
        <f t="shared" si="25"/>
        <v>1</v>
      </c>
      <c r="CT21" s="187">
        <f t="shared" si="26"/>
        <v>2914</v>
      </c>
      <c r="CU21" s="14">
        <v>55</v>
      </c>
      <c r="CV21" s="284" t="str">
        <f t="shared" si="27"/>
        <v>0</v>
      </c>
      <c r="CW21" s="284" t="str">
        <f t="shared" si="28"/>
        <v>0</v>
      </c>
      <c r="CX21" s="243">
        <f t="shared" si="29"/>
        <v>21.706263498920087</v>
      </c>
      <c r="CY21" s="216" t="str">
        <f t="shared" si="30"/>
        <v>0</v>
      </c>
      <c r="CZ21" s="216" t="str">
        <f t="shared" si="31"/>
        <v>0</v>
      </c>
      <c r="DA21" s="243">
        <f t="shared" si="32"/>
        <v>24.325133689839575</v>
      </c>
      <c r="DB21" s="291">
        <v>1</v>
      </c>
      <c r="DC21" s="291">
        <v>1</v>
      </c>
      <c r="DD21" s="291">
        <v>1</v>
      </c>
      <c r="DE21" s="291">
        <v>1</v>
      </c>
      <c r="DF21" s="291">
        <v>2</v>
      </c>
      <c r="DG21" s="291">
        <v>1</v>
      </c>
      <c r="DH21" s="291">
        <v>1</v>
      </c>
      <c r="DI21" s="291">
        <v>1</v>
      </c>
      <c r="DJ21" s="292">
        <v>1</v>
      </c>
      <c r="DK21" s="292">
        <v>32</v>
      </c>
      <c r="DL21" s="292">
        <f t="shared" si="33"/>
        <v>27</v>
      </c>
      <c r="DM21" s="292">
        <v>5</v>
      </c>
      <c r="DN21" s="292">
        <v>23</v>
      </c>
      <c r="DO21" s="292">
        <v>19</v>
      </c>
      <c r="DP21" s="292">
        <v>13</v>
      </c>
      <c r="DQ21" s="292">
        <v>19</v>
      </c>
      <c r="DR21" s="292">
        <v>19</v>
      </c>
      <c r="DS21" s="292">
        <v>13</v>
      </c>
      <c r="DT21" s="292">
        <v>19</v>
      </c>
      <c r="DU21" s="292">
        <v>2</v>
      </c>
      <c r="DV21" s="292">
        <v>3</v>
      </c>
      <c r="DW21" s="292">
        <v>0</v>
      </c>
      <c r="DX21" s="292">
        <v>3</v>
      </c>
      <c r="DY21" s="292">
        <v>3</v>
      </c>
      <c r="DZ21" s="292">
        <v>0</v>
      </c>
      <c r="EA21" s="292">
        <v>3</v>
      </c>
      <c r="EB21" s="292">
        <v>32</v>
      </c>
      <c r="EC21" s="292">
        <v>32</v>
      </c>
      <c r="ED21" s="342"/>
      <c r="EE21" s="342"/>
    </row>
    <row r="22" spans="1:135" x14ac:dyDescent="0.2">
      <c r="A22" s="10" t="s">
        <v>143</v>
      </c>
      <c r="B22" s="169">
        <v>16</v>
      </c>
      <c r="C22" s="12" t="s">
        <v>127</v>
      </c>
      <c r="D22" s="13">
        <v>1993</v>
      </c>
      <c r="E22" s="1"/>
      <c r="F22" s="2" t="s">
        <v>24</v>
      </c>
      <c r="G22" s="111">
        <v>1</v>
      </c>
      <c r="H22" s="1">
        <v>9</v>
      </c>
      <c r="I22" s="1" t="s">
        <v>22</v>
      </c>
      <c r="J22" s="122">
        <v>19755</v>
      </c>
      <c r="K22" s="122">
        <v>805</v>
      </c>
      <c r="L22" s="122"/>
      <c r="M22" s="122">
        <v>724.7</v>
      </c>
      <c r="N22" s="122">
        <v>64</v>
      </c>
      <c r="O22" s="122">
        <v>176</v>
      </c>
      <c r="P22" s="122">
        <v>64</v>
      </c>
      <c r="Q22" s="322">
        <v>145</v>
      </c>
      <c r="R22" s="179">
        <v>4115.7</v>
      </c>
      <c r="S22" s="121">
        <v>2513.1</v>
      </c>
      <c r="T22" s="122">
        <f t="shared" si="9"/>
        <v>53</v>
      </c>
      <c r="U22" s="180">
        <f t="shared" si="10"/>
        <v>3245.8999999999996</v>
      </c>
      <c r="V22" s="180">
        <f t="shared" si="11"/>
        <v>1971.3</v>
      </c>
      <c r="W22" s="122">
        <v>11</v>
      </c>
      <c r="X22" s="180">
        <v>869.8</v>
      </c>
      <c r="Y22" s="180">
        <v>541.79999999999995</v>
      </c>
      <c r="Z22" s="122"/>
      <c r="AA22" s="122"/>
      <c r="AB22" s="122"/>
      <c r="AC22" s="180">
        <f t="shared" si="12"/>
        <v>405.9</v>
      </c>
      <c r="AD22" s="179">
        <f t="shared" si="13"/>
        <v>405.9</v>
      </c>
      <c r="AE22" s="271"/>
      <c r="AF22" s="179">
        <v>405.9</v>
      </c>
      <c r="AG22" s="180"/>
      <c r="AH22" s="180"/>
      <c r="AI22" s="180">
        <f t="shared" si="14"/>
        <v>4521.5999999999995</v>
      </c>
      <c r="AJ22" s="122">
        <v>192</v>
      </c>
      <c r="AK22" s="122">
        <v>2</v>
      </c>
      <c r="AL22" s="122">
        <v>2</v>
      </c>
      <c r="AM22" s="122">
        <v>2</v>
      </c>
      <c r="AN22" s="122"/>
      <c r="AO22" s="122">
        <v>2</v>
      </c>
      <c r="AP22" s="122">
        <v>3667</v>
      </c>
      <c r="AQ22" s="315">
        <v>137</v>
      </c>
      <c r="AR22" s="122">
        <f>84+90+47+80</f>
        <v>301</v>
      </c>
      <c r="AS22" s="122">
        <v>540</v>
      </c>
      <c r="AT22" s="122">
        <v>164</v>
      </c>
      <c r="AU22" s="122">
        <f t="shared" si="0"/>
        <v>5767</v>
      </c>
      <c r="AV22" s="122"/>
      <c r="AW22" s="122">
        <v>5767</v>
      </c>
      <c r="AX22" s="122">
        <v>1678</v>
      </c>
      <c r="AY22" s="122">
        <v>191</v>
      </c>
      <c r="AZ22" s="122">
        <v>725</v>
      </c>
      <c r="BA22" s="122">
        <v>568</v>
      </c>
      <c r="BB22" s="122">
        <v>36</v>
      </c>
      <c r="BC22" s="122">
        <v>46</v>
      </c>
      <c r="BD22" s="122">
        <v>262</v>
      </c>
      <c r="BE22" s="122">
        <v>558</v>
      </c>
      <c r="BF22" s="122">
        <v>1</v>
      </c>
      <c r="BG22" s="122">
        <v>2895</v>
      </c>
      <c r="BH22" s="122">
        <v>944</v>
      </c>
      <c r="BI22" s="122">
        <v>294</v>
      </c>
      <c r="BJ22" s="115" t="str">
        <f t="shared" si="15"/>
        <v>0</v>
      </c>
      <c r="BK22" s="115" t="str">
        <f t="shared" si="16"/>
        <v>0</v>
      </c>
      <c r="BL22" s="115" t="str">
        <f t="shared" si="17"/>
        <v>0</v>
      </c>
      <c r="BM22" s="115">
        <f t="shared" si="18"/>
        <v>1</v>
      </c>
      <c r="BN22" s="115">
        <f t="shared" si="19"/>
        <v>4115.7</v>
      </c>
      <c r="BO22" s="115">
        <f t="shared" si="20"/>
        <v>2513.1</v>
      </c>
      <c r="BP22" s="115" t="str">
        <f t="shared" si="21"/>
        <v>0</v>
      </c>
      <c r="BQ22" s="115" t="str">
        <f t="shared" si="22"/>
        <v>0</v>
      </c>
      <c r="BR22" s="115" t="str">
        <f t="shared" si="23"/>
        <v>0</v>
      </c>
      <c r="BS22" s="115">
        <v>2</v>
      </c>
      <c r="BT22" s="115"/>
      <c r="BU22" s="115">
        <v>568</v>
      </c>
      <c r="BV22" s="115">
        <v>36</v>
      </c>
      <c r="BW22" s="115"/>
      <c r="BX22" s="115"/>
      <c r="BY22" s="253">
        <v>1402.7</v>
      </c>
      <c r="BZ22" s="253">
        <v>713.6</v>
      </c>
      <c r="CA22" s="343">
        <f>288.7-2.7*2+430.3</f>
        <v>713.6</v>
      </c>
      <c r="CB22" s="343">
        <f>2.7*2+14.2</f>
        <v>19.600000000000001</v>
      </c>
      <c r="CC22" s="344"/>
      <c r="CD22" s="350">
        <v>568.1</v>
      </c>
      <c r="CE22" s="343">
        <f>17.7+14.8</f>
        <v>32.5</v>
      </c>
      <c r="CF22" s="344"/>
      <c r="CG22" s="344">
        <v>55.1</v>
      </c>
      <c r="CH22" s="346">
        <v>13.8</v>
      </c>
      <c r="CI22" s="347">
        <f t="shared" si="24"/>
        <v>1402.7</v>
      </c>
      <c r="CJ22" s="347">
        <f t="shared" si="1"/>
        <v>713.6</v>
      </c>
      <c r="CK22" s="348">
        <v>725</v>
      </c>
      <c r="CL22" s="349">
        <f t="shared" si="2"/>
        <v>2127.6999999999998</v>
      </c>
      <c r="CM22" s="188">
        <v>1480</v>
      </c>
      <c r="CN22" s="188">
        <f t="shared" si="3"/>
        <v>675</v>
      </c>
      <c r="CO22" s="186" t="str">
        <f t="shared" si="4"/>
        <v>0</v>
      </c>
      <c r="CP22" s="187">
        <f t="shared" si="5"/>
        <v>0</v>
      </c>
      <c r="CQ22" s="186">
        <f t="shared" si="34"/>
        <v>1</v>
      </c>
      <c r="CR22" s="187">
        <f t="shared" si="7"/>
        <v>5767</v>
      </c>
      <c r="CS22" s="187">
        <f t="shared" si="25"/>
        <v>1</v>
      </c>
      <c r="CT22" s="187">
        <f t="shared" si="26"/>
        <v>5767</v>
      </c>
      <c r="CU22" s="14">
        <v>55</v>
      </c>
      <c r="CV22" s="284" t="str">
        <f t="shared" si="27"/>
        <v>0</v>
      </c>
      <c r="CW22" s="284" t="str">
        <f t="shared" si="28"/>
        <v>0</v>
      </c>
      <c r="CX22" s="243">
        <f t="shared" si="29"/>
        <v>21.133707510265566</v>
      </c>
      <c r="CY22" s="216" t="str">
        <f t="shared" si="30"/>
        <v>0</v>
      </c>
      <c r="CZ22" s="216" t="str">
        <f t="shared" si="31"/>
        <v>0</v>
      </c>
      <c r="DA22" s="243">
        <f t="shared" si="32"/>
        <v>28.21346426043878</v>
      </c>
      <c r="DB22" s="291">
        <v>1</v>
      </c>
      <c r="DC22" s="291">
        <v>1</v>
      </c>
      <c r="DD22" s="291">
        <v>1</v>
      </c>
      <c r="DE22" s="291">
        <v>1</v>
      </c>
      <c r="DF22" s="291">
        <v>2</v>
      </c>
      <c r="DG22" s="291">
        <v>1</v>
      </c>
      <c r="DH22" s="291">
        <v>1</v>
      </c>
      <c r="DI22" s="291">
        <v>1</v>
      </c>
      <c r="DJ22" s="292">
        <v>1</v>
      </c>
      <c r="DK22" s="292">
        <v>64</v>
      </c>
      <c r="DL22" s="292">
        <f t="shared" si="33"/>
        <v>56</v>
      </c>
      <c r="DM22" s="292">
        <v>8</v>
      </c>
      <c r="DN22" s="292">
        <v>39</v>
      </c>
      <c r="DO22" s="292">
        <v>37</v>
      </c>
      <c r="DP22" s="292">
        <v>33</v>
      </c>
      <c r="DQ22" s="292">
        <v>48</v>
      </c>
      <c r="DR22" s="292">
        <v>37</v>
      </c>
      <c r="DS22" s="292">
        <v>33</v>
      </c>
      <c r="DT22" s="292">
        <v>48</v>
      </c>
      <c r="DU22" s="292">
        <v>4</v>
      </c>
      <c r="DV22" s="292">
        <v>5</v>
      </c>
      <c r="DW22" s="292">
        <v>2</v>
      </c>
      <c r="DX22" s="292">
        <v>5</v>
      </c>
      <c r="DY22" s="292">
        <v>5</v>
      </c>
      <c r="DZ22" s="292">
        <v>2</v>
      </c>
      <c r="EA22" s="292">
        <v>5</v>
      </c>
      <c r="EB22" s="292">
        <v>64</v>
      </c>
      <c r="EC22" s="292">
        <v>64</v>
      </c>
      <c r="ED22" s="342"/>
      <c r="EE22" s="342"/>
    </row>
    <row r="23" spans="1:135" x14ac:dyDescent="0.2">
      <c r="A23" s="10" t="s">
        <v>143</v>
      </c>
      <c r="B23" s="169">
        <v>17</v>
      </c>
      <c r="C23" s="12" t="s">
        <v>128</v>
      </c>
      <c r="D23" s="13">
        <v>1993</v>
      </c>
      <c r="E23" s="1"/>
      <c r="F23" s="2" t="s">
        <v>151</v>
      </c>
      <c r="G23" s="111">
        <v>1</v>
      </c>
      <c r="H23" s="1">
        <v>9</v>
      </c>
      <c r="I23" s="1" t="s">
        <v>22</v>
      </c>
      <c r="J23" s="122">
        <v>17497</v>
      </c>
      <c r="K23" s="122">
        <v>777</v>
      </c>
      <c r="L23" s="122"/>
      <c r="M23" s="122">
        <v>686.96</v>
      </c>
      <c r="N23" s="122">
        <v>64</v>
      </c>
      <c r="O23" s="122">
        <v>160</v>
      </c>
      <c r="P23" s="122">
        <v>64</v>
      </c>
      <c r="Q23" s="322">
        <v>151</v>
      </c>
      <c r="R23" s="179">
        <v>4224.5</v>
      </c>
      <c r="S23" s="121">
        <v>2411</v>
      </c>
      <c r="T23" s="122">
        <f t="shared" si="9"/>
        <v>53</v>
      </c>
      <c r="U23" s="180">
        <f t="shared" si="10"/>
        <v>3474.2</v>
      </c>
      <c r="V23" s="180">
        <f t="shared" si="11"/>
        <v>2030.3600000000001</v>
      </c>
      <c r="W23" s="122">
        <v>11</v>
      </c>
      <c r="X23" s="180">
        <v>750.3</v>
      </c>
      <c r="Y23" s="180">
        <v>380.64</v>
      </c>
      <c r="Z23" s="122"/>
      <c r="AA23" s="122"/>
      <c r="AB23" s="122"/>
      <c r="AC23" s="180">
        <f t="shared" si="12"/>
        <v>467.8</v>
      </c>
      <c r="AD23" s="179">
        <f t="shared" si="13"/>
        <v>467.8</v>
      </c>
      <c r="AE23" s="271"/>
      <c r="AF23" s="179">
        <v>467.8</v>
      </c>
      <c r="AG23" s="180"/>
      <c r="AH23" s="180"/>
      <c r="AI23" s="180">
        <f t="shared" si="14"/>
        <v>4692.3</v>
      </c>
      <c r="AJ23" s="122">
        <v>160</v>
      </c>
      <c r="AK23" s="122">
        <v>2</v>
      </c>
      <c r="AL23" s="122">
        <v>2</v>
      </c>
      <c r="AM23" s="122">
        <v>2</v>
      </c>
      <c r="AN23" s="122"/>
      <c r="AO23" s="122">
        <v>2</v>
      </c>
      <c r="AP23" s="122">
        <v>3463</v>
      </c>
      <c r="AQ23" s="315">
        <v>68.25</v>
      </c>
      <c r="AR23" s="122">
        <f>100+90+50+85</f>
        <v>325</v>
      </c>
      <c r="AS23" s="122">
        <v>300</v>
      </c>
      <c r="AT23" s="122">
        <v>64</v>
      </c>
      <c r="AU23" s="122">
        <f t="shared" si="0"/>
        <v>4435</v>
      </c>
      <c r="AV23" s="122"/>
      <c r="AW23" s="122">
        <v>4435</v>
      </c>
      <c r="AX23" s="122">
        <v>1616</v>
      </c>
      <c r="AY23" s="122">
        <v>159</v>
      </c>
      <c r="AZ23" s="122">
        <v>687</v>
      </c>
      <c r="BA23" s="122">
        <v>650</v>
      </c>
      <c r="BB23" s="122">
        <v>32</v>
      </c>
      <c r="BC23" s="122">
        <v>51</v>
      </c>
      <c r="BD23" s="122">
        <v>247</v>
      </c>
      <c r="BE23" s="122">
        <v>496</v>
      </c>
      <c r="BF23" s="122">
        <v>1</v>
      </c>
      <c r="BG23" s="122">
        <v>2552</v>
      </c>
      <c r="BH23" s="122">
        <v>944</v>
      </c>
      <c r="BI23" s="122">
        <v>294</v>
      </c>
      <c r="BJ23" s="115" t="str">
        <f t="shared" si="15"/>
        <v>0</v>
      </c>
      <c r="BK23" s="115" t="str">
        <f t="shared" si="16"/>
        <v>0</v>
      </c>
      <c r="BL23" s="115" t="str">
        <f t="shared" si="17"/>
        <v>0</v>
      </c>
      <c r="BM23" s="115">
        <f t="shared" si="18"/>
        <v>1</v>
      </c>
      <c r="BN23" s="115">
        <f t="shared" si="19"/>
        <v>4224.5</v>
      </c>
      <c r="BO23" s="115">
        <f t="shared" si="20"/>
        <v>2411</v>
      </c>
      <c r="BP23" s="115" t="str">
        <f t="shared" si="21"/>
        <v>0</v>
      </c>
      <c r="BQ23" s="115" t="str">
        <f t="shared" si="22"/>
        <v>0</v>
      </c>
      <c r="BR23" s="115" t="str">
        <f t="shared" si="23"/>
        <v>0</v>
      </c>
      <c r="BS23" s="115"/>
      <c r="BT23" s="115">
        <v>3</v>
      </c>
      <c r="BU23" s="115">
        <v>650</v>
      </c>
      <c r="BV23" s="115">
        <v>255</v>
      </c>
      <c r="BW23" s="115"/>
      <c r="BX23" s="115"/>
      <c r="BY23" s="253">
        <v>1253.8</v>
      </c>
      <c r="BZ23" s="253">
        <v>539.6</v>
      </c>
      <c r="CA23" s="343">
        <f>466.2-(3.6+3.8)+80.8</f>
        <v>539.6</v>
      </c>
      <c r="CB23" s="343">
        <f>(3.6+3.8)+17.8</f>
        <v>25.200000000000003</v>
      </c>
      <c r="CC23" s="344"/>
      <c r="CD23" s="350">
        <v>649.6</v>
      </c>
      <c r="CE23" s="344">
        <f>8.2+7.9</f>
        <v>16.100000000000001</v>
      </c>
      <c r="CF23" s="344"/>
      <c r="CG23" s="344">
        <v>11.8</v>
      </c>
      <c r="CH23" s="346">
        <f>4.2+7.3</f>
        <v>11.5</v>
      </c>
      <c r="CI23" s="347">
        <f t="shared" si="24"/>
        <v>1253.8000000000002</v>
      </c>
      <c r="CJ23" s="347">
        <f t="shared" si="1"/>
        <v>539.6</v>
      </c>
      <c r="CK23" s="348">
        <v>687</v>
      </c>
      <c r="CL23" s="349">
        <f t="shared" si="2"/>
        <v>1940.8000000000002</v>
      </c>
      <c r="CM23" s="188">
        <v>1601</v>
      </c>
      <c r="CN23" s="188">
        <f t="shared" si="3"/>
        <v>824</v>
      </c>
      <c r="CO23" s="186" t="str">
        <f t="shared" si="4"/>
        <v>0</v>
      </c>
      <c r="CP23" s="187">
        <f t="shared" si="5"/>
        <v>0</v>
      </c>
      <c r="CQ23" s="186">
        <f t="shared" si="34"/>
        <v>1</v>
      </c>
      <c r="CR23" s="187">
        <f t="shared" si="7"/>
        <v>4435</v>
      </c>
      <c r="CS23" s="187">
        <f t="shared" si="25"/>
        <v>1</v>
      </c>
      <c r="CT23" s="187">
        <f t="shared" si="26"/>
        <v>4435</v>
      </c>
      <c r="CU23" s="14">
        <v>55</v>
      </c>
      <c r="CV23" s="284" t="str">
        <f t="shared" si="27"/>
        <v>0</v>
      </c>
      <c r="CW23" s="284" t="str">
        <f t="shared" si="28"/>
        <v>0</v>
      </c>
      <c r="CX23" s="243">
        <f t="shared" si="29"/>
        <v>17.760681737483726</v>
      </c>
      <c r="CY23" s="216" t="str">
        <f t="shared" si="30"/>
        <v>0</v>
      </c>
      <c r="CZ23" s="216" t="str">
        <f t="shared" si="31"/>
        <v>0</v>
      </c>
      <c r="DA23" s="243">
        <f t="shared" si="32"/>
        <v>25.959550753361889</v>
      </c>
      <c r="DB23" s="291">
        <v>1</v>
      </c>
      <c r="DC23" s="291">
        <v>1</v>
      </c>
      <c r="DD23" s="291">
        <v>1</v>
      </c>
      <c r="DE23" s="291">
        <v>1</v>
      </c>
      <c r="DF23" s="291">
        <v>2</v>
      </c>
      <c r="DG23" s="291">
        <v>1</v>
      </c>
      <c r="DH23" s="291">
        <v>1</v>
      </c>
      <c r="DI23" s="291">
        <v>1</v>
      </c>
      <c r="DJ23" s="292">
        <v>1</v>
      </c>
      <c r="DK23" s="292">
        <v>64</v>
      </c>
      <c r="DL23" s="292">
        <f t="shared" si="33"/>
        <v>58</v>
      </c>
      <c r="DM23" s="292">
        <v>6</v>
      </c>
      <c r="DN23" s="292">
        <v>42</v>
      </c>
      <c r="DO23" s="292">
        <v>35</v>
      </c>
      <c r="DP23" s="292">
        <v>52</v>
      </c>
      <c r="DQ23" s="292">
        <v>60</v>
      </c>
      <c r="DR23" s="292">
        <v>38</v>
      </c>
      <c r="DS23" s="292">
        <v>47</v>
      </c>
      <c r="DT23" s="292">
        <v>65</v>
      </c>
      <c r="DU23" s="292">
        <v>5</v>
      </c>
      <c r="DV23" s="292">
        <v>2</v>
      </c>
      <c r="DW23" s="292">
        <v>8</v>
      </c>
      <c r="DX23" s="292">
        <v>4</v>
      </c>
      <c r="DY23" s="292">
        <v>2</v>
      </c>
      <c r="DZ23" s="292">
        <v>8</v>
      </c>
      <c r="EA23" s="292">
        <v>4</v>
      </c>
      <c r="EB23" s="292">
        <v>64</v>
      </c>
      <c r="EC23" s="292">
        <v>64</v>
      </c>
      <c r="ED23" s="342"/>
      <c r="EE23" s="342"/>
    </row>
    <row r="24" spans="1:135" x14ac:dyDescent="0.2">
      <c r="A24" s="10" t="s">
        <v>143</v>
      </c>
      <c r="B24" s="169">
        <v>18</v>
      </c>
      <c r="C24" s="12" t="s">
        <v>129</v>
      </c>
      <c r="D24" s="13">
        <v>1994</v>
      </c>
      <c r="E24" s="1"/>
      <c r="F24" s="2" t="s">
        <v>151</v>
      </c>
      <c r="G24" s="111">
        <v>1</v>
      </c>
      <c r="H24" s="1">
        <v>9</v>
      </c>
      <c r="I24" s="1" t="s">
        <v>22</v>
      </c>
      <c r="J24" s="122">
        <v>17481</v>
      </c>
      <c r="K24" s="122">
        <v>784</v>
      </c>
      <c r="L24" s="122"/>
      <c r="M24" s="122">
        <v>686.8</v>
      </c>
      <c r="N24" s="122">
        <v>64</v>
      </c>
      <c r="O24" s="122">
        <v>160</v>
      </c>
      <c r="P24" s="122">
        <v>66</v>
      </c>
      <c r="Q24" s="322">
        <v>168</v>
      </c>
      <c r="R24" s="179">
        <f>4247-1.9-1.2-2</f>
        <v>4241.9000000000005</v>
      </c>
      <c r="S24" s="121">
        <v>2416.8000000000002</v>
      </c>
      <c r="T24" s="122">
        <f t="shared" si="9"/>
        <v>56</v>
      </c>
      <c r="U24" s="180">
        <f t="shared" si="10"/>
        <v>3710.1000000000004</v>
      </c>
      <c r="V24" s="180">
        <f t="shared" si="11"/>
        <v>2114.7000000000003</v>
      </c>
      <c r="W24" s="122">
        <v>8</v>
      </c>
      <c r="X24" s="180">
        <v>531.79999999999995</v>
      </c>
      <c r="Y24" s="180">
        <v>302.10000000000002</v>
      </c>
      <c r="Z24" s="122"/>
      <c r="AA24" s="122"/>
      <c r="AB24" s="122"/>
      <c r="AC24" s="180">
        <f t="shared" si="12"/>
        <v>472.9</v>
      </c>
      <c r="AD24" s="179">
        <f t="shared" si="13"/>
        <v>0</v>
      </c>
      <c r="AE24" s="271"/>
      <c r="AF24" s="180">
        <f>472.9-472.9</f>
        <v>0</v>
      </c>
      <c r="AG24" s="180">
        <f>472.9</f>
        <v>472.9</v>
      </c>
      <c r="AH24" s="180"/>
      <c r="AI24" s="180">
        <f t="shared" si="14"/>
        <v>4714.8</v>
      </c>
      <c r="AJ24" s="122">
        <v>176</v>
      </c>
      <c r="AK24" s="122">
        <v>2</v>
      </c>
      <c r="AL24" s="122">
        <v>2</v>
      </c>
      <c r="AM24" s="122">
        <v>2</v>
      </c>
      <c r="AN24" s="122"/>
      <c r="AO24" s="122">
        <v>2</v>
      </c>
      <c r="AP24" s="122">
        <v>3479</v>
      </c>
      <c r="AQ24" s="180"/>
      <c r="AR24" s="122">
        <f>180+200+58+100</f>
        <v>538</v>
      </c>
      <c r="AS24" s="122">
        <v>226</v>
      </c>
      <c r="AT24" s="122">
        <v>64</v>
      </c>
      <c r="AU24" s="122">
        <f t="shared" si="0"/>
        <v>4435</v>
      </c>
      <c r="AV24" s="122"/>
      <c r="AW24" s="122">
        <v>4435</v>
      </c>
      <c r="AX24" s="122">
        <v>1616</v>
      </c>
      <c r="AY24" s="122">
        <v>159</v>
      </c>
      <c r="AZ24" s="122">
        <v>687</v>
      </c>
      <c r="BA24" s="122">
        <v>590</v>
      </c>
      <c r="BB24" s="122">
        <v>32</v>
      </c>
      <c r="BC24" s="122">
        <v>51</v>
      </c>
      <c r="BD24" s="122">
        <v>246</v>
      </c>
      <c r="BE24" s="122">
        <v>480</v>
      </c>
      <c r="BF24" s="122">
        <v>1</v>
      </c>
      <c r="BG24" s="122">
        <v>3060</v>
      </c>
      <c r="BH24" s="122">
        <v>944</v>
      </c>
      <c r="BI24" s="122">
        <v>294</v>
      </c>
      <c r="BJ24" s="115" t="str">
        <f t="shared" si="15"/>
        <v>0</v>
      </c>
      <c r="BK24" s="115" t="str">
        <f t="shared" si="16"/>
        <v>0</v>
      </c>
      <c r="BL24" s="115" t="str">
        <f t="shared" si="17"/>
        <v>0</v>
      </c>
      <c r="BM24" s="115">
        <f t="shared" si="18"/>
        <v>1</v>
      </c>
      <c r="BN24" s="115">
        <f t="shared" si="19"/>
        <v>4241.9000000000005</v>
      </c>
      <c r="BO24" s="115">
        <f t="shared" si="20"/>
        <v>2416.8000000000002</v>
      </c>
      <c r="BP24" s="115" t="str">
        <f t="shared" si="21"/>
        <v>0</v>
      </c>
      <c r="BQ24" s="115" t="str">
        <f t="shared" si="22"/>
        <v>0</v>
      </c>
      <c r="BR24" s="115" t="str">
        <f t="shared" si="23"/>
        <v>0</v>
      </c>
      <c r="BS24" s="115"/>
      <c r="BT24" s="115">
        <v>2</v>
      </c>
      <c r="BU24" s="115">
        <v>590</v>
      </c>
      <c r="BV24" s="115">
        <v>255</v>
      </c>
      <c r="BW24" s="115"/>
      <c r="BX24" s="115"/>
      <c r="BY24" s="253">
        <v>1204.0999999999999</v>
      </c>
      <c r="BZ24" s="253">
        <v>547.20000000000005</v>
      </c>
      <c r="CA24" s="344">
        <v>547.19999999999993</v>
      </c>
      <c r="CB24" s="344">
        <v>22.4</v>
      </c>
      <c r="CC24" s="344"/>
      <c r="CD24" s="350">
        <v>590.20000000000005</v>
      </c>
      <c r="CE24" s="343">
        <f>8+8</f>
        <v>16</v>
      </c>
      <c r="CF24" s="344">
        <v>6.8</v>
      </c>
      <c r="CG24" s="344">
        <v>11.8</v>
      </c>
      <c r="CH24" s="343">
        <f>6.1+3.6</f>
        <v>9.6999999999999993</v>
      </c>
      <c r="CI24" s="347">
        <f t="shared" si="24"/>
        <v>1204.0999999999999</v>
      </c>
      <c r="CJ24" s="347">
        <f t="shared" si="1"/>
        <v>547.19999999999993</v>
      </c>
      <c r="CK24" s="348">
        <v>687</v>
      </c>
      <c r="CL24" s="349">
        <f t="shared" si="2"/>
        <v>1891.1</v>
      </c>
      <c r="CM24" s="188">
        <v>1594</v>
      </c>
      <c r="CN24" s="188">
        <f t="shared" si="3"/>
        <v>810</v>
      </c>
      <c r="CO24" s="186" t="str">
        <f t="shared" si="4"/>
        <v>0</v>
      </c>
      <c r="CP24" s="187">
        <f t="shared" si="5"/>
        <v>0</v>
      </c>
      <c r="CQ24" s="186">
        <f t="shared" si="34"/>
        <v>1</v>
      </c>
      <c r="CR24" s="187">
        <f t="shared" si="7"/>
        <v>4435</v>
      </c>
      <c r="CS24" s="187">
        <f t="shared" si="25"/>
        <v>1</v>
      </c>
      <c r="CT24" s="187">
        <f t="shared" si="26"/>
        <v>4435</v>
      </c>
      <c r="CU24" s="14">
        <v>56</v>
      </c>
      <c r="CV24" s="284" t="str">
        <f t="shared" si="27"/>
        <v>0</v>
      </c>
      <c r="CW24" s="284" t="str">
        <f t="shared" si="28"/>
        <v>0</v>
      </c>
      <c r="CX24" s="243">
        <f t="shared" si="29"/>
        <v>12.536834908885167</v>
      </c>
      <c r="CY24" s="216" t="str">
        <f t="shared" si="30"/>
        <v>0</v>
      </c>
      <c r="CZ24" s="216" t="str">
        <f t="shared" si="31"/>
        <v>0</v>
      </c>
      <c r="DA24" s="243">
        <f t="shared" si="32"/>
        <v>11.279375583269703</v>
      </c>
      <c r="DB24" s="291">
        <v>1</v>
      </c>
      <c r="DC24" s="291">
        <v>1</v>
      </c>
      <c r="DD24" s="291">
        <v>1</v>
      </c>
      <c r="DE24" s="291">
        <v>1</v>
      </c>
      <c r="DF24" s="291">
        <v>2</v>
      </c>
      <c r="DG24" s="291">
        <v>1</v>
      </c>
      <c r="DH24" s="291">
        <v>1</v>
      </c>
      <c r="DI24" s="291">
        <v>1</v>
      </c>
      <c r="DJ24" s="292">
        <v>1</v>
      </c>
      <c r="DK24" s="292">
        <v>64</v>
      </c>
      <c r="DL24" s="292">
        <f t="shared" si="33"/>
        <v>54</v>
      </c>
      <c r="DM24" s="292">
        <v>10</v>
      </c>
      <c r="DN24" s="292">
        <v>51</v>
      </c>
      <c r="DO24" s="292">
        <v>44</v>
      </c>
      <c r="DP24" s="292">
        <v>33</v>
      </c>
      <c r="DQ24" s="292">
        <v>78</v>
      </c>
      <c r="DR24" s="292">
        <v>44</v>
      </c>
      <c r="DS24" s="292">
        <v>33</v>
      </c>
      <c r="DT24" s="292">
        <v>78</v>
      </c>
      <c r="DU24" s="292">
        <v>8</v>
      </c>
      <c r="DV24" s="292">
        <v>3</v>
      </c>
      <c r="DW24" s="292">
        <v>9</v>
      </c>
      <c r="DX24" s="292">
        <v>5</v>
      </c>
      <c r="DY24" s="292">
        <v>3</v>
      </c>
      <c r="DZ24" s="292">
        <v>9</v>
      </c>
      <c r="EA24" s="292">
        <v>5</v>
      </c>
      <c r="EB24" s="292">
        <v>64</v>
      </c>
      <c r="EC24" s="292">
        <v>64</v>
      </c>
      <c r="ED24" s="342"/>
      <c r="EE24" s="342"/>
    </row>
    <row r="25" spans="1:135" x14ac:dyDescent="0.2">
      <c r="A25" s="10" t="s">
        <v>143</v>
      </c>
      <c r="B25" s="169">
        <v>19</v>
      </c>
      <c r="C25" s="12" t="s">
        <v>130</v>
      </c>
      <c r="D25" s="13">
        <v>1994</v>
      </c>
      <c r="E25" s="1"/>
      <c r="F25" s="2" t="s">
        <v>151</v>
      </c>
      <c r="G25" s="111">
        <v>1</v>
      </c>
      <c r="H25" s="1">
        <v>9</v>
      </c>
      <c r="I25" s="1" t="s">
        <v>22</v>
      </c>
      <c r="J25" s="122">
        <v>18219</v>
      </c>
      <c r="K25" s="122">
        <v>754</v>
      </c>
      <c r="L25" s="122"/>
      <c r="M25" s="122">
        <v>725.4</v>
      </c>
      <c r="N25" s="122">
        <v>71</v>
      </c>
      <c r="O25" s="122">
        <v>192</v>
      </c>
      <c r="P25" s="122">
        <v>72</v>
      </c>
      <c r="Q25" s="322">
        <v>166</v>
      </c>
      <c r="R25" s="179">
        <v>5073.8999999999996</v>
      </c>
      <c r="S25" s="121">
        <v>2962.3</v>
      </c>
      <c r="T25" s="122">
        <f t="shared" si="9"/>
        <v>59</v>
      </c>
      <c r="U25" s="180">
        <f t="shared" si="10"/>
        <v>4121.0999999999995</v>
      </c>
      <c r="V25" s="180">
        <f t="shared" si="11"/>
        <v>2465.3000000000002</v>
      </c>
      <c r="W25" s="122">
        <v>12</v>
      </c>
      <c r="X25" s="180">
        <v>952.8</v>
      </c>
      <c r="Y25" s="180">
        <v>497</v>
      </c>
      <c r="Z25" s="122"/>
      <c r="AA25" s="122"/>
      <c r="AB25" s="122"/>
      <c r="AC25" s="180">
        <f t="shared" si="12"/>
        <v>0</v>
      </c>
      <c r="AD25" s="179">
        <f t="shared" si="13"/>
        <v>0</v>
      </c>
      <c r="AE25" s="271"/>
      <c r="AF25" s="179"/>
      <c r="AG25" s="180"/>
      <c r="AH25" s="180"/>
      <c r="AI25" s="180">
        <f t="shared" si="14"/>
        <v>5073.8999999999996</v>
      </c>
      <c r="AJ25" s="122">
        <v>189</v>
      </c>
      <c r="AK25" s="122">
        <v>2</v>
      </c>
      <c r="AL25" s="122">
        <v>2</v>
      </c>
      <c r="AM25" s="122">
        <v>2</v>
      </c>
      <c r="AN25" s="122"/>
      <c r="AO25" s="122">
        <v>2</v>
      </c>
      <c r="AP25" s="122">
        <v>3595</v>
      </c>
      <c r="AQ25" s="180"/>
      <c r="AR25" s="122">
        <f>80+90+60+80</f>
        <v>310</v>
      </c>
      <c r="AS25" s="122">
        <v>470</v>
      </c>
      <c r="AT25" s="122">
        <v>64</v>
      </c>
      <c r="AU25" s="122">
        <f t="shared" si="0"/>
        <v>4435</v>
      </c>
      <c r="AV25" s="122"/>
      <c r="AW25" s="122">
        <v>4435</v>
      </c>
      <c r="AX25" s="122">
        <v>1616</v>
      </c>
      <c r="AY25" s="122">
        <v>164</v>
      </c>
      <c r="AZ25" s="122">
        <v>725</v>
      </c>
      <c r="BA25" s="122">
        <v>562</v>
      </c>
      <c r="BB25" s="122">
        <v>32</v>
      </c>
      <c r="BC25" s="122">
        <v>53</v>
      </c>
      <c r="BD25" s="122">
        <v>264</v>
      </c>
      <c r="BE25" s="122">
        <v>573</v>
      </c>
      <c r="BF25" s="122">
        <v>1</v>
      </c>
      <c r="BG25" s="122">
        <v>3140</v>
      </c>
      <c r="BH25" s="122">
        <v>944</v>
      </c>
      <c r="BI25" s="122">
        <v>294</v>
      </c>
      <c r="BJ25" s="115" t="str">
        <f t="shared" si="15"/>
        <v>0</v>
      </c>
      <c r="BK25" s="115" t="str">
        <f t="shared" si="16"/>
        <v>0</v>
      </c>
      <c r="BL25" s="115" t="str">
        <f t="shared" si="17"/>
        <v>0</v>
      </c>
      <c r="BM25" s="115">
        <f t="shared" si="18"/>
        <v>1</v>
      </c>
      <c r="BN25" s="115">
        <f t="shared" si="19"/>
        <v>5073.8999999999996</v>
      </c>
      <c r="BO25" s="115">
        <f t="shared" si="20"/>
        <v>2962.3</v>
      </c>
      <c r="BP25" s="115" t="str">
        <f t="shared" si="21"/>
        <v>0</v>
      </c>
      <c r="BQ25" s="115" t="str">
        <f t="shared" si="22"/>
        <v>0</v>
      </c>
      <c r="BR25" s="115" t="str">
        <f t="shared" si="23"/>
        <v>0</v>
      </c>
      <c r="BS25" s="115"/>
      <c r="BT25" s="115">
        <v>2</v>
      </c>
      <c r="BU25" s="115">
        <v>652</v>
      </c>
      <c r="BV25" s="115">
        <v>255</v>
      </c>
      <c r="BW25" s="115"/>
      <c r="BX25" s="115"/>
      <c r="BY25" s="253">
        <v>1227.2</v>
      </c>
      <c r="BZ25" s="253">
        <v>520.5</v>
      </c>
      <c r="CA25" s="344">
        <f>520.5*0+526.1-2.8*2</f>
        <v>520.5</v>
      </c>
      <c r="CB25" s="344">
        <f>2.8*2+14.9</f>
        <v>20.5</v>
      </c>
      <c r="CC25" s="344"/>
      <c r="CD25" s="350">
        <v>652.20000000000005</v>
      </c>
      <c r="CE25" s="343">
        <f>7.8+8</f>
        <v>15.8</v>
      </c>
      <c r="CF25" s="344"/>
      <c r="CG25" s="344">
        <v>10.199999999999999</v>
      </c>
      <c r="CH25" s="346">
        <v>8</v>
      </c>
      <c r="CI25" s="347">
        <f t="shared" si="24"/>
        <v>1227.2</v>
      </c>
      <c r="CJ25" s="347">
        <f t="shared" si="1"/>
        <v>520.5</v>
      </c>
      <c r="CK25" s="348">
        <v>725</v>
      </c>
      <c r="CL25" s="349">
        <f t="shared" si="2"/>
        <v>1952.2</v>
      </c>
      <c r="CM25" s="188">
        <v>1311</v>
      </c>
      <c r="CN25" s="188">
        <f t="shared" si="3"/>
        <v>557</v>
      </c>
      <c r="CO25" s="186" t="str">
        <f t="shared" si="4"/>
        <v>0</v>
      </c>
      <c r="CP25" s="187">
        <f t="shared" si="5"/>
        <v>0</v>
      </c>
      <c r="CQ25" s="186">
        <f t="shared" si="34"/>
        <v>1</v>
      </c>
      <c r="CR25" s="187">
        <f t="shared" si="7"/>
        <v>4435</v>
      </c>
      <c r="CS25" s="187">
        <f t="shared" si="25"/>
        <v>1</v>
      </c>
      <c r="CT25" s="187">
        <f t="shared" si="26"/>
        <v>4435</v>
      </c>
      <c r="CU25" s="14">
        <v>54</v>
      </c>
      <c r="CV25" s="284" t="str">
        <f t="shared" si="27"/>
        <v>0</v>
      </c>
      <c r="CW25" s="284" t="str">
        <f t="shared" si="28"/>
        <v>0</v>
      </c>
      <c r="CX25" s="243">
        <f t="shared" si="29"/>
        <v>18.778454443327618</v>
      </c>
      <c r="CY25" s="216" t="str">
        <f t="shared" si="30"/>
        <v>0</v>
      </c>
      <c r="CZ25" s="216" t="str">
        <f t="shared" si="31"/>
        <v>0</v>
      </c>
      <c r="DA25" s="243">
        <f t="shared" si="32"/>
        <v>18.778454443327618</v>
      </c>
      <c r="DB25" s="291">
        <v>1</v>
      </c>
      <c r="DC25" s="291">
        <v>1</v>
      </c>
      <c r="DD25" s="291">
        <v>1</v>
      </c>
      <c r="DE25" s="291">
        <v>1</v>
      </c>
      <c r="DF25" s="291">
        <v>2</v>
      </c>
      <c r="DG25" s="291">
        <v>2</v>
      </c>
      <c r="DH25" s="291">
        <v>2</v>
      </c>
      <c r="DI25" s="291">
        <v>2</v>
      </c>
      <c r="DJ25" s="292">
        <v>2</v>
      </c>
      <c r="DK25" s="292">
        <v>71</v>
      </c>
      <c r="DL25" s="292">
        <f t="shared" si="33"/>
        <v>63</v>
      </c>
      <c r="DM25" s="292">
        <v>8</v>
      </c>
      <c r="DN25" s="292">
        <v>47</v>
      </c>
      <c r="DO25" s="292">
        <v>38</v>
      </c>
      <c r="DP25" s="292">
        <v>54</v>
      </c>
      <c r="DQ25" s="292">
        <v>70</v>
      </c>
      <c r="DR25" s="292">
        <v>40</v>
      </c>
      <c r="DS25" s="292">
        <v>51</v>
      </c>
      <c r="DT25" s="292">
        <v>73</v>
      </c>
      <c r="DU25" s="292">
        <v>6</v>
      </c>
      <c r="DV25" s="292">
        <v>4</v>
      </c>
      <c r="DW25" s="292">
        <v>0</v>
      </c>
      <c r="DX25" s="292">
        <v>8</v>
      </c>
      <c r="DY25" s="292">
        <v>4</v>
      </c>
      <c r="DZ25" s="292">
        <v>0</v>
      </c>
      <c r="EA25" s="292">
        <v>8</v>
      </c>
      <c r="EB25" s="292">
        <v>71</v>
      </c>
      <c r="EC25" s="292">
        <v>71</v>
      </c>
      <c r="ED25" s="342"/>
      <c r="EE25" s="342"/>
    </row>
    <row r="26" spans="1:135" x14ac:dyDescent="0.2">
      <c r="A26" s="10" t="s">
        <v>143</v>
      </c>
      <c r="B26" s="169">
        <v>20</v>
      </c>
      <c r="C26" s="12" t="s">
        <v>131</v>
      </c>
      <c r="D26" s="13">
        <v>1994</v>
      </c>
      <c r="E26" s="1"/>
      <c r="F26" s="2" t="s">
        <v>151</v>
      </c>
      <c r="G26" s="111">
        <v>1</v>
      </c>
      <c r="H26" s="1">
        <v>9</v>
      </c>
      <c r="I26" s="1" t="s">
        <v>22</v>
      </c>
      <c r="J26" s="122">
        <v>17525</v>
      </c>
      <c r="K26" s="122">
        <v>751</v>
      </c>
      <c r="L26" s="122"/>
      <c r="M26" s="122">
        <v>690</v>
      </c>
      <c r="N26" s="122">
        <v>71</v>
      </c>
      <c r="O26" s="122">
        <v>178</v>
      </c>
      <c r="P26" s="122">
        <v>72</v>
      </c>
      <c r="Q26" s="322">
        <v>164</v>
      </c>
      <c r="R26" s="179">
        <v>4731.8999999999996</v>
      </c>
      <c r="S26" s="121">
        <v>2708</v>
      </c>
      <c r="T26" s="122">
        <f t="shared" si="9"/>
        <v>50</v>
      </c>
      <c r="U26" s="180">
        <f t="shared" si="10"/>
        <v>3289.3999999999996</v>
      </c>
      <c r="V26" s="180">
        <f t="shared" si="11"/>
        <v>1915.49</v>
      </c>
      <c r="W26" s="122">
        <v>21</v>
      </c>
      <c r="X26" s="180">
        <v>1442.5</v>
      </c>
      <c r="Y26" s="180">
        <v>792.51</v>
      </c>
      <c r="Z26" s="122"/>
      <c r="AA26" s="122"/>
      <c r="AB26" s="122"/>
      <c r="AC26" s="180">
        <f t="shared" si="12"/>
        <v>0</v>
      </c>
      <c r="AD26" s="179">
        <f t="shared" si="13"/>
        <v>0</v>
      </c>
      <c r="AE26" s="271"/>
      <c r="AF26" s="179"/>
      <c r="AG26" s="180"/>
      <c r="AH26" s="180"/>
      <c r="AI26" s="180">
        <f t="shared" si="14"/>
        <v>4731.8999999999996</v>
      </c>
      <c r="AJ26" s="122">
        <v>179</v>
      </c>
      <c r="AK26" s="122">
        <v>2</v>
      </c>
      <c r="AL26" s="122">
        <v>2</v>
      </c>
      <c r="AM26" s="122">
        <v>2</v>
      </c>
      <c r="AN26" s="122"/>
      <c r="AO26" s="122">
        <v>2</v>
      </c>
      <c r="AP26" s="122">
        <v>3453</v>
      </c>
      <c r="AQ26" s="180"/>
      <c r="AR26" s="122">
        <f>230+80</f>
        <v>310</v>
      </c>
      <c r="AS26" s="122">
        <v>476</v>
      </c>
      <c r="AT26" s="122">
        <v>64</v>
      </c>
      <c r="AU26" s="122">
        <f t="shared" si="0"/>
        <v>4435</v>
      </c>
      <c r="AV26" s="122"/>
      <c r="AW26" s="122">
        <v>4435</v>
      </c>
      <c r="AX26" s="122">
        <v>1616</v>
      </c>
      <c r="AY26" s="122">
        <v>154</v>
      </c>
      <c r="AZ26" s="122">
        <v>690</v>
      </c>
      <c r="BA26" s="122">
        <v>592</v>
      </c>
      <c r="BB26" s="122">
        <v>32</v>
      </c>
      <c r="BC26" s="122">
        <v>53</v>
      </c>
      <c r="BD26" s="122">
        <v>250</v>
      </c>
      <c r="BE26" s="122">
        <v>555</v>
      </c>
      <c r="BF26" s="122">
        <v>1</v>
      </c>
      <c r="BG26" s="122">
        <v>4055</v>
      </c>
      <c r="BH26" s="122">
        <v>944</v>
      </c>
      <c r="BI26" s="122">
        <v>294</v>
      </c>
      <c r="BJ26" s="115" t="str">
        <f t="shared" si="15"/>
        <v>0</v>
      </c>
      <c r="BK26" s="115" t="str">
        <f t="shared" si="16"/>
        <v>0</v>
      </c>
      <c r="BL26" s="115" t="str">
        <f t="shared" si="17"/>
        <v>0</v>
      </c>
      <c r="BM26" s="115">
        <f t="shared" si="18"/>
        <v>1</v>
      </c>
      <c r="BN26" s="115">
        <f t="shared" si="19"/>
        <v>4731.8999999999996</v>
      </c>
      <c r="BO26" s="115">
        <f t="shared" si="20"/>
        <v>2708</v>
      </c>
      <c r="BP26" s="115" t="str">
        <f t="shared" si="21"/>
        <v>0</v>
      </c>
      <c r="BQ26" s="115" t="str">
        <f t="shared" si="22"/>
        <v>0</v>
      </c>
      <c r="BR26" s="115" t="str">
        <f t="shared" si="23"/>
        <v>0</v>
      </c>
      <c r="BS26" s="115"/>
      <c r="BT26" s="115">
        <v>2</v>
      </c>
      <c r="BU26" s="115">
        <v>592</v>
      </c>
      <c r="BV26" s="115">
        <v>255</v>
      </c>
      <c r="BW26" s="115"/>
      <c r="BX26" s="115"/>
      <c r="BY26" s="253">
        <v>1213.8</v>
      </c>
      <c r="BZ26" s="253">
        <v>556.6</v>
      </c>
      <c r="CA26" s="343">
        <f>478.6-3.5*2+85</f>
        <v>556.6</v>
      </c>
      <c r="CB26" s="343">
        <f>3.5*2+17.8</f>
        <v>24.8</v>
      </c>
      <c r="CC26" s="344"/>
      <c r="CD26" s="350">
        <v>592.4</v>
      </c>
      <c r="CE26" s="343">
        <f>8.1*2</f>
        <v>16.2</v>
      </c>
      <c r="CF26" s="344"/>
      <c r="CG26" s="344">
        <v>11.8</v>
      </c>
      <c r="CH26" s="343">
        <f>7.8+4.2</f>
        <v>12</v>
      </c>
      <c r="CI26" s="347">
        <f t="shared" si="24"/>
        <v>1213.8</v>
      </c>
      <c r="CJ26" s="347">
        <f t="shared" si="1"/>
        <v>556.6</v>
      </c>
      <c r="CK26" s="348">
        <v>690</v>
      </c>
      <c r="CL26" s="349">
        <f t="shared" si="2"/>
        <v>1903.8</v>
      </c>
      <c r="CM26" s="188">
        <v>1522</v>
      </c>
      <c r="CN26" s="188">
        <f t="shared" si="3"/>
        <v>771</v>
      </c>
      <c r="CO26" s="186" t="str">
        <f t="shared" si="4"/>
        <v>0</v>
      </c>
      <c r="CP26" s="187">
        <f t="shared" si="5"/>
        <v>0</v>
      </c>
      <c r="CQ26" s="186">
        <f t="shared" si="34"/>
        <v>1</v>
      </c>
      <c r="CR26" s="187">
        <f t="shared" si="7"/>
        <v>4435</v>
      </c>
      <c r="CS26" s="187">
        <f t="shared" si="25"/>
        <v>1</v>
      </c>
      <c r="CT26" s="187">
        <f t="shared" si="26"/>
        <v>4435</v>
      </c>
      <c r="CU26" s="14">
        <v>52</v>
      </c>
      <c r="CV26" s="284" t="str">
        <f t="shared" si="27"/>
        <v>0</v>
      </c>
      <c r="CW26" s="284" t="str">
        <f t="shared" si="28"/>
        <v>0</v>
      </c>
      <c r="CX26" s="243">
        <f t="shared" si="29"/>
        <v>30.484583359749784</v>
      </c>
      <c r="CY26" s="216" t="str">
        <f t="shared" si="30"/>
        <v>0</v>
      </c>
      <c r="CZ26" s="216" t="str">
        <f t="shared" si="31"/>
        <v>0</v>
      </c>
      <c r="DA26" s="243">
        <f t="shared" si="32"/>
        <v>30.484583359749784</v>
      </c>
      <c r="DB26" s="291">
        <v>1</v>
      </c>
      <c r="DC26" s="291">
        <v>1</v>
      </c>
      <c r="DD26" s="291">
        <v>1</v>
      </c>
      <c r="DE26" s="291">
        <v>1</v>
      </c>
      <c r="DF26" s="291">
        <v>2</v>
      </c>
      <c r="DG26" s="291">
        <v>1</v>
      </c>
      <c r="DH26" s="291">
        <v>1</v>
      </c>
      <c r="DI26" s="291">
        <v>1</v>
      </c>
      <c r="DJ26" s="292">
        <v>1</v>
      </c>
      <c r="DK26" s="292">
        <v>71</v>
      </c>
      <c r="DL26" s="292">
        <f t="shared" si="33"/>
        <v>54</v>
      </c>
      <c r="DM26" s="292">
        <v>17</v>
      </c>
      <c r="DN26" s="292">
        <v>44</v>
      </c>
      <c r="DO26" s="292">
        <v>32</v>
      </c>
      <c r="DP26" s="292">
        <v>67</v>
      </c>
      <c r="DQ26" s="292">
        <v>56</v>
      </c>
      <c r="DR26" s="292">
        <v>32</v>
      </c>
      <c r="DS26" s="292">
        <v>67</v>
      </c>
      <c r="DT26" s="292">
        <v>56</v>
      </c>
      <c r="DU26" s="292">
        <v>10</v>
      </c>
      <c r="DV26" s="292">
        <v>4</v>
      </c>
      <c r="DW26" s="292">
        <v>18</v>
      </c>
      <c r="DX26" s="292">
        <v>7</v>
      </c>
      <c r="DY26" s="292">
        <v>5</v>
      </c>
      <c r="DZ26" s="292">
        <v>16</v>
      </c>
      <c r="EA26" s="292">
        <v>9</v>
      </c>
      <c r="EB26" s="292">
        <v>71</v>
      </c>
      <c r="EC26" s="292">
        <v>71</v>
      </c>
      <c r="ED26" s="342"/>
      <c r="EE26" s="342"/>
    </row>
    <row r="27" spans="1:135" x14ac:dyDescent="0.2">
      <c r="A27" s="10" t="s">
        <v>143</v>
      </c>
      <c r="B27" s="169">
        <v>21</v>
      </c>
      <c r="C27" s="12" t="s">
        <v>132</v>
      </c>
      <c r="D27" s="13">
        <v>1994</v>
      </c>
      <c r="E27" s="1"/>
      <c r="F27" s="2" t="s">
        <v>24</v>
      </c>
      <c r="G27" s="111">
        <v>1</v>
      </c>
      <c r="H27" s="1">
        <v>9</v>
      </c>
      <c r="I27" s="1" t="s">
        <v>22</v>
      </c>
      <c r="J27" s="122">
        <v>10284</v>
      </c>
      <c r="K27" s="122">
        <v>498</v>
      </c>
      <c r="L27" s="122"/>
      <c r="M27" s="122">
        <v>376.3</v>
      </c>
      <c r="N27" s="122">
        <v>32</v>
      </c>
      <c r="O27" s="122">
        <v>96</v>
      </c>
      <c r="P27" s="122">
        <v>32</v>
      </c>
      <c r="Q27" s="322">
        <v>69</v>
      </c>
      <c r="R27" s="179">
        <v>2138.94</v>
      </c>
      <c r="S27" s="121">
        <v>1350</v>
      </c>
      <c r="T27" s="122">
        <f t="shared" si="9"/>
        <v>24</v>
      </c>
      <c r="U27" s="180">
        <f t="shared" si="10"/>
        <v>1497.24</v>
      </c>
      <c r="V27" s="180">
        <f t="shared" si="11"/>
        <v>993.71</v>
      </c>
      <c r="W27" s="122">
        <v>8</v>
      </c>
      <c r="X27" s="180">
        <v>641.70000000000005</v>
      </c>
      <c r="Y27" s="180">
        <v>356.29</v>
      </c>
      <c r="Z27" s="122"/>
      <c r="AA27" s="122"/>
      <c r="AB27" s="122"/>
      <c r="AC27" s="180">
        <f t="shared" si="12"/>
        <v>205.2</v>
      </c>
      <c r="AD27" s="179">
        <f t="shared" si="13"/>
        <v>0</v>
      </c>
      <c r="AE27" s="271"/>
      <c r="AF27" s="179"/>
      <c r="AG27" s="180">
        <v>205.2</v>
      </c>
      <c r="AH27" s="180"/>
      <c r="AI27" s="180">
        <f t="shared" si="14"/>
        <v>2344.14</v>
      </c>
      <c r="AJ27" s="122">
        <v>96</v>
      </c>
      <c r="AK27" s="122">
        <v>1</v>
      </c>
      <c r="AL27" s="122">
        <v>1</v>
      </c>
      <c r="AM27" s="122">
        <v>1</v>
      </c>
      <c r="AN27" s="122"/>
      <c r="AO27" s="122">
        <v>1</v>
      </c>
      <c r="AP27" s="122">
        <v>2299</v>
      </c>
      <c r="AQ27" s="180"/>
      <c r="AR27" s="122">
        <f>90+70+35+50</f>
        <v>245</v>
      </c>
      <c r="AS27" s="122">
        <v>252</v>
      </c>
      <c r="AT27" s="122">
        <v>82</v>
      </c>
      <c r="AU27" s="122">
        <f t="shared" si="0"/>
        <v>2914</v>
      </c>
      <c r="AV27" s="122"/>
      <c r="AW27" s="122">
        <v>2914</v>
      </c>
      <c r="AX27" s="122">
        <v>1187</v>
      </c>
      <c r="AY27" s="122">
        <v>104</v>
      </c>
      <c r="AZ27" s="122">
        <v>376</v>
      </c>
      <c r="BA27" s="122">
        <v>309</v>
      </c>
      <c r="BB27" s="122">
        <v>18</v>
      </c>
      <c r="BC27" s="122">
        <v>19</v>
      </c>
      <c r="BD27" s="122">
        <v>140</v>
      </c>
      <c r="BE27" s="122">
        <v>274</v>
      </c>
      <c r="BF27" s="122">
        <v>1</v>
      </c>
      <c r="BG27" s="122">
        <v>1295</v>
      </c>
      <c r="BH27" s="122">
        <v>472</v>
      </c>
      <c r="BI27" s="122">
        <v>132</v>
      </c>
      <c r="BJ27" s="115" t="str">
        <f t="shared" si="15"/>
        <v>0</v>
      </c>
      <c r="BK27" s="115" t="str">
        <f t="shared" si="16"/>
        <v>0</v>
      </c>
      <c r="BL27" s="115" t="str">
        <f t="shared" si="17"/>
        <v>0</v>
      </c>
      <c r="BM27" s="115">
        <f t="shared" si="18"/>
        <v>1</v>
      </c>
      <c r="BN27" s="115">
        <f t="shared" si="19"/>
        <v>2138.94</v>
      </c>
      <c r="BO27" s="115">
        <f t="shared" si="20"/>
        <v>1350</v>
      </c>
      <c r="BP27" s="115" t="str">
        <f t="shared" si="21"/>
        <v>0</v>
      </c>
      <c r="BQ27" s="115" t="str">
        <f t="shared" si="22"/>
        <v>0</v>
      </c>
      <c r="BR27" s="115" t="str">
        <f t="shared" si="23"/>
        <v>0</v>
      </c>
      <c r="BS27" s="115"/>
      <c r="BT27" s="115">
        <v>1</v>
      </c>
      <c r="BU27" s="115">
        <v>309</v>
      </c>
      <c r="BV27" s="115">
        <v>18</v>
      </c>
      <c r="BW27" s="115"/>
      <c r="BX27" s="115"/>
      <c r="BY27" s="253">
        <v>757</v>
      </c>
      <c r="BZ27" s="253">
        <v>379.1</v>
      </c>
      <c r="CA27" s="343">
        <f>155.9+223.2</f>
        <v>379.1</v>
      </c>
      <c r="CB27" s="343">
        <f>3.6+7</f>
        <v>10.6</v>
      </c>
      <c r="CC27" s="344"/>
      <c r="CD27" s="350">
        <v>309</v>
      </c>
      <c r="CE27" s="344">
        <v>15.8</v>
      </c>
      <c r="CF27" s="344"/>
      <c r="CG27" s="344">
        <v>28.9</v>
      </c>
      <c r="CH27" s="343">
        <f>6.4+5.2+2</f>
        <v>13.600000000000001</v>
      </c>
      <c r="CI27" s="347">
        <f t="shared" si="24"/>
        <v>757</v>
      </c>
      <c r="CJ27" s="347">
        <f t="shared" si="1"/>
        <v>379.1</v>
      </c>
      <c r="CK27" s="348">
        <v>376</v>
      </c>
      <c r="CL27" s="349">
        <f t="shared" si="2"/>
        <v>1133</v>
      </c>
      <c r="CM27" s="188">
        <v>861</v>
      </c>
      <c r="CN27" s="188">
        <f t="shared" si="3"/>
        <v>363</v>
      </c>
      <c r="CO27" s="186" t="str">
        <f t="shared" si="4"/>
        <v>0</v>
      </c>
      <c r="CP27" s="187">
        <f t="shared" si="5"/>
        <v>0</v>
      </c>
      <c r="CQ27" s="186">
        <f t="shared" si="34"/>
        <v>1</v>
      </c>
      <c r="CR27" s="187">
        <f t="shared" si="7"/>
        <v>2914</v>
      </c>
      <c r="CS27" s="187">
        <f t="shared" si="25"/>
        <v>1</v>
      </c>
      <c r="CT27" s="187">
        <f t="shared" si="26"/>
        <v>2914</v>
      </c>
      <c r="CU27" s="14">
        <v>53</v>
      </c>
      <c r="CV27" s="284" t="str">
        <f t="shared" si="27"/>
        <v>0</v>
      </c>
      <c r="CW27" s="284" t="str">
        <f t="shared" si="28"/>
        <v>0</v>
      </c>
      <c r="CX27" s="243">
        <f t="shared" si="29"/>
        <v>30.000841538332075</v>
      </c>
      <c r="CY27" s="216" t="str">
        <f t="shared" si="30"/>
        <v>0</v>
      </c>
      <c r="CZ27" s="216" t="str">
        <f t="shared" si="31"/>
        <v>0</v>
      </c>
      <c r="DA27" s="243">
        <f t="shared" si="32"/>
        <v>27.374644859095447</v>
      </c>
      <c r="DB27" s="291">
        <v>1</v>
      </c>
      <c r="DC27" s="291">
        <v>1</v>
      </c>
      <c r="DD27" s="291">
        <v>1</v>
      </c>
      <c r="DE27" s="291">
        <v>1</v>
      </c>
      <c r="DF27" s="291">
        <v>2</v>
      </c>
      <c r="DG27" s="291">
        <v>1</v>
      </c>
      <c r="DH27" s="291">
        <v>1</v>
      </c>
      <c r="DI27" s="291">
        <v>1</v>
      </c>
      <c r="DJ27" s="292">
        <v>1</v>
      </c>
      <c r="DK27" s="292">
        <v>32</v>
      </c>
      <c r="DL27" s="292">
        <f t="shared" si="33"/>
        <v>25</v>
      </c>
      <c r="DM27" s="292">
        <v>7</v>
      </c>
      <c r="DN27" s="292">
        <v>19</v>
      </c>
      <c r="DO27" s="292">
        <v>15</v>
      </c>
      <c r="DP27" s="292">
        <v>17</v>
      </c>
      <c r="DQ27" s="292">
        <v>15</v>
      </c>
      <c r="DR27" s="292">
        <v>16</v>
      </c>
      <c r="DS27" s="292">
        <v>16</v>
      </c>
      <c r="DT27" s="292">
        <v>16</v>
      </c>
      <c r="DU27" s="292">
        <v>5</v>
      </c>
      <c r="DV27" s="292">
        <v>3</v>
      </c>
      <c r="DW27" s="292">
        <v>3</v>
      </c>
      <c r="DX27" s="292">
        <v>3</v>
      </c>
      <c r="DY27" s="292">
        <v>3</v>
      </c>
      <c r="DZ27" s="292">
        <v>3</v>
      </c>
      <c r="EA27" s="292">
        <v>3</v>
      </c>
      <c r="EB27" s="292">
        <v>32</v>
      </c>
      <c r="EC27" s="292">
        <v>32</v>
      </c>
      <c r="ED27" s="342"/>
      <c r="EE27" s="342"/>
    </row>
    <row r="28" spans="1:135" x14ac:dyDescent="0.2">
      <c r="A28" s="10" t="s">
        <v>143</v>
      </c>
      <c r="B28" s="169">
        <v>22</v>
      </c>
      <c r="C28" s="12" t="s">
        <v>133</v>
      </c>
      <c r="D28" s="13">
        <v>1995</v>
      </c>
      <c r="E28" s="1"/>
      <c r="F28" s="2" t="s">
        <v>24</v>
      </c>
      <c r="G28" s="111">
        <v>1</v>
      </c>
      <c r="H28" s="1">
        <v>9</v>
      </c>
      <c r="I28" s="1" t="s">
        <v>22</v>
      </c>
      <c r="J28" s="122">
        <v>29430</v>
      </c>
      <c r="K28" s="122">
        <v>1249</v>
      </c>
      <c r="L28" s="122"/>
      <c r="M28" s="122">
        <v>1080</v>
      </c>
      <c r="N28" s="122">
        <v>96</v>
      </c>
      <c r="O28" s="122">
        <v>256</v>
      </c>
      <c r="P28" s="122">
        <v>96</v>
      </c>
      <c r="Q28" s="322">
        <v>214</v>
      </c>
      <c r="R28" s="311">
        <f>6179.94-1.44-0.8+6</f>
        <v>6183.7</v>
      </c>
      <c r="S28" s="121">
        <v>3750</v>
      </c>
      <c r="T28" s="122">
        <f t="shared" si="9"/>
        <v>72</v>
      </c>
      <c r="U28" s="180">
        <f t="shared" si="10"/>
        <v>4627.4399999999996</v>
      </c>
      <c r="V28" s="180">
        <f t="shared" si="11"/>
        <v>2821.96</v>
      </c>
      <c r="W28" s="122">
        <v>24</v>
      </c>
      <c r="X28" s="180">
        <v>1556.26</v>
      </c>
      <c r="Y28" s="180">
        <v>928.04</v>
      </c>
      <c r="Z28" s="122"/>
      <c r="AA28" s="122"/>
      <c r="AB28" s="122"/>
      <c r="AC28" s="180">
        <f t="shared" si="12"/>
        <v>617</v>
      </c>
      <c r="AD28" s="179">
        <f t="shared" si="13"/>
        <v>191.3</v>
      </c>
      <c r="AE28" s="271"/>
      <c r="AF28" s="179">
        <v>191.3</v>
      </c>
      <c r="AG28" s="180"/>
      <c r="AH28" s="180">
        <v>425.7</v>
      </c>
      <c r="AI28" s="180">
        <f t="shared" si="14"/>
        <v>6800.7</v>
      </c>
      <c r="AJ28" s="122">
        <v>240</v>
      </c>
      <c r="AK28" s="122">
        <v>3</v>
      </c>
      <c r="AL28" s="122">
        <v>3</v>
      </c>
      <c r="AM28" s="122">
        <v>3</v>
      </c>
      <c r="AN28" s="122"/>
      <c r="AO28" s="122">
        <v>3</v>
      </c>
      <c r="AP28" s="122">
        <v>5057</v>
      </c>
      <c r="AQ28" s="180"/>
      <c r="AR28" s="122">
        <f>180+190+86+180</f>
        <v>636</v>
      </c>
      <c r="AS28" s="122">
        <v>707</v>
      </c>
      <c r="AT28" s="122">
        <v>246</v>
      </c>
      <c r="AU28" s="122">
        <f t="shared" si="0"/>
        <v>8483</v>
      </c>
      <c r="AV28" s="122"/>
      <c r="AW28" s="122">
        <v>8483</v>
      </c>
      <c r="AX28" s="122">
        <v>2517</v>
      </c>
      <c r="AY28" s="122">
        <v>274</v>
      </c>
      <c r="AZ28" s="122">
        <v>1080</v>
      </c>
      <c r="BA28" s="122">
        <v>1000</v>
      </c>
      <c r="BB28" s="122">
        <v>54</v>
      </c>
      <c r="BC28" s="122">
        <v>59</v>
      </c>
      <c r="BD28" s="122">
        <v>384</v>
      </c>
      <c r="BE28" s="122">
        <v>800</v>
      </c>
      <c r="BF28" s="122">
        <v>1</v>
      </c>
      <c r="BG28" s="122">
        <v>5275</v>
      </c>
      <c r="BH28" s="122">
        <v>1416</v>
      </c>
      <c r="BI28" s="122">
        <v>456</v>
      </c>
      <c r="BJ28" s="115" t="str">
        <f t="shared" si="15"/>
        <v>0</v>
      </c>
      <c r="BK28" s="115" t="str">
        <f t="shared" si="16"/>
        <v>0</v>
      </c>
      <c r="BL28" s="115" t="str">
        <f t="shared" si="17"/>
        <v>0</v>
      </c>
      <c r="BM28" s="115">
        <f t="shared" si="18"/>
        <v>1</v>
      </c>
      <c r="BN28" s="115">
        <f t="shared" si="19"/>
        <v>6183.7</v>
      </c>
      <c r="BO28" s="115">
        <f t="shared" si="20"/>
        <v>3750</v>
      </c>
      <c r="BP28" s="115" t="str">
        <f t="shared" si="21"/>
        <v>0</v>
      </c>
      <c r="BQ28" s="115" t="str">
        <f t="shared" si="22"/>
        <v>0</v>
      </c>
      <c r="BR28" s="115" t="str">
        <f t="shared" si="23"/>
        <v>0</v>
      </c>
      <c r="BS28" s="115"/>
      <c r="BT28" s="115">
        <v>3</v>
      </c>
      <c r="BU28" s="115">
        <v>1000</v>
      </c>
      <c r="BV28" s="115">
        <v>60</v>
      </c>
      <c r="BW28" s="115"/>
      <c r="BX28" s="115"/>
      <c r="BY28" s="253">
        <v>2339.2000000000003</v>
      </c>
      <c r="BZ28" s="253">
        <v>1161.3</v>
      </c>
      <c r="CA28" s="343">
        <f>509.1-2.4*3+659.4</f>
        <v>1161.3</v>
      </c>
      <c r="CB28" s="343">
        <f>2.4*3+28.5</f>
        <v>35.700000000000003</v>
      </c>
      <c r="CC28" s="344"/>
      <c r="CD28" s="350">
        <v>999.9</v>
      </c>
      <c r="CE28" s="343">
        <f>14.8*3</f>
        <v>44.400000000000006</v>
      </c>
      <c r="CF28" s="344"/>
      <c r="CG28" s="344">
        <v>84</v>
      </c>
      <c r="CH28" s="343">
        <f>1.9+5.9+6.1</f>
        <v>13.9</v>
      </c>
      <c r="CI28" s="347">
        <f t="shared" si="24"/>
        <v>2339.1999999999998</v>
      </c>
      <c r="CJ28" s="347">
        <f t="shared" si="1"/>
        <v>1161.3</v>
      </c>
      <c r="CK28" s="348">
        <v>1080</v>
      </c>
      <c r="CL28" s="349">
        <f t="shared" si="2"/>
        <v>3419.2</v>
      </c>
      <c r="CM28" s="188">
        <v>2071</v>
      </c>
      <c r="CN28" s="188">
        <f t="shared" si="3"/>
        <v>822</v>
      </c>
      <c r="CO28" s="186" t="str">
        <f t="shared" si="4"/>
        <v>0</v>
      </c>
      <c r="CP28" s="187">
        <f t="shared" si="5"/>
        <v>0</v>
      </c>
      <c r="CQ28" s="186">
        <f t="shared" si="34"/>
        <v>1</v>
      </c>
      <c r="CR28" s="187">
        <f t="shared" si="7"/>
        <v>8483</v>
      </c>
      <c r="CS28" s="187">
        <f t="shared" si="25"/>
        <v>1</v>
      </c>
      <c r="CT28" s="187">
        <f t="shared" si="26"/>
        <v>8483</v>
      </c>
      <c r="CU28" s="14">
        <v>50</v>
      </c>
      <c r="CV28" s="284" t="str">
        <f t="shared" si="27"/>
        <v>0</v>
      </c>
      <c r="CW28" s="284" t="str">
        <f t="shared" si="28"/>
        <v>0</v>
      </c>
      <c r="CX28" s="243">
        <f t="shared" si="29"/>
        <v>25.167132946294291</v>
      </c>
      <c r="CY28" s="216" t="str">
        <f t="shared" si="30"/>
        <v>0</v>
      </c>
      <c r="CZ28" s="216" t="str">
        <f t="shared" si="31"/>
        <v>0</v>
      </c>
      <c r="DA28" s="243">
        <f t="shared" si="32"/>
        <v>25.696766509329922</v>
      </c>
      <c r="DB28" s="291">
        <v>1</v>
      </c>
      <c r="DC28" s="291">
        <v>1</v>
      </c>
      <c r="DD28" s="291">
        <v>1</v>
      </c>
      <c r="DE28" s="291">
        <v>1</v>
      </c>
      <c r="DF28" s="291">
        <v>2</v>
      </c>
      <c r="DG28" s="291">
        <v>1</v>
      </c>
      <c r="DH28" s="291">
        <v>1</v>
      </c>
      <c r="DI28" s="291">
        <v>1</v>
      </c>
      <c r="DJ28" s="292">
        <v>1</v>
      </c>
      <c r="DK28" s="292">
        <v>96</v>
      </c>
      <c r="DL28" s="292">
        <f t="shared" si="33"/>
        <v>75</v>
      </c>
      <c r="DM28" s="292">
        <v>21</v>
      </c>
      <c r="DN28" s="292">
        <v>60</v>
      </c>
      <c r="DO28" s="292">
        <v>45</v>
      </c>
      <c r="DP28" s="292">
        <v>80</v>
      </c>
      <c r="DQ28" s="292">
        <v>64</v>
      </c>
      <c r="DR28" s="292">
        <v>46</v>
      </c>
      <c r="DS28" s="292">
        <v>78</v>
      </c>
      <c r="DT28" s="292">
        <v>66</v>
      </c>
      <c r="DU28" s="292">
        <v>5</v>
      </c>
      <c r="DV28" s="292">
        <v>6</v>
      </c>
      <c r="DW28" s="292">
        <v>21</v>
      </c>
      <c r="DX28" s="292">
        <v>6</v>
      </c>
      <c r="DY28" s="292">
        <v>6</v>
      </c>
      <c r="DZ28" s="292">
        <v>21</v>
      </c>
      <c r="EA28" s="292">
        <v>6</v>
      </c>
      <c r="EB28" s="292">
        <v>96</v>
      </c>
      <c r="EC28" s="292">
        <v>96</v>
      </c>
      <c r="ED28" s="342"/>
      <c r="EE28" s="342"/>
    </row>
    <row r="29" spans="1:135" x14ac:dyDescent="0.2">
      <c r="A29" s="10" t="s">
        <v>143</v>
      </c>
      <c r="B29" s="169">
        <v>23</v>
      </c>
      <c r="C29" s="12" t="s">
        <v>134</v>
      </c>
      <c r="D29" s="13">
        <v>1994</v>
      </c>
      <c r="E29" s="1"/>
      <c r="F29" s="2" t="s">
        <v>151</v>
      </c>
      <c r="G29" s="111">
        <v>1</v>
      </c>
      <c r="H29" s="1">
        <v>9</v>
      </c>
      <c r="I29" s="1" t="s">
        <v>22</v>
      </c>
      <c r="J29" s="122">
        <v>17637</v>
      </c>
      <c r="K29" s="122">
        <v>756</v>
      </c>
      <c r="L29" s="122"/>
      <c r="M29" s="122">
        <v>693.6</v>
      </c>
      <c r="N29" s="122">
        <v>71</v>
      </c>
      <c r="O29" s="122">
        <v>178</v>
      </c>
      <c r="P29" s="122">
        <v>71</v>
      </c>
      <c r="Q29" s="322">
        <v>174</v>
      </c>
      <c r="R29" s="179">
        <v>4736.8999999999996</v>
      </c>
      <c r="S29" s="121">
        <v>2698</v>
      </c>
      <c r="T29" s="122">
        <f t="shared" si="9"/>
        <v>62</v>
      </c>
      <c r="U29" s="180">
        <f t="shared" si="10"/>
        <v>4167.5</v>
      </c>
      <c r="V29" s="180">
        <f t="shared" si="11"/>
        <v>2372.46</v>
      </c>
      <c r="W29" s="122">
        <v>9</v>
      </c>
      <c r="X29" s="180">
        <v>569.4</v>
      </c>
      <c r="Y29" s="180">
        <v>325.54000000000002</v>
      </c>
      <c r="Z29" s="122"/>
      <c r="AA29" s="122"/>
      <c r="AB29" s="122"/>
      <c r="AC29" s="180">
        <f t="shared" si="12"/>
        <v>0</v>
      </c>
      <c r="AD29" s="179">
        <f t="shared" si="13"/>
        <v>0</v>
      </c>
      <c r="AE29" s="271"/>
      <c r="AF29" s="179"/>
      <c r="AG29" s="180"/>
      <c r="AH29" s="180"/>
      <c r="AI29" s="180">
        <f t="shared" si="14"/>
        <v>4736.8999999999996</v>
      </c>
      <c r="AJ29" s="122">
        <v>112</v>
      </c>
      <c r="AK29" s="122">
        <v>2</v>
      </c>
      <c r="AL29" s="122">
        <v>2</v>
      </c>
      <c r="AM29" s="122">
        <v>2</v>
      </c>
      <c r="AN29" s="122"/>
      <c r="AO29" s="122">
        <v>2</v>
      </c>
      <c r="AP29" s="122">
        <v>3458</v>
      </c>
      <c r="AQ29" s="180"/>
      <c r="AR29" s="122">
        <f>180+200+58+100</f>
        <v>538</v>
      </c>
      <c r="AS29" s="122">
        <v>272</v>
      </c>
      <c r="AT29" s="122">
        <v>64</v>
      </c>
      <c r="AU29" s="122">
        <f t="shared" si="0"/>
        <v>4435</v>
      </c>
      <c r="AV29" s="122"/>
      <c r="AW29" s="122">
        <v>4435</v>
      </c>
      <c r="AX29" s="122">
        <v>1616</v>
      </c>
      <c r="AY29" s="122">
        <v>153</v>
      </c>
      <c r="AZ29" s="122">
        <v>694</v>
      </c>
      <c r="BA29" s="122">
        <v>591</v>
      </c>
      <c r="BB29" s="122">
        <v>32</v>
      </c>
      <c r="BC29" s="122">
        <v>51</v>
      </c>
      <c r="BD29" s="122">
        <v>250</v>
      </c>
      <c r="BE29" s="122">
        <v>464</v>
      </c>
      <c r="BF29" s="122">
        <v>1</v>
      </c>
      <c r="BG29" s="122">
        <v>3150</v>
      </c>
      <c r="BH29" s="122">
        <v>944</v>
      </c>
      <c r="BI29" s="122">
        <v>294</v>
      </c>
      <c r="BJ29" s="115" t="str">
        <f t="shared" si="15"/>
        <v>0</v>
      </c>
      <c r="BK29" s="115" t="str">
        <f t="shared" si="16"/>
        <v>0</v>
      </c>
      <c r="BL29" s="115" t="str">
        <f t="shared" si="17"/>
        <v>0</v>
      </c>
      <c r="BM29" s="115">
        <f t="shared" si="18"/>
        <v>1</v>
      </c>
      <c r="BN29" s="115">
        <f t="shared" si="19"/>
        <v>4736.8999999999996</v>
      </c>
      <c r="BO29" s="115">
        <f t="shared" si="20"/>
        <v>2698</v>
      </c>
      <c r="BP29" s="115" t="str">
        <f t="shared" si="21"/>
        <v>0</v>
      </c>
      <c r="BQ29" s="115" t="str">
        <f t="shared" si="22"/>
        <v>0</v>
      </c>
      <c r="BR29" s="115" t="str">
        <f t="shared" si="23"/>
        <v>0</v>
      </c>
      <c r="BS29" s="115"/>
      <c r="BT29" s="115">
        <v>2</v>
      </c>
      <c r="BU29" s="115">
        <v>591</v>
      </c>
      <c r="BV29" s="115">
        <v>255</v>
      </c>
      <c r="BW29" s="115"/>
      <c r="BX29" s="115"/>
      <c r="BY29" s="253">
        <v>1213.3000000000002</v>
      </c>
      <c r="BZ29" s="253">
        <v>561.70000000000005</v>
      </c>
      <c r="CA29" s="343">
        <f>483.3-(3.5+3.7)+78.4</f>
        <v>554.5</v>
      </c>
      <c r="CB29" s="343">
        <f>(3.5+3.7)+17.8</f>
        <v>25</v>
      </c>
      <c r="CC29" s="344">
        <v>7.2</v>
      </c>
      <c r="CD29" s="350">
        <v>591.20000000000005</v>
      </c>
      <c r="CE29" s="344">
        <f>8.2*2</f>
        <v>16.399999999999999</v>
      </c>
      <c r="CF29" s="344"/>
      <c r="CG29" s="344">
        <v>11.2</v>
      </c>
      <c r="CH29" s="346">
        <v>7.8</v>
      </c>
      <c r="CI29" s="347">
        <f t="shared" si="24"/>
        <v>1213.3000000000002</v>
      </c>
      <c r="CJ29" s="347">
        <f t="shared" si="1"/>
        <v>561.70000000000005</v>
      </c>
      <c r="CK29" s="348">
        <v>694</v>
      </c>
      <c r="CL29" s="349">
        <f t="shared" si="2"/>
        <v>1907.3000000000002</v>
      </c>
      <c r="CM29" s="188">
        <v>1136</v>
      </c>
      <c r="CN29" s="188">
        <f t="shared" si="3"/>
        <v>380</v>
      </c>
      <c r="CO29" s="186" t="str">
        <f t="shared" si="4"/>
        <v>0</v>
      </c>
      <c r="CP29" s="187">
        <f t="shared" si="5"/>
        <v>0</v>
      </c>
      <c r="CQ29" s="186">
        <f t="shared" si="34"/>
        <v>1</v>
      </c>
      <c r="CR29" s="187">
        <f t="shared" si="7"/>
        <v>4435</v>
      </c>
      <c r="CS29" s="187">
        <f t="shared" si="25"/>
        <v>1</v>
      </c>
      <c r="CT29" s="187">
        <f t="shared" si="26"/>
        <v>4435</v>
      </c>
      <c r="CU29" s="14">
        <v>51</v>
      </c>
      <c r="CV29" s="284" t="str">
        <f t="shared" si="27"/>
        <v>0</v>
      </c>
      <c r="CW29" s="284" t="str">
        <f t="shared" si="28"/>
        <v>0</v>
      </c>
      <c r="CX29" s="243">
        <f t="shared" si="29"/>
        <v>12.020519749203066</v>
      </c>
      <c r="CY29" s="216" t="str">
        <f t="shared" si="30"/>
        <v>0</v>
      </c>
      <c r="CZ29" s="216" t="str">
        <f t="shared" si="31"/>
        <v>0</v>
      </c>
      <c r="DA29" s="243">
        <f t="shared" si="32"/>
        <v>12.020519749203066</v>
      </c>
      <c r="DB29" s="291">
        <v>1</v>
      </c>
      <c r="DC29" s="291">
        <v>1</v>
      </c>
      <c r="DD29" s="291">
        <v>1</v>
      </c>
      <c r="DE29" s="291">
        <v>1</v>
      </c>
      <c r="DF29" s="291">
        <v>2</v>
      </c>
      <c r="DG29" s="291">
        <v>1</v>
      </c>
      <c r="DH29" s="291">
        <v>1</v>
      </c>
      <c r="DI29" s="291">
        <v>1</v>
      </c>
      <c r="DJ29" s="292">
        <v>1</v>
      </c>
      <c r="DK29" s="292">
        <v>71</v>
      </c>
      <c r="DL29" s="292">
        <f t="shared" si="33"/>
        <v>62</v>
      </c>
      <c r="DM29" s="292">
        <v>9</v>
      </c>
      <c r="DN29" s="292">
        <v>50</v>
      </c>
      <c r="DO29" s="292">
        <v>37</v>
      </c>
      <c r="DP29" s="292">
        <v>60</v>
      </c>
      <c r="DQ29" s="292">
        <v>64</v>
      </c>
      <c r="DR29" s="292">
        <v>37</v>
      </c>
      <c r="DS29" s="292">
        <v>59</v>
      </c>
      <c r="DT29" s="292">
        <v>65</v>
      </c>
      <c r="DU29" s="292">
        <v>7</v>
      </c>
      <c r="DV29" s="292">
        <v>6</v>
      </c>
      <c r="DW29" s="292">
        <v>2</v>
      </c>
      <c r="DX29" s="292">
        <v>11</v>
      </c>
      <c r="DY29" s="292">
        <v>6</v>
      </c>
      <c r="DZ29" s="292">
        <v>2</v>
      </c>
      <c r="EA29" s="292">
        <v>11</v>
      </c>
      <c r="EB29" s="292">
        <v>71</v>
      </c>
      <c r="EC29" s="292">
        <v>71</v>
      </c>
      <c r="ED29" s="342"/>
      <c r="EE29" s="342"/>
    </row>
    <row r="30" spans="1:135" x14ac:dyDescent="0.2">
      <c r="A30" s="10" t="s">
        <v>143</v>
      </c>
      <c r="B30" s="169">
        <v>24</v>
      </c>
      <c r="C30" s="12" t="s">
        <v>135</v>
      </c>
      <c r="D30" s="13">
        <v>1994</v>
      </c>
      <c r="E30" s="1"/>
      <c r="F30" s="2" t="s">
        <v>151</v>
      </c>
      <c r="G30" s="111">
        <v>1</v>
      </c>
      <c r="H30" s="1">
        <v>9</v>
      </c>
      <c r="I30" s="1" t="s">
        <v>22</v>
      </c>
      <c r="J30" s="122">
        <v>15699</v>
      </c>
      <c r="K30" s="122">
        <v>656</v>
      </c>
      <c r="L30" s="122"/>
      <c r="M30" s="122">
        <v>611.79999999999995</v>
      </c>
      <c r="N30" s="122">
        <v>53</v>
      </c>
      <c r="O30" s="122">
        <v>160</v>
      </c>
      <c r="P30" s="122">
        <v>54</v>
      </c>
      <c r="Q30" s="322">
        <v>119</v>
      </c>
      <c r="R30" s="179">
        <v>4068.25</v>
      </c>
      <c r="S30" s="121">
        <v>2524</v>
      </c>
      <c r="T30" s="122">
        <f t="shared" si="9"/>
        <v>41</v>
      </c>
      <c r="U30" s="180">
        <f t="shared" si="10"/>
        <v>3116.2</v>
      </c>
      <c r="V30" s="180">
        <f t="shared" si="11"/>
        <v>1925.1599999999999</v>
      </c>
      <c r="W30" s="122">
        <v>12</v>
      </c>
      <c r="X30" s="180">
        <v>952.05</v>
      </c>
      <c r="Y30" s="180">
        <v>598.84</v>
      </c>
      <c r="Z30" s="122"/>
      <c r="AA30" s="122"/>
      <c r="AB30" s="122"/>
      <c r="AC30" s="180">
        <f t="shared" si="12"/>
        <v>0</v>
      </c>
      <c r="AD30" s="179">
        <f t="shared" si="13"/>
        <v>0</v>
      </c>
      <c r="AE30" s="271"/>
      <c r="AF30" s="179"/>
      <c r="AG30" s="180"/>
      <c r="AH30" s="180"/>
      <c r="AI30" s="180">
        <f t="shared" si="14"/>
        <v>4068.25</v>
      </c>
      <c r="AJ30" s="122">
        <v>158</v>
      </c>
      <c r="AK30" s="122">
        <v>2</v>
      </c>
      <c r="AL30" s="122">
        <v>2</v>
      </c>
      <c r="AM30" s="122">
        <v>2</v>
      </c>
      <c r="AN30" s="122"/>
      <c r="AO30" s="122">
        <v>2</v>
      </c>
      <c r="AP30" s="122">
        <v>3018</v>
      </c>
      <c r="AQ30" s="180"/>
      <c r="AR30" s="122">
        <f>66+81+51+89</f>
        <v>287</v>
      </c>
      <c r="AS30" s="122">
        <v>236</v>
      </c>
      <c r="AT30" s="122">
        <v>64</v>
      </c>
      <c r="AU30" s="122">
        <f t="shared" si="0"/>
        <v>4435</v>
      </c>
      <c r="AV30" s="122"/>
      <c r="AW30" s="122">
        <v>4435</v>
      </c>
      <c r="AX30" s="122">
        <v>1616</v>
      </c>
      <c r="AY30" s="122">
        <v>124</v>
      </c>
      <c r="AZ30" s="122">
        <v>612</v>
      </c>
      <c r="BA30" s="122">
        <v>508</v>
      </c>
      <c r="BB30" s="122">
        <v>32</v>
      </c>
      <c r="BC30" s="122">
        <v>53</v>
      </c>
      <c r="BD30" s="122">
        <v>214</v>
      </c>
      <c r="BE30" s="122">
        <v>429</v>
      </c>
      <c r="BF30" s="122">
        <v>1</v>
      </c>
      <c r="BG30" s="122">
        <v>2305</v>
      </c>
      <c r="BH30" s="122">
        <v>944</v>
      </c>
      <c r="BI30" s="122">
        <v>294</v>
      </c>
      <c r="BJ30" s="115" t="str">
        <f t="shared" si="15"/>
        <v>0</v>
      </c>
      <c r="BK30" s="115" t="str">
        <f t="shared" si="16"/>
        <v>0</v>
      </c>
      <c r="BL30" s="115" t="str">
        <f t="shared" si="17"/>
        <v>0</v>
      </c>
      <c r="BM30" s="115">
        <f t="shared" si="18"/>
        <v>1</v>
      </c>
      <c r="BN30" s="115">
        <f t="shared" si="19"/>
        <v>4068.25</v>
      </c>
      <c r="BO30" s="115">
        <f t="shared" si="20"/>
        <v>2524</v>
      </c>
      <c r="BP30" s="115" t="str">
        <f t="shared" si="21"/>
        <v>0</v>
      </c>
      <c r="BQ30" s="115" t="str">
        <f t="shared" si="22"/>
        <v>0</v>
      </c>
      <c r="BR30" s="115" t="str">
        <f t="shared" si="23"/>
        <v>0</v>
      </c>
      <c r="BS30" s="115">
        <v>2</v>
      </c>
      <c r="BT30" s="115"/>
      <c r="BU30" s="115">
        <v>508</v>
      </c>
      <c r="BV30" s="115">
        <v>231</v>
      </c>
      <c r="BW30" s="115"/>
      <c r="BX30" s="115"/>
      <c r="BY30" s="253">
        <v>1076.5</v>
      </c>
      <c r="BZ30" s="253">
        <v>503.9</v>
      </c>
      <c r="CA30" s="343">
        <f>468.5-3.5*2+42.4</f>
        <v>503.9</v>
      </c>
      <c r="CB30" s="343">
        <f>3.5*2+17.8</f>
        <v>24.8</v>
      </c>
      <c r="CC30" s="344"/>
      <c r="CD30" s="350">
        <v>508.3</v>
      </c>
      <c r="CE30" s="343">
        <f>8+8.2</f>
        <v>16.2</v>
      </c>
      <c r="CF30" s="344"/>
      <c r="CG30" s="344">
        <v>11.8</v>
      </c>
      <c r="CH30" s="343">
        <f>7.4+4.1</f>
        <v>11.5</v>
      </c>
      <c r="CI30" s="347">
        <f t="shared" si="24"/>
        <v>1076.5</v>
      </c>
      <c r="CJ30" s="347">
        <f t="shared" si="1"/>
        <v>503.9</v>
      </c>
      <c r="CK30" s="348">
        <v>612</v>
      </c>
      <c r="CL30" s="349">
        <f t="shared" si="2"/>
        <v>1688.5</v>
      </c>
      <c r="CM30" s="188">
        <v>1651</v>
      </c>
      <c r="CN30" s="188">
        <f t="shared" si="3"/>
        <v>995</v>
      </c>
      <c r="CO30" s="186" t="str">
        <f t="shared" si="4"/>
        <v>0</v>
      </c>
      <c r="CP30" s="187">
        <f t="shared" si="5"/>
        <v>0</v>
      </c>
      <c r="CQ30" s="186">
        <f t="shared" si="34"/>
        <v>1</v>
      </c>
      <c r="CR30" s="187">
        <f t="shared" si="7"/>
        <v>4435</v>
      </c>
      <c r="CS30" s="187">
        <f t="shared" si="25"/>
        <v>1</v>
      </c>
      <c r="CT30" s="187">
        <f t="shared" si="26"/>
        <v>4435</v>
      </c>
      <c r="CU30" s="14">
        <v>54</v>
      </c>
      <c r="CV30" s="284" t="str">
        <f t="shared" si="27"/>
        <v>0</v>
      </c>
      <c r="CW30" s="284" t="str">
        <f t="shared" si="28"/>
        <v>0</v>
      </c>
      <c r="CX30" s="243">
        <f t="shared" si="29"/>
        <v>23.401954157192893</v>
      </c>
      <c r="CY30" s="216" t="str">
        <f t="shared" si="30"/>
        <v>0</v>
      </c>
      <c r="CZ30" s="216" t="str">
        <f t="shared" si="31"/>
        <v>0</v>
      </c>
      <c r="DA30" s="243">
        <f t="shared" si="32"/>
        <v>23.401954157192893</v>
      </c>
      <c r="DB30" s="291">
        <v>1</v>
      </c>
      <c r="DC30" s="291">
        <v>1</v>
      </c>
      <c r="DD30" s="291">
        <v>1</v>
      </c>
      <c r="DE30" s="291">
        <v>1</v>
      </c>
      <c r="DF30" s="291">
        <v>2</v>
      </c>
      <c r="DG30" s="291">
        <v>1</v>
      </c>
      <c r="DH30" s="291">
        <v>1</v>
      </c>
      <c r="DI30" s="291">
        <v>1</v>
      </c>
      <c r="DJ30" s="292">
        <v>1</v>
      </c>
      <c r="DK30" s="292">
        <v>53</v>
      </c>
      <c r="DL30" s="292">
        <f t="shared" si="33"/>
        <v>41</v>
      </c>
      <c r="DM30" s="292">
        <v>12</v>
      </c>
      <c r="DN30" s="292">
        <v>34</v>
      </c>
      <c r="DO30" s="292">
        <v>28</v>
      </c>
      <c r="DP30" s="292">
        <v>50</v>
      </c>
      <c r="DQ30" s="292">
        <v>56</v>
      </c>
      <c r="DR30" s="292">
        <v>28</v>
      </c>
      <c r="DS30" s="292">
        <v>50</v>
      </c>
      <c r="DT30" s="292">
        <v>56</v>
      </c>
      <c r="DU30" s="292">
        <v>6</v>
      </c>
      <c r="DV30" s="292">
        <v>7</v>
      </c>
      <c r="DW30" s="292">
        <v>0</v>
      </c>
      <c r="DX30" s="292">
        <v>14</v>
      </c>
      <c r="DY30" s="292">
        <v>7</v>
      </c>
      <c r="DZ30" s="292">
        <v>0</v>
      </c>
      <c r="EA30" s="292">
        <v>14</v>
      </c>
      <c r="EB30" s="292">
        <v>53</v>
      </c>
      <c r="EC30" s="292">
        <v>53</v>
      </c>
      <c r="ED30" s="342"/>
      <c r="EE30" s="342"/>
    </row>
    <row r="31" spans="1:135" x14ac:dyDescent="0.2">
      <c r="A31" s="10" t="s">
        <v>143</v>
      </c>
      <c r="B31" s="169">
        <v>25</v>
      </c>
      <c r="C31" s="12" t="s">
        <v>136</v>
      </c>
      <c r="D31" s="13">
        <v>1993</v>
      </c>
      <c r="E31" s="1"/>
      <c r="F31" s="2" t="s">
        <v>24</v>
      </c>
      <c r="G31" s="111">
        <v>1</v>
      </c>
      <c r="H31" s="1">
        <v>9</v>
      </c>
      <c r="I31" s="1" t="s">
        <v>22</v>
      </c>
      <c r="J31" s="122">
        <v>10281</v>
      </c>
      <c r="K31" s="122">
        <v>396</v>
      </c>
      <c r="L31" s="122"/>
      <c r="M31" s="122">
        <v>375.2</v>
      </c>
      <c r="N31" s="122">
        <v>35</v>
      </c>
      <c r="O31" s="122">
        <v>106</v>
      </c>
      <c r="P31" s="122">
        <v>35</v>
      </c>
      <c r="Q31" s="322">
        <v>96</v>
      </c>
      <c r="R31" s="179">
        <v>2336.44</v>
      </c>
      <c r="S31" s="121">
        <v>1512</v>
      </c>
      <c r="T31" s="122">
        <f t="shared" si="9"/>
        <v>30</v>
      </c>
      <c r="U31" s="180">
        <f t="shared" si="10"/>
        <v>2009.24</v>
      </c>
      <c r="V31" s="180">
        <f t="shared" si="11"/>
        <v>1295.26</v>
      </c>
      <c r="W31" s="122">
        <v>5</v>
      </c>
      <c r="X31" s="180">
        <v>327.2</v>
      </c>
      <c r="Y31" s="180">
        <v>216.74</v>
      </c>
      <c r="Z31" s="122"/>
      <c r="AA31" s="122"/>
      <c r="AB31" s="122"/>
      <c r="AC31" s="180">
        <f t="shared" si="12"/>
        <v>0</v>
      </c>
      <c r="AD31" s="179">
        <f t="shared" si="13"/>
        <v>0</v>
      </c>
      <c r="AE31" s="271"/>
      <c r="AF31" s="179"/>
      <c r="AG31" s="180"/>
      <c r="AH31" s="180"/>
      <c r="AI31" s="180">
        <f t="shared" si="14"/>
        <v>2336.44</v>
      </c>
      <c r="AJ31" s="122">
        <v>97</v>
      </c>
      <c r="AK31" s="122">
        <v>1</v>
      </c>
      <c r="AL31" s="122">
        <v>1</v>
      </c>
      <c r="AM31" s="122">
        <v>1</v>
      </c>
      <c r="AN31" s="122"/>
      <c r="AO31" s="122">
        <v>1</v>
      </c>
      <c r="AP31" s="122">
        <v>2301</v>
      </c>
      <c r="AQ31" s="180"/>
      <c r="AR31" s="122">
        <f>103+97+52+80</f>
        <v>332</v>
      </c>
      <c r="AS31" s="122">
        <v>168</v>
      </c>
      <c r="AT31" s="122">
        <v>72</v>
      </c>
      <c r="AU31" s="122">
        <f t="shared" si="0"/>
        <v>2792</v>
      </c>
      <c r="AV31" s="122"/>
      <c r="AW31" s="122">
        <v>2792</v>
      </c>
      <c r="AX31" s="122">
        <v>1187</v>
      </c>
      <c r="AY31" s="122">
        <v>88</v>
      </c>
      <c r="AZ31" s="122">
        <v>375</v>
      </c>
      <c r="BA31" s="122">
        <v>309</v>
      </c>
      <c r="BB31" s="122">
        <v>16</v>
      </c>
      <c r="BC31" s="122">
        <v>19</v>
      </c>
      <c r="BD31" s="122">
        <v>142</v>
      </c>
      <c r="BE31" s="122">
        <v>301</v>
      </c>
      <c r="BF31" s="122">
        <v>1</v>
      </c>
      <c r="BG31" s="122">
        <v>1790</v>
      </c>
      <c r="BH31" s="122">
        <v>472</v>
      </c>
      <c r="BI31" s="122">
        <v>132</v>
      </c>
      <c r="BJ31" s="115" t="str">
        <f t="shared" si="15"/>
        <v>0</v>
      </c>
      <c r="BK31" s="115" t="str">
        <f t="shared" si="16"/>
        <v>0</v>
      </c>
      <c r="BL31" s="115" t="str">
        <f t="shared" si="17"/>
        <v>0</v>
      </c>
      <c r="BM31" s="115">
        <f t="shared" si="18"/>
        <v>1</v>
      </c>
      <c r="BN31" s="115">
        <f t="shared" si="19"/>
        <v>2336.44</v>
      </c>
      <c r="BO31" s="115">
        <f t="shared" si="20"/>
        <v>1512</v>
      </c>
      <c r="BP31" s="115" t="str">
        <f t="shared" si="21"/>
        <v>0</v>
      </c>
      <c r="BQ31" s="115" t="str">
        <f t="shared" si="22"/>
        <v>0</v>
      </c>
      <c r="BR31" s="115" t="str">
        <f t="shared" si="23"/>
        <v>0</v>
      </c>
      <c r="BS31" s="115"/>
      <c r="BT31" s="115">
        <v>1</v>
      </c>
      <c r="BU31" s="115">
        <v>309</v>
      </c>
      <c r="BV31" s="115">
        <v>18</v>
      </c>
      <c r="BW31" s="115"/>
      <c r="BX31" s="115"/>
      <c r="BY31" s="253">
        <v>742.29999999999984</v>
      </c>
      <c r="BZ31" s="253">
        <v>380.7</v>
      </c>
      <c r="CA31" s="343">
        <f>152.7+228</f>
        <v>380.7</v>
      </c>
      <c r="CB31" s="343">
        <f>3.5+8.3</f>
        <v>11.8</v>
      </c>
      <c r="CC31" s="344"/>
      <c r="CD31" s="350">
        <v>308.8</v>
      </c>
      <c r="CE31" s="344">
        <v>24.3</v>
      </c>
      <c r="CF31" s="344"/>
      <c r="CG31" s="344">
        <v>4.8</v>
      </c>
      <c r="CH31" s="346">
        <v>11.9</v>
      </c>
      <c r="CI31" s="347">
        <f t="shared" si="24"/>
        <v>742.3</v>
      </c>
      <c r="CJ31" s="347">
        <f t="shared" si="1"/>
        <v>380.7</v>
      </c>
      <c r="CK31" s="348">
        <v>375</v>
      </c>
      <c r="CL31" s="349">
        <f t="shared" si="2"/>
        <v>1117.3</v>
      </c>
      <c r="CM31" s="188">
        <v>1063</v>
      </c>
      <c r="CN31" s="188">
        <f t="shared" si="3"/>
        <v>667</v>
      </c>
      <c r="CO31" s="186" t="str">
        <f t="shared" si="4"/>
        <v>0</v>
      </c>
      <c r="CP31" s="187">
        <f t="shared" si="5"/>
        <v>0</v>
      </c>
      <c r="CQ31" s="186">
        <f t="shared" si="34"/>
        <v>1</v>
      </c>
      <c r="CR31" s="187">
        <f t="shared" si="7"/>
        <v>2792</v>
      </c>
      <c r="CS31" s="187">
        <f t="shared" si="25"/>
        <v>1</v>
      </c>
      <c r="CT31" s="187">
        <f t="shared" si="26"/>
        <v>2792</v>
      </c>
      <c r="CU31" s="14">
        <v>53</v>
      </c>
      <c r="CV31" s="284" t="str">
        <f t="shared" si="27"/>
        <v>0</v>
      </c>
      <c r="CW31" s="284" t="str">
        <f t="shared" si="28"/>
        <v>0</v>
      </c>
      <c r="CX31" s="243">
        <f t="shared" si="29"/>
        <v>14.004211535498451</v>
      </c>
      <c r="CY31" s="216" t="str">
        <f t="shared" si="30"/>
        <v>0</v>
      </c>
      <c r="CZ31" s="216" t="str">
        <f t="shared" si="31"/>
        <v>0</v>
      </c>
      <c r="DA31" s="243">
        <f t="shared" si="32"/>
        <v>14.004211535498451</v>
      </c>
      <c r="DB31" s="291">
        <v>1</v>
      </c>
      <c r="DC31" s="291">
        <v>1</v>
      </c>
      <c r="DD31" s="291">
        <v>1</v>
      </c>
      <c r="DE31" s="291">
        <v>1</v>
      </c>
      <c r="DF31" s="291">
        <v>2</v>
      </c>
      <c r="DG31" s="291">
        <v>1</v>
      </c>
      <c r="DH31" s="291">
        <v>1</v>
      </c>
      <c r="DI31" s="291">
        <v>1</v>
      </c>
      <c r="DJ31" s="292">
        <v>1</v>
      </c>
      <c r="DK31" s="292">
        <v>35</v>
      </c>
      <c r="DL31" s="292">
        <f>DK31-DM31</f>
        <v>31</v>
      </c>
      <c r="DM31" s="292">
        <v>4</v>
      </c>
      <c r="DN31" s="292">
        <v>29</v>
      </c>
      <c r="DO31" s="292">
        <v>23</v>
      </c>
      <c r="DP31" s="292">
        <v>12</v>
      </c>
      <c r="DQ31" s="292">
        <v>23</v>
      </c>
      <c r="DR31" s="292">
        <v>23</v>
      </c>
      <c r="DS31" s="292">
        <v>12</v>
      </c>
      <c r="DT31" s="292">
        <v>23</v>
      </c>
      <c r="DU31" s="292">
        <v>3</v>
      </c>
      <c r="DV31" s="292">
        <v>3</v>
      </c>
      <c r="DW31" s="292">
        <v>0</v>
      </c>
      <c r="DX31" s="292">
        <v>3</v>
      </c>
      <c r="DY31" s="292">
        <v>3</v>
      </c>
      <c r="DZ31" s="292">
        <v>0</v>
      </c>
      <c r="EA31" s="292">
        <v>3</v>
      </c>
      <c r="EB31" s="292">
        <v>35</v>
      </c>
      <c r="EC31" s="292">
        <v>35</v>
      </c>
      <c r="ED31" s="342"/>
      <c r="EE31" s="342"/>
    </row>
    <row r="32" spans="1:135" x14ac:dyDescent="0.2">
      <c r="A32" s="10" t="s">
        <v>143</v>
      </c>
      <c r="B32" s="169">
        <v>26</v>
      </c>
      <c r="C32" s="12" t="s">
        <v>137</v>
      </c>
      <c r="D32" s="13">
        <v>1993</v>
      </c>
      <c r="E32" s="1"/>
      <c r="F32" s="2" t="s">
        <v>24</v>
      </c>
      <c r="G32" s="111">
        <v>1</v>
      </c>
      <c r="H32" s="1">
        <v>9</v>
      </c>
      <c r="I32" s="1" t="s">
        <v>22</v>
      </c>
      <c r="J32" s="122">
        <v>19702</v>
      </c>
      <c r="K32" s="122">
        <v>763</v>
      </c>
      <c r="L32" s="122"/>
      <c r="M32" s="122">
        <v>722.5</v>
      </c>
      <c r="N32" s="122">
        <v>69</v>
      </c>
      <c r="O32" s="122">
        <v>191</v>
      </c>
      <c r="P32" s="122">
        <v>69</v>
      </c>
      <c r="Q32" s="322">
        <v>178</v>
      </c>
      <c r="R32" s="179">
        <v>4472.5</v>
      </c>
      <c r="S32" s="121">
        <v>2857.7</v>
      </c>
      <c r="T32" s="122">
        <f t="shared" si="9"/>
        <v>58</v>
      </c>
      <c r="U32" s="180">
        <f t="shared" si="10"/>
        <v>3768</v>
      </c>
      <c r="V32" s="180">
        <f t="shared" si="11"/>
        <v>2366.2199999999998</v>
      </c>
      <c r="W32" s="122">
        <v>11</v>
      </c>
      <c r="X32" s="180">
        <v>704.5</v>
      </c>
      <c r="Y32" s="180">
        <v>491.48</v>
      </c>
      <c r="Z32" s="122"/>
      <c r="AA32" s="122"/>
      <c r="AB32" s="122"/>
      <c r="AC32" s="180">
        <f t="shared" si="12"/>
        <v>73.3</v>
      </c>
      <c r="AD32" s="179">
        <f t="shared" si="13"/>
        <v>73.3</v>
      </c>
      <c r="AE32" s="271"/>
      <c r="AF32" s="179">
        <v>73.3</v>
      </c>
      <c r="AG32" s="180"/>
      <c r="AH32" s="180"/>
      <c r="AI32" s="180">
        <f t="shared" si="14"/>
        <v>4545.8</v>
      </c>
      <c r="AJ32" s="122">
        <v>175</v>
      </c>
      <c r="AK32" s="122">
        <v>2</v>
      </c>
      <c r="AL32" s="122">
        <v>2</v>
      </c>
      <c r="AM32" s="122">
        <v>2</v>
      </c>
      <c r="AN32" s="122"/>
      <c r="AO32" s="122">
        <v>2</v>
      </c>
      <c r="AP32" s="122">
        <v>3683</v>
      </c>
      <c r="AQ32" s="180"/>
      <c r="AR32" s="122">
        <f>143+145+69+92</f>
        <v>449</v>
      </c>
      <c r="AS32" s="122">
        <v>270</v>
      </c>
      <c r="AT32" s="122">
        <v>144</v>
      </c>
      <c r="AU32" s="122">
        <f t="shared" si="0"/>
        <v>5523</v>
      </c>
      <c r="AV32" s="122"/>
      <c r="AW32" s="122">
        <v>5523</v>
      </c>
      <c r="AX32" s="122">
        <v>1678</v>
      </c>
      <c r="AY32" s="122">
        <v>167</v>
      </c>
      <c r="AZ32" s="122">
        <v>737</v>
      </c>
      <c r="BA32" s="122">
        <v>593</v>
      </c>
      <c r="BB32" s="122">
        <v>32</v>
      </c>
      <c r="BC32" s="122">
        <v>37</v>
      </c>
      <c r="BD32" s="122">
        <v>268</v>
      </c>
      <c r="BE32" s="122">
        <v>580</v>
      </c>
      <c r="BF32" s="122">
        <v>1</v>
      </c>
      <c r="BG32" s="122">
        <v>2847</v>
      </c>
      <c r="BH32" s="122">
        <v>944</v>
      </c>
      <c r="BI32" s="122">
        <v>294</v>
      </c>
      <c r="BJ32" s="115" t="str">
        <f t="shared" si="15"/>
        <v>0</v>
      </c>
      <c r="BK32" s="115" t="str">
        <f t="shared" si="16"/>
        <v>0</v>
      </c>
      <c r="BL32" s="115" t="str">
        <f t="shared" si="17"/>
        <v>0</v>
      </c>
      <c r="BM32" s="115">
        <f t="shared" si="18"/>
        <v>1</v>
      </c>
      <c r="BN32" s="115">
        <f t="shared" si="19"/>
        <v>4472.5</v>
      </c>
      <c r="BO32" s="115">
        <f t="shared" si="20"/>
        <v>2857.7</v>
      </c>
      <c r="BP32" s="115" t="str">
        <f t="shared" si="21"/>
        <v>0</v>
      </c>
      <c r="BQ32" s="115" t="str">
        <f t="shared" si="22"/>
        <v>0</v>
      </c>
      <c r="BR32" s="115" t="str">
        <f t="shared" si="23"/>
        <v>0</v>
      </c>
      <c r="BS32" s="115"/>
      <c r="BT32" s="115">
        <v>2</v>
      </c>
      <c r="BU32" s="115">
        <v>593</v>
      </c>
      <c r="BV32" s="115">
        <v>36</v>
      </c>
      <c r="BW32" s="115"/>
      <c r="BX32" s="115"/>
      <c r="BY32" s="253">
        <v>1468.9</v>
      </c>
      <c r="BZ32" s="253">
        <v>783.1</v>
      </c>
      <c r="CA32" s="343">
        <f>316.7-3.5*2+473.4</f>
        <v>783.09999999999991</v>
      </c>
      <c r="CB32" s="343">
        <f>3.5*2+13</f>
        <v>20</v>
      </c>
      <c r="CC32" s="344"/>
      <c r="CD32" s="350">
        <v>593.4</v>
      </c>
      <c r="CE32" s="343">
        <f>12.1+17.4</f>
        <v>29.5</v>
      </c>
      <c r="CF32" s="344"/>
      <c r="CG32" s="344">
        <v>10.199999999999999</v>
      </c>
      <c r="CH32" s="346">
        <v>32.700000000000003</v>
      </c>
      <c r="CI32" s="347">
        <f t="shared" si="24"/>
        <v>1468.8999999999999</v>
      </c>
      <c r="CJ32" s="347">
        <f t="shared" si="1"/>
        <v>783.09999999999991</v>
      </c>
      <c r="CK32" s="348">
        <v>737</v>
      </c>
      <c r="CL32" s="349">
        <f t="shared" si="2"/>
        <v>2205.8999999999996</v>
      </c>
      <c r="CM32" s="188">
        <v>1577</v>
      </c>
      <c r="CN32" s="188">
        <f t="shared" si="3"/>
        <v>814</v>
      </c>
      <c r="CO32" s="186" t="str">
        <f t="shared" si="4"/>
        <v>0</v>
      </c>
      <c r="CP32" s="187">
        <f t="shared" si="5"/>
        <v>0</v>
      </c>
      <c r="CQ32" s="186">
        <f t="shared" si="34"/>
        <v>1</v>
      </c>
      <c r="CR32" s="187">
        <f t="shared" si="7"/>
        <v>5523</v>
      </c>
      <c r="CS32" s="187">
        <f t="shared" si="25"/>
        <v>1</v>
      </c>
      <c r="CT32" s="187">
        <f t="shared" si="26"/>
        <v>5523</v>
      </c>
      <c r="CU32" s="14">
        <v>56</v>
      </c>
      <c r="CV32" s="284" t="str">
        <f t="shared" si="27"/>
        <v>0</v>
      </c>
      <c r="CW32" s="284" t="str">
        <f t="shared" si="28"/>
        <v>0</v>
      </c>
      <c r="CX32" s="243">
        <f t="shared" si="29"/>
        <v>15.751816657350476</v>
      </c>
      <c r="CY32" s="216" t="str">
        <f t="shared" si="30"/>
        <v>0</v>
      </c>
      <c r="CZ32" s="216" t="str">
        <f t="shared" si="31"/>
        <v>0</v>
      </c>
      <c r="DA32" s="243">
        <f t="shared" si="32"/>
        <v>17.110299617229089</v>
      </c>
      <c r="DB32" s="291">
        <v>1</v>
      </c>
      <c r="DC32" s="291">
        <v>1</v>
      </c>
      <c r="DD32" s="291">
        <v>1</v>
      </c>
      <c r="DE32" s="291">
        <v>1</v>
      </c>
      <c r="DF32" s="291">
        <v>2</v>
      </c>
      <c r="DG32" s="291">
        <v>1</v>
      </c>
      <c r="DH32" s="291">
        <v>1</v>
      </c>
      <c r="DI32" s="291">
        <v>1</v>
      </c>
      <c r="DJ32" s="292">
        <v>1</v>
      </c>
      <c r="DK32" s="292">
        <v>69</v>
      </c>
      <c r="DL32" s="292">
        <f t="shared" si="33"/>
        <v>60</v>
      </c>
      <c r="DM32" s="292">
        <v>9</v>
      </c>
      <c r="DN32" s="292">
        <v>56</v>
      </c>
      <c r="DO32" s="292">
        <v>40</v>
      </c>
      <c r="DP32" s="292">
        <v>39</v>
      </c>
      <c r="DQ32" s="292">
        <v>48</v>
      </c>
      <c r="DR32" s="292">
        <v>42</v>
      </c>
      <c r="DS32" s="292">
        <v>36</v>
      </c>
      <c r="DT32" s="292">
        <v>51</v>
      </c>
      <c r="DU32" s="292">
        <v>5</v>
      </c>
      <c r="DV32" s="292">
        <v>4</v>
      </c>
      <c r="DW32" s="292">
        <v>3</v>
      </c>
      <c r="DX32" s="292">
        <v>6</v>
      </c>
      <c r="DY32" s="292">
        <v>4</v>
      </c>
      <c r="DZ32" s="292">
        <v>3</v>
      </c>
      <c r="EA32" s="292">
        <v>6</v>
      </c>
      <c r="EB32" s="292">
        <v>69</v>
      </c>
      <c r="EC32" s="292">
        <v>69</v>
      </c>
      <c r="ED32" s="342"/>
      <c r="EE32" s="342"/>
    </row>
    <row r="33" spans="1:135" x14ac:dyDescent="0.2">
      <c r="A33" s="10" t="s">
        <v>143</v>
      </c>
      <c r="B33" s="169">
        <v>27</v>
      </c>
      <c r="C33" s="12" t="s">
        <v>138</v>
      </c>
      <c r="D33" s="13">
        <v>1993</v>
      </c>
      <c r="E33" s="1"/>
      <c r="F33" s="2" t="s">
        <v>24</v>
      </c>
      <c r="G33" s="111">
        <v>1</v>
      </c>
      <c r="H33" s="1">
        <v>9</v>
      </c>
      <c r="I33" s="1" t="s">
        <v>22</v>
      </c>
      <c r="J33" s="122">
        <v>10210</v>
      </c>
      <c r="K33" s="122">
        <v>399</v>
      </c>
      <c r="L33" s="122"/>
      <c r="M33" s="122">
        <v>372.9</v>
      </c>
      <c r="N33" s="122">
        <v>35</v>
      </c>
      <c r="O33" s="122">
        <v>106</v>
      </c>
      <c r="P33" s="122">
        <v>37</v>
      </c>
      <c r="Q33" s="322">
        <v>104</v>
      </c>
      <c r="R33" s="179">
        <v>2378.8000000000002</v>
      </c>
      <c r="S33" s="121">
        <v>1530</v>
      </c>
      <c r="T33" s="122">
        <f t="shared" si="9"/>
        <v>28</v>
      </c>
      <c r="U33" s="180">
        <f t="shared" si="10"/>
        <v>1859.2200000000003</v>
      </c>
      <c r="V33" s="180">
        <f t="shared" si="11"/>
        <v>1192.2</v>
      </c>
      <c r="W33" s="122">
        <v>7</v>
      </c>
      <c r="X33" s="180">
        <v>519.58000000000004</v>
      </c>
      <c r="Y33" s="180">
        <v>337.8</v>
      </c>
      <c r="Z33" s="122"/>
      <c r="AA33" s="122"/>
      <c r="AB33" s="122"/>
      <c r="AC33" s="180">
        <f t="shared" si="12"/>
        <v>0</v>
      </c>
      <c r="AD33" s="179">
        <f t="shared" si="13"/>
        <v>0</v>
      </c>
      <c r="AE33" s="271"/>
      <c r="AF33" s="179"/>
      <c r="AG33" s="180"/>
      <c r="AH33" s="180"/>
      <c r="AI33" s="180">
        <f t="shared" si="14"/>
        <v>2378.8000000000002</v>
      </c>
      <c r="AJ33" s="122">
        <v>96</v>
      </c>
      <c r="AK33" s="122">
        <v>1</v>
      </c>
      <c r="AL33" s="122">
        <v>1</v>
      </c>
      <c r="AM33" s="122">
        <v>1</v>
      </c>
      <c r="AN33" s="122"/>
      <c r="AO33" s="122">
        <v>1</v>
      </c>
      <c r="AP33" s="122">
        <v>2302</v>
      </c>
      <c r="AQ33" s="180"/>
      <c r="AR33" s="122">
        <f>55+54+29+32</f>
        <v>170</v>
      </c>
      <c r="AS33" s="122">
        <v>168</v>
      </c>
      <c r="AT33" s="122">
        <v>72</v>
      </c>
      <c r="AU33" s="122">
        <f t="shared" si="0"/>
        <v>2792</v>
      </c>
      <c r="AV33" s="122"/>
      <c r="AW33" s="122">
        <v>2792</v>
      </c>
      <c r="AX33" s="122">
        <v>1187</v>
      </c>
      <c r="AY33" s="122">
        <v>91</v>
      </c>
      <c r="AZ33" s="122">
        <v>373</v>
      </c>
      <c r="BA33" s="122">
        <v>311</v>
      </c>
      <c r="BB33" s="122">
        <v>16</v>
      </c>
      <c r="BC33" s="122">
        <v>19</v>
      </c>
      <c r="BD33" s="122">
        <v>142</v>
      </c>
      <c r="BE33" s="122">
        <v>301</v>
      </c>
      <c r="BF33" s="122">
        <v>1</v>
      </c>
      <c r="BG33" s="122">
        <v>1555</v>
      </c>
      <c r="BH33" s="122">
        <v>472</v>
      </c>
      <c r="BI33" s="122">
        <v>132</v>
      </c>
      <c r="BJ33" s="115" t="str">
        <f t="shared" si="15"/>
        <v>0</v>
      </c>
      <c r="BK33" s="115" t="str">
        <f t="shared" si="16"/>
        <v>0</v>
      </c>
      <c r="BL33" s="115" t="str">
        <f t="shared" si="17"/>
        <v>0</v>
      </c>
      <c r="BM33" s="115">
        <f t="shared" si="18"/>
        <v>1</v>
      </c>
      <c r="BN33" s="115">
        <f t="shared" si="19"/>
        <v>2378.8000000000002</v>
      </c>
      <c r="BO33" s="115">
        <f t="shared" si="20"/>
        <v>1530</v>
      </c>
      <c r="BP33" s="115" t="str">
        <f t="shared" si="21"/>
        <v>0</v>
      </c>
      <c r="BQ33" s="115" t="str">
        <f t="shared" si="22"/>
        <v>0</v>
      </c>
      <c r="BR33" s="115" t="str">
        <f t="shared" si="23"/>
        <v>0</v>
      </c>
      <c r="BS33" s="115"/>
      <c r="BT33" s="115">
        <v>1</v>
      </c>
      <c r="BU33" s="115">
        <v>311</v>
      </c>
      <c r="BV33" s="115">
        <v>18</v>
      </c>
      <c r="BW33" s="115"/>
      <c r="BX33" s="115"/>
      <c r="BY33" s="253">
        <v>752.19999999999993</v>
      </c>
      <c r="BZ33" s="253">
        <v>392.7</v>
      </c>
      <c r="CA33" s="343">
        <f>157.2+235.5</f>
        <v>392.7</v>
      </c>
      <c r="CB33" s="343">
        <f>3.6+7.5</f>
        <v>11.1</v>
      </c>
      <c r="CC33" s="344"/>
      <c r="CD33" s="350">
        <v>310.5</v>
      </c>
      <c r="CE33" s="344">
        <v>21.9</v>
      </c>
      <c r="CF33" s="344"/>
      <c r="CG33" s="344">
        <v>5.0999999999999996</v>
      </c>
      <c r="CH33" s="346">
        <v>10.9</v>
      </c>
      <c r="CI33" s="347">
        <f t="shared" si="24"/>
        <v>752.2</v>
      </c>
      <c r="CJ33" s="347">
        <f t="shared" si="1"/>
        <v>392.7</v>
      </c>
      <c r="CK33" s="348">
        <v>373</v>
      </c>
      <c r="CL33" s="349">
        <f t="shared" si="2"/>
        <v>1125.2</v>
      </c>
      <c r="CM33" s="188">
        <v>957</v>
      </c>
      <c r="CN33" s="188">
        <f t="shared" si="3"/>
        <v>558</v>
      </c>
      <c r="CO33" s="186" t="str">
        <f t="shared" si="4"/>
        <v>0</v>
      </c>
      <c r="CP33" s="187">
        <f t="shared" si="5"/>
        <v>0</v>
      </c>
      <c r="CQ33" s="186">
        <f t="shared" si="34"/>
        <v>1</v>
      </c>
      <c r="CR33" s="187">
        <f t="shared" si="7"/>
        <v>2792</v>
      </c>
      <c r="CS33" s="187">
        <f t="shared" si="25"/>
        <v>1</v>
      </c>
      <c r="CT33" s="187">
        <f t="shared" si="26"/>
        <v>2792</v>
      </c>
      <c r="CU33" s="14">
        <v>54</v>
      </c>
      <c r="CV33" s="284" t="str">
        <f t="shared" si="27"/>
        <v>0</v>
      </c>
      <c r="CW33" s="284" t="str">
        <f t="shared" si="28"/>
        <v>0</v>
      </c>
      <c r="CX33" s="243">
        <f t="shared" si="29"/>
        <v>21.842105263157897</v>
      </c>
      <c r="CY33" s="216" t="str">
        <f t="shared" si="30"/>
        <v>0</v>
      </c>
      <c r="CZ33" s="216" t="str">
        <f t="shared" si="31"/>
        <v>0</v>
      </c>
      <c r="DA33" s="243">
        <f t="shared" si="32"/>
        <v>21.842105263157897</v>
      </c>
      <c r="DB33" s="291">
        <v>1</v>
      </c>
      <c r="DC33" s="291">
        <v>1</v>
      </c>
      <c r="DD33" s="291">
        <v>1</v>
      </c>
      <c r="DE33" s="291">
        <v>1</v>
      </c>
      <c r="DF33" s="291">
        <v>2</v>
      </c>
      <c r="DG33" s="291">
        <v>1</v>
      </c>
      <c r="DH33" s="291">
        <v>1</v>
      </c>
      <c r="DI33" s="291">
        <v>1</v>
      </c>
      <c r="DJ33" s="292">
        <v>1</v>
      </c>
      <c r="DK33" s="292">
        <v>35</v>
      </c>
      <c r="DL33" s="292">
        <f t="shared" si="33"/>
        <v>28</v>
      </c>
      <c r="DM33" s="292">
        <v>7</v>
      </c>
      <c r="DN33" s="292">
        <v>21</v>
      </c>
      <c r="DO33" s="292">
        <v>21</v>
      </c>
      <c r="DP33" s="292">
        <v>14</v>
      </c>
      <c r="DQ33" s="292">
        <v>21</v>
      </c>
      <c r="DR33" s="292">
        <v>21</v>
      </c>
      <c r="DS33" s="292">
        <v>14</v>
      </c>
      <c r="DT33" s="292">
        <v>21</v>
      </c>
      <c r="DU33" s="292">
        <v>2</v>
      </c>
      <c r="DV33" s="292">
        <v>3</v>
      </c>
      <c r="DW33" s="292">
        <v>3</v>
      </c>
      <c r="DX33" s="292">
        <v>3</v>
      </c>
      <c r="DY33" s="292">
        <v>3</v>
      </c>
      <c r="DZ33" s="292">
        <v>3</v>
      </c>
      <c r="EA33" s="292">
        <v>3</v>
      </c>
      <c r="EB33" s="292">
        <v>35</v>
      </c>
      <c r="EC33" s="292">
        <v>35</v>
      </c>
      <c r="ED33" s="342"/>
      <c r="EE33" s="342"/>
    </row>
    <row r="34" spans="1:135" x14ac:dyDescent="0.2">
      <c r="A34" s="10" t="s">
        <v>143</v>
      </c>
      <c r="B34" s="169">
        <v>28</v>
      </c>
      <c r="C34" s="12" t="s">
        <v>139</v>
      </c>
      <c r="D34" s="13">
        <v>1996</v>
      </c>
      <c r="E34" s="1"/>
      <c r="F34" s="2" t="s">
        <v>24</v>
      </c>
      <c r="G34" s="111">
        <v>1</v>
      </c>
      <c r="H34" s="1">
        <v>9</v>
      </c>
      <c r="I34" s="1" t="s">
        <v>22</v>
      </c>
      <c r="J34" s="122">
        <v>38815</v>
      </c>
      <c r="K34" s="122">
        <v>1523</v>
      </c>
      <c r="L34" s="122"/>
      <c r="M34" s="122">
        <v>1429.1</v>
      </c>
      <c r="N34" s="122">
        <v>140</v>
      </c>
      <c r="O34" s="122">
        <v>374</v>
      </c>
      <c r="P34" s="122">
        <v>142</v>
      </c>
      <c r="Q34" s="322">
        <v>332</v>
      </c>
      <c r="R34" s="179">
        <v>9017.6</v>
      </c>
      <c r="S34" s="121">
        <v>5483.4</v>
      </c>
      <c r="T34" s="122">
        <f t="shared" si="9"/>
        <v>113</v>
      </c>
      <c r="U34" s="180">
        <f t="shared" si="10"/>
        <v>7108.8</v>
      </c>
      <c r="V34" s="180">
        <f t="shared" si="11"/>
        <v>4198.09</v>
      </c>
      <c r="W34" s="122">
        <v>27</v>
      </c>
      <c r="X34" s="180">
        <v>1908.8</v>
      </c>
      <c r="Y34" s="180">
        <v>1285.31</v>
      </c>
      <c r="Z34" s="122"/>
      <c r="AA34" s="122"/>
      <c r="AB34" s="122"/>
      <c r="AC34" s="180">
        <f t="shared" si="12"/>
        <v>17</v>
      </c>
      <c r="AD34" s="179">
        <f t="shared" si="13"/>
        <v>17</v>
      </c>
      <c r="AE34" s="271"/>
      <c r="AF34" s="179">
        <v>17</v>
      </c>
      <c r="AG34" s="180"/>
      <c r="AH34" s="180"/>
      <c r="AI34" s="180">
        <f t="shared" si="14"/>
        <v>9034.6</v>
      </c>
      <c r="AJ34" s="122">
        <v>253</v>
      </c>
      <c r="AK34" s="122">
        <v>4</v>
      </c>
      <c r="AL34" s="122">
        <v>4</v>
      </c>
      <c r="AM34" s="122">
        <v>4</v>
      </c>
      <c r="AN34" s="122"/>
      <c r="AO34" s="122">
        <v>4</v>
      </c>
      <c r="AP34" s="122">
        <v>6420</v>
      </c>
      <c r="AQ34" s="180"/>
      <c r="AR34" s="122">
        <f>140+140+70+160</f>
        <v>510</v>
      </c>
      <c r="AS34" s="122">
        <v>448</v>
      </c>
      <c r="AT34" s="122">
        <v>288</v>
      </c>
      <c r="AU34" s="122">
        <f t="shared" si="0"/>
        <v>11340</v>
      </c>
      <c r="AV34" s="122">
        <v>10248</v>
      </c>
      <c r="AW34" s="122">
        <v>1092</v>
      </c>
      <c r="AX34" s="122">
        <v>3356</v>
      </c>
      <c r="AY34" s="122">
        <v>331</v>
      </c>
      <c r="AZ34" s="122">
        <v>1429</v>
      </c>
      <c r="BA34" s="122">
        <v>1190</v>
      </c>
      <c r="BB34" s="122">
        <v>64</v>
      </c>
      <c r="BC34" s="122">
        <v>71</v>
      </c>
      <c r="BD34" s="122">
        <v>530</v>
      </c>
      <c r="BE34" s="122">
        <v>1147</v>
      </c>
      <c r="BF34" s="122">
        <v>1</v>
      </c>
      <c r="BG34" s="122">
        <v>6430</v>
      </c>
      <c r="BH34" s="122">
        <v>1888</v>
      </c>
      <c r="BI34" s="122">
        <v>648</v>
      </c>
      <c r="BJ34" s="115" t="str">
        <f t="shared" si="15"/>
        <v>0</v>
      </c>
      <c r="BK34" s="115" t="str">
        <f t="shared" si="16"/>
        <v>0</v>
      </c>
      <c r="BL34" s="115" t="str">
        <f t="shared" si="17"/>
        <v>0</v>
      </c>
      <c r="BM34" s="115">
        <f t="shared" si="18"/>
        <v>1</v>
      </c>
      <c r="BN34" s="115">
        <f t="shared" si="19"/>
        <v>9017.6</v>
      </c>
      <c r="BO34" s="115">
        <f t="shared" si="20"/>
        <v>5483.4</v>
      </c>
      <c r="BP34" s="115" t="str">
        <f t="shared" si="21"/>
        <v>0</v>
      </c>
      <c r="BQ34" s="115" t="str">
        <f t="shared" si="22"/>
        <v>0</v>
      </c>
      <c r="BR34" s="115" t="str">
        <f t="shared" si="23"/>
        <v>0</v>
      </c>
      <c r="BS34" s="115">
        <v>3</v>
      </c>
      <c r="BT34" s="115">
        <v>1</v>
      </c>
      <c r="BU34" s="115">
        <v>1190</v>
      </c>
      <c r="BV34" s="115">
        <v>88</v>
      </c>
      <c r="BW34" s="115"/>
      <c r="BX34" s="115"/>
      <c r="BY34" s="253">
        <v>2889.6000000000004</v>
      </c>
      <c r="BZ34" s="253">
        <v>1556.4</v>
      </c>
      <c r="CA34" s="343">
        <f>618.3+938.1</f>
        <v>1556.4</v>
      </c>
      <c r="CB34" s="343">
        <f>10.7+28</f>
        <v>38.700000000000003</v>
      </c>
      <c r="CC34" s="344"/>
      <c r="CD34" s="350">
        <v>1190</v>
      </c>
      <c r="CE34" s="343">
        <f>10+1.8+24.3+6.2+7.1</f>
        <v>49.400000000000006</v>
      </c>
      <c r="CF34" s="344"/>
      <c r="CG34" s="344">
        <v>18.399999999999999</v>
      </c>
      <c r="CH34" s="343">
        <f>2.8+8.8+8.1+17</f>
        <v>36.700000000000003</v>
      </c>
      <c r="CI34" s="347">
        <f t="shared" si="24"/>
        <v>2889.6000000000004</v>
      </c>
      <c r="CJ34" s="347">
        <f t="shared" si="1"/>
        <v>1556.4</v>
      </c>
      <c r="CK34" s="348">
        <v>1429</v>
      </c>
      <c r="CL34" s="349">
        <f t="shared" si="2"/>
        <v>4318.6000000000004</v>
      </c>
      <c r="CM34" s="188">
        <v>2513</v>
      </c>
      <c r="CN34" s="188">
        <f t="shared" si="3"/>
        <v>990</v>
      </c>
      <c r="CO34" s="186">
        <f t="shared" si="4"/>
        <v>1</v>
      </c>
      <c r="CP34" s="187">
        <f t="shared" si="5"/>
        <v>10248</v>
      </c>
      <c r="CQ34" s="186"/>
      <c r="CR34" s="187">
        <f t="shared" si="7"/>
        <v>1092</v>
      </c>
      <c r="CS34" s="187">
        <f t="shared" si="25"/>
        <v>1</v>
      </c>
      <c r="CT34" s="187">
        <f t="shared" si="26"/>
        <v>11340</v>
      </c>
      <c r="CU34" s="14">
        <v>51</v>
      </c>
      <c r="CV34" s="284" t="str">
        <f t="shared" si="27"/>
        <v>0</v>
      </c>
      <c r="CW34" s="284" t="str">
        <f t="shared" si="28"/>
        <v>0</v>
      </c>
      <c r="CX34" s="243">
        <f t="shared" si="29"/>
        <v>21.16749467707594</v>
      </c>
      <c r="CY34" s="216" t="str">
        <f t="shared" si="30"/>
        <v>0</v>
      </c>
      <c r="CZ34" s="216" t="str">
        <f t="shared" si="31"/>
        <v>0</v>
      </c>
      <c r="DA34" s="243">
        <f t="shared" si="32"/>
        <v>21.315830252584508</v>
      </c>
      <c r="DB34" s="291">
        <v>1</v>
      </c>
      <c r="DC34" s="291">
        <v>1</v>
      </c>
      <c r="DD34" s="291">
        <v>1</v>
      </c>
      <c r="DE34" s="291">
        <v>1</v>
      </c>
      <c r="DF34" s="291">
        <v>2</v>
      </c>
      <c r="DG34" s="291">
        <v>1</v>
      </c>
      <c r="DH34" s="291">
        <v>1</v>
      </c>
      <c r="DI34" s="291">
        <v>1</v>
      </c>
      <c r="DJ34" s="292">
        <v>1</v>
      </c>
      <c r="DK34" s="292">
        <v>140</v>
      </c>
      <c r="DL34" s="292">
        <f t="shared" si="33"/>
        <v>115</v>
      </c>
      <c r="DM34" s="292">
        <v>25</v>
      </c>
      <c r="DN34" s="292">
        <v>87</v>
      </c>
      <c r="DO34" s="292">
        <v>74</v>
      </c>
      <c r="DP34" s="292">
        <v>96</v>
      </c>
      <c r="DQ34" s="292">
        <v>106</v>
      </c>
      <c r="DR34" s="292">
        <v>76</v>
      </c>
      <c r="DS34" s="292">
        <v>94</v>
      </c>
      <c r="DT34" s="292">
        <v>108</v>
      </c>
      <c r="DU34" s="292">
        <v>11</v>
      </c>
      <c r="DV34" s="292">
        <v>11</v>
      </c>
      <c r="DW34" s="292">
        <v>15</v>
      </c>
      <c r="DX34" s="292">
        <v>14</v>
      </c>
      <c r="DY34" s="292">
        <v>11</v>
      </c>
      <c r="DZ34" s="292">
        <v>15</v>
      </c>
      <c r="EA34" s="292">
        <v>14</v>
      </c>
      <c r="EB34" s="292">
        <v>140</v>
      </c>
      <c r="EC34" s="292">
        <v>140</v>
      </c>
      <c r="ED34" s="342"/>
      <c r="EE34" s="342"/>
    </row>
    <row r="35" spans="1:135" x14ac:dyDescent="0.2">
      <c r="A35" s="10" t="s">
        <v>143</v>
      </c>
      <c r="B35" s="169">
        <v>29</v>
      </c>
      <c r="C35" s="12" t="s">
        <v>140</v>
      </c>
      <c r="D35" s="13">
        <v>1997</v>
      </c>
      <c r="E35" s="1"/>
      <c r="F35" s="2" t="s">
        <v>151</v>
      </c>
      <c r="G35" s="111">
        <v>1</v>
      </c>
      <c r="H35" s="1">
        <v>9</v>
      </c>
      <c r="I35" s="1" t="s">
        <v>22</v>
      </c>
      <c r="J35" s="122">
        <v>8899</v>
      </c>
      <c r="K35" s="122">
        <v>377</v>
      </c>
      <c r="L35" s="122"/>
      <c r="M35" s="122">
        <v>352.02</v>
      </c>
      <c r="N35" s="122">
        <v>35</v>
      </c>
      <c r="O35" s="122">
        <v>89</v>
      </c>
      <c r="P35" s="122">
        <v>35</v>
      </c>
      <c r="Q35" s="322">
        <v>63</v>
      </c>
      <c r="R35" s="179">
        <v>2356.48</v>
      </c>
      <c r="S35" s="121">
        <v>1337.5</v>
      </c>
      <c r="T35" s="122">
        <f t="shared" si="9"/>
        <v>26</v>
      </c>
      <c r="U35" s="180">
        <f t="shared" si="10"/>
        <v>1751.97</v>
      </c>
      <c r="V35" s="180">
        <f t="shared" si="11"/>
        <v>992.7</v>
      </c>
      <c r="W35" s="122">
        <v>9</v>
      </c>
      <c r="X35" s="180">
        <v>604.51</v>
      </c>
      <c r="Y35" s="180">
        <v>344.8</v>
      </c>
      <c r="Z35" s="122"/>
      <c r="AA35" s="122"/>
      <c r="AB35" s="122"/>
      <c r="AC35" s="180">
        <f t="shared" si="12"/>
        <v>0</v>
      </c>
      <c r="AD35" s="179">
        <f t="shared" si="13"/>
        <v>0</v>
      </c>
      <c r="AE35" s="271"/>
      <c r="AF35" s="179"/>
      <c r="AG35" s="180"/>
      <c r="AH35" s="180"/>
      <c r="AI35" s="180">
        <f t="shared" si="14"/>
        <v>2356.48</v>
      </c>
      <c r="AJ35" s="122">
        <v>89</v>
      </c>
      <c r="AK35" s="122">
        <v>1</v>
      </c>
      <c r="AL35" s="122">
        <v>1</v>
      </c>
      <c r="AM35" s="122">
        <v>1</v>
      </c>
      <c r="AN35" s="122"/>
      <c r="AO35" s="122">
        <v>1</v>
      </c>
      <c r="AP35" s="122">
        <v>2052</v>
      </c>
      <c r="AQ35" s="316">
        <v>30.88</v>
      </c>
      <c r="AR35" s="122">
        <f>93+93+67+70</f>
        <v>323</v>
      </c>
      <c r="AS35" s="122">
        <v>162</v>
      </c>
      <c r="AT35" s="122">
        <v>32</v>
      </c>
      <c r="AU35" s="122">
        <f t="shared" si="0"/>
        <v>2218</v>
      </c>
      <c r="AV35" s="122">
        <v>1883</v>
      </c>
      <c r="AW35" s="158">
        <v>335</v>
      </c>
      <c r="AX35" s="122">
        <v>808</v>
      </c>
      <c r="AY35" s="122">
        <v>78</v>
      </c>
      <c r="AZ35" s="122">
        <v>352</v>
      </c>
      <c r="BA35" s="122">
        <v>297</v>
      </c>
      <c r="BB35" s="122">
        <v>16</v>
      </c>
      <c r="BC35" s="122">
        <v>26</v>
      </c>
      <c r="BD35" s="122">
        <v>124</v>
      </c>
      <c r="BE35" s="122">
        <v>281</v>
      </c>
      <c r="BF35" s="122">
        <v>1</v>
      </c>
      <c r="BG35" s="122">
        <v>1530</v>
      </c>
      <c r="BH35" s="122">
        <v>472</v>
      </c>
      <c r="BI35" s="122">
        <v>132</v>
      </c>
      <c r="BJ35" s="115" t="str">
        <f t="shared" si="15"/>
        <v>0</v>
      </c>
      <c r="BK35" s="115" t="str">
        <f t="shared" si="16"/>
        <v>0</v>
      </c>
      <c r="BL35" s="115" t="str">
        <f t="shared" si="17"/>
        <v>0</v>
      </c>
      <c r="BM35" s="115">
        <f t="shared" si="18"/>
        <v>1</v>
      </c>
      <c r="BN35" s="115">
        <f t="shared" si="19"/>
        <v>2356.48</v>
      </c>
      <c r="BO35" s="115">
        <f t="shared" si="20"/>
        <v>1337.5</v>
      </c>
      <c r="BP35" s="115" t="str">
        <f t="shared" si="21"/>
        <v>0</v>
      </c>
      <c r="BQ35" s="115" t="str">
        <f t="shared" si="22"/>
        <v>0</v>
      </c>
      <c r="BR35" s="115" t="str">
        <f t="shared" si="23"/>
        <v>0</v>
      </c>
      <c r="BS35" s="115"/>
      <c r="BT35" s="115">
        <v>2</v>
      </c>
      <c r="BU35" s="115">
        <v>296</v>
      </c>
      <c r="BV35" s="115">
        <v>125</v>
      </c>
      <c r="BW35" s="115"/>
      <c r="BX35" s="115"/>
      <c r="BY35" s="253">
        <v>608.6</v>
      </c>
      <c r="BZ35" s="253">
        <v>279.8</v>
      </c>
      <c r="CA35" s="343">
        <f>242.2-2.4+40</f>
        <v>279.79999999999995</v>
      </c>
      <c r="CB35" s="343">
        <f>2.4+6.9</f>
        <v>9.3000000000000007</v>
      </c>
      <c r="CC35" s="351"/>
      <c r="CD35" s="352">
        <v>295.10000000000002</v>
      </c>
      <c r="CE35" s="351">
        <v>11.9</v>
      </c>
      <c r="CF35" s="351"/>
      <c r="CG35" s="351">
        <v>5.6</v>
      </c>
      <c r="CH35" s="343">
        <f>1.7+5.2</f>
        <v>6.9</v>
      </c>
      <c r="CI35" s="347">
        <f t="shared" si="24"/>
        <v>608.59999999999991</v>
      </c>
      <c r="CJ35" s="347">
        <f t="shared" si="1"/>
        <v>279.79999999999995</v>
      </c>
      <c r="CK35" s="353">
        <v>352</v>
      </c>
      <c r="CL35" s="349">
        <f t="shared" si="2"/>
        <v>960.59999999999991</v>
      </c>
      <c r="CM35" s="188">
        <v>863</v>
      </c>
      <c r="CN35" s="188">
        <f t="shared" si="3"/>
        <v>486</v>
      </c>
      <c r="CO35" s="186">
        <f t="shared" si="4"/>
        <v>1</v>
      </c>
      <c r="CP35" s="187">
        <f t="shared" si="5"/>
        <v>1883</v>
      </c>
      <c r="CQ35" s="186"/>
      <c r="CR35" s="187">
        <f t="shared" si="7"/>
        <v>335</v>
      </c>
      <c r="CS35" s="187">
        <f t="shared" si="25"/>
        <v>1</v>
      </c>
      <c r="CT35" s="187">
        <f t="shared" si="26"/>
        <v>2218</v>
      </c>
      <c r="CU35" s="14">
        <v>54</v>
      </c>
      <c r="CV35" s="284" t="str">
        <f t="shared" si="27"/>
        <v>0</v>
      </c>
      <c r="CW35" s="284" t="str">
        <f t="shared" si="28"/>
        <v>0</v>
      </c>
      <c r="CX35" s="243">
        <f t="shared" si="29"/>
        <v>25.653092748506246</v>
      </c>
      <c r="CY35" s="216" t="str">
        <f t="shared" si="30"/>
        <v>0</v>
      </c>
      <c r="CZ35" s="216" t="str">
        <f t="shared" si="31"/>
        <v>0</v>
      </c>
      <c r="DA35" s="243">
        <f t="shared" si="32"/>
        <v>25.653092748506246</v>
      </c>
      <c r="DB35" s="291">
        <v>1</v>
      </c>
      <c r="DC35" s="291">
        <v>1</v>
      </c>
      <c r="DD35" s="291">
        <v>1</v>
      </c>
      <c r="DE35" s="291">
        <v>1</v>
      </c>
      <c r="DF35" s="291">
        <v>2</v>
      </c>
      <c r="DG35" s="291">
        <v>1</v>
      </c>
      <c r="DH35" s="291">
        <v>1</v>
      </c>
      <c r="DI35" s="291">
        <v>1</v>
      </c>
      <c r="DJ35" s="292">
        <v>1</v>
      </c>
      <c r="DK35" s="292">
        <v>35</v>
      </c>
      <c r="DL35" s="292">
        <f t="shared" si="33"/>
        <v>26</v>
      </c>
      <c r="DM35" s="292">
        <v>9</v>
      </c>
      <c r="DN35" s="292">
        <v>20</v>
      </c>
      <c r="DO35" s="292">
        <v>13</v>
      </c>
      <c r="DP35" s="292">
        <v>33</v>
      </c>
      <c r="DQ35" s="292">
        <v>20</v>
      </c>
      <c r="DR35" s="292">
        <v>14</v>
      </c>
      <c r="DS35" s="292">
        <v>31</v>
      </c>
      <c r="DT35" s="292">
        <v>22</v>
      </c>
      <c r="DU35" s="292">
        <v>7</v>
      </c>
      <c r="DV35" s="292">
        <v>3</v>
      </c>
      <c r="DW35" s="292">
        <v>1</v>
      </c>
      <c r="DX35" s="292">
        <v>6</v>
      </c>
      <c r="DY35" s="292">
        <v>3</v>
      </c>
      <c r="DZ35" s="292">
        <v>1</v>
      </c>
      <c r="EA35" s="292">
        <v>6</v>
      </c>
      <c r="EB35" s="292">
        <v>35</v>
      </c>
      <c r="EC35" s="292">
        <v>35</v>
      </c>
      <c r="ED35" s="342"/>
      <c r="EE35" s="342"/>
    </row>
    <row r="36" spans="1:135" s="7" customFormat="1" ht="12.75" hidden="1" customHeight="1" outlineLevel="1" x14ac:dyDescent="0.2">
      <c r="A36" s="10"/>
      <c r="B36" s="169"/>
      <c r="C36" s="12"/>
      <c r="D36" s="13"/>
      <c r="E36" s="1"/>
      <c r="F36" s="2"/>
      <c r="G36" s="111"/>
      <c r="H36" s="1"/>
      <c r="I36" s="1"/>
      <c r="J36" s="122"/>
      <c r="K36" s="122"/>
      <c r="L36" s="122"/>
      <c r="M36" s="122"/>
      <c r="N36" s="122"/>
      <c r="O36" s="122"/>
      <c r="P36" s="122"/>
      <c r="Q36" s="122"/>
      <c r="R36" s="121"/>
      <c r="S36" s="121"/>
      <c r="T36" s="122"/>
      <c r="U36" s="122"/>
      <c r="V36" s="122"/>
      <c r="W36" s="122"/>
      <c r="X36" s="180"/>
      <c r="Y36" s="180"/>
      <c r="Z36" s="122"/>
      <c r="AA36" s="122"/>
      <c r="AB36" s="122"/>
      <c r="AC36" s="180"/>
      <c r="AD36" s="179"/>
      <c r="AE36" s="271"/>
      <c r="AF36" s="180"/>
      <c r="AG36" s="180"/>
      <c r="AH36" s="180"/>
      <c r="AI36" s="180"/>
      <c r="AJ36" s="122"/>
      <c r="AK36" s="122"/>
      <c r="AL36" s="122"/>
      <c r="AM36" s="122"/>
      <c r="AN36" s="122"/>
      <c r="AO36" s="122"/>
      <c r="AP36" s="122"/>
      <c r="AQ36" s="180"/>
      <c r="AR36" s="122"/>
      <c r="AS36" s="122"/>
      <c r="AT36" s="122"/>
      <c r="AU36" s="122"/>
      <c r="AV36" s="122"/>
      <c r="AW36" s="157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255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U36" s="14"/>
      <c r="CX36" s="222"/>
      <c r="CY36" s="222"/>
      <c r="CZ36" s="222"/>
      <c r="DA36" s="222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342"/>
      <c r="EE36" s="342"/>
    </row>
    <row r="37" spans="1:135" s="7" customFormat="1" ht="12.75" hidden="1" customHeight="1" outlineLevel="1" x14ac:dyDescent="0.2">
      <c r="A37" s="10"/>
      <c r="B37" s="169"/>
      <c r="C37" s="12"/>
      <c r="D37" s="13"/>
      <c r="E37" s="1"/>
      <c r="F37" s="2"/>
      <c r="G37" s="111"/>
      <c r="H37" s="88"/>
      <c r="I37" s="1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80"/>
      <c r="Y37" s="180"/>
      <c r="Z37" s="122"/>
      <c r="AA37" s="122"/>
      <c r="AB37" s="122"/>
      <c r="AC37" s="180"/>
      <c r="AD37" s="180"/>
      <c r="AE37" s="271"/>
      <c r="AF37" s="180"/>
      <c r="AG37" s="180"/>
      <c r="AH37" s="180"/>
      <c r="AI37" s="180"/>
      <c r="AJ37" s="122"/>
      <c r="AK37" s="122"/>
      <c r="AL37" s="122"/>
      <c r="AM37" s="122"/>
      <c r="AN37" s="122"/>
      <c r="AO37" s="122"/>
      <c r="AP37" s="122"/>
      <c r="AQ37" s="180"/>
      <c r="AR37" s="122"/>
      <c r="AS37" s="122"/>
      <c r="AT37" s="122"/>
      <c r="AU37" s="122"/>
      <c r="AV37" s="122"/>
      <c r="AW37" s="157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255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U37" s="14"/>
      <c r="CX37" s="222"/>
      <c r="CY37" s="222"/>
      <c r="CZ37" s="222"/>
      <c r="DA37" s="222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342"/>
      <c r="EE37" s="342"/>
    </row>
    <row r="38" spans="1:135" ht="12.75" hidden="1" customHeight="1" outlineLevel="1" x14ac:dyDescent="0.2">
      <c r="A38" s="14"/>
      <c r="B38" s="170"/>
      <c r="C38" s="14"/>
      <c r="D38" s="14"/>
      <c r="E38" s="112"/>
      <c r="F38" s="14"/>
      <c r="G38" s="14"/>
      <c r="H38" s="112"/>
      <c r="I38" s="112"/>
      <c r="J38" s="14"/>
      <c r="K38" s="14"/>
      <c r="L38" s="14"/>
      <c r="M38" s="14"/>
      <c r="N38" s="14"/>
      <c r="O38" s="14"/>
      <c r="P38" s="14"/>
      <c r="Q38" s="14"/>
      <c r="R38" s="46"/>
      <c r="S38" s="46"/>
      <c r="T38" s="14"/>
      <c r="U38" s="14"/>
      <c r="V38" s="14"/>
      <c r="W38" s="14"/>
      <c r="X38" s="273"/>
      <c r="Y38" s="273"/>
      <c r="Z38" s="14"/>
      <c r="AA38" s="14"/>
      <c r="AB38" s="14"/>
      <c r="AC38" s="273"/>
      <c r="AD38" s="276"/>
      <c r="AE38" s="277"/>
      <c r="AF38" s="273"/>
      <c r="AG38" s="273"/>
      <c r="AH38" s="273"/>
      <c r="AI38" s="273"/>
      <c r="AJ38" s="14"/>
      <c r="AK38" s="14"/>
      <c r="AL38" s="14"/>
      <c r="AM38" s="14"/>
      <c r="AN38" s="14"/>
      <c r="AO38" s="14"/>
      <c r="AP38" s="14"/>
      <c r="AQ38" s="273"/>
      <c r="AR38" s="14"/>
      <c r="AS38" s="112"/>
      <c r="AT38" s="14"/>
      <c r="AU38" s="14"/>
      <c r="AV38" s="14"/>
      <c r="AW38" s="156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255"/>
      <c r="CU38" s="14"/>
      <c r="DB38" s="293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342"/>
      <c r="EE38" s="342"/>
    </row>
    <row r="39" spans="1:135" ht="12.75" hidden="1" customHeight="1" outlineLevel="1" x14ac:dyDescent="0.2">
      <c r="A39" s="14"/>
      <c r="B39" s="170"/>
      <c r="C39" s="14"/>
      <c r="D39" s="14"/>
      <c r="E39" s="112"/>
      <c r="F39" s="14"/>
      <c r="G39" s="14"/>
      <c r="H39" s="112"/>
      <c r="I39" s="112"/>
      <c r="J39" s="14"/>
      <c r="K39" s="14"/>
      <c r="L39" s="14"/>
      <c r="M39" s="14"/>
      <c r="N39" s="14"/>
      <c r="O39" s="14"/>
      <c r="P39" s="14"/>
      <c r="Q39" s="14"/>
      <c r="R39" s="46"/>
      <c r="S39" s="46"/>
      <c r="T39" s="14"/>
      <c r="U39" s="14"/>
      <c r="V39" s="14"/>
      <c r="W39" s="14"/>
      <c r="X39" s="273"/>
      <c r="Y39" s="273"/>
      <c r="Z39" s="14"/>
      <c r="AA39" s="14"/>
      <c r="AB39" s="14"/>
      <c r="AC39" s="273"/>
      <c r="AD39" s="276"/>
      <c r="AE39" s="277"/>
      <c r="AF39" s="273"/>
      <c r="AG39" s="273"/>
      <c r="AH39" s="273"/>
      <c r="AI39" s="273"/>
      <c r="AJ39" s="14"/>
      <c r="AK39" s="14"/>
      <c r="AL39" s="14"/>
      <c r="AM39" s="14"/>
      <c r="AN39" s="14"/>
      <c r="AO39" s="14"/>
      <c r="AP39" s="14"/>
      <c r="AQ39" s="273"/>
      <c r="AR39" s="14"/>
      <c r="AS39" s="112"/>
      <c r="AT39" s="14"/>
      <c r="AU39" s="14"/>
      <c r="AV39" s="14"/>
      <c r="AW39" s="156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255"/>
      <c r="CU39" s="14"/>
      <c r="DB39" s="293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342"/>
      <c r="EE39" s="342"/>
    </row>
    <row r="40" spans="1:135" ht="12.75" hidden="1" customHeight="1" outlineLevel="1" x14ac:dyDescent="0.2">
      <c r="A40" s="14"/>
      <c r="B40" s="170"/>
      <c r="C40" s="14"/>
      <c r="D40" s="14"/>
      <c r="E40" s="112"/>
      <c r="F40" s="14"/>
      <c r="G40" s="14"/>
      <c r="H40" s="112"/>
      <c r="I40" s="112"/>
      <c r="J40" s="14"/>
      <c r="K40" s="14"/>
      <c r="L40" s="14"/>
      <c r="M40" s="14"/>
      <c r="N40" s="14"/>
      <c r="O40" s="14"/>
      <c r="P40" s="14"/>
      <c r="Q40" s="14"/>
      <c r="R40" s="46"/>
      <c r="S40" s="46"/>
      <c r="T40" s="14"/>
      <c r="U40" s="14"/>
      <c r="V40" s="14"/>
      <c r="W40" s="14"/>
      <c r="X40" s="273"/>
      <c r="Y40" s="273"/>
      <c r="Z40" s="14"/>
      <c r="AA40" s="14"/>
      <c r="AB40" s="14"/>
      <c r="AC40" s="273"/>
      <c r="AD40" s="276"/>
      <c r="AE40" s="277"/>
      <c r="AF40" s="273"/>
      <c r="AG40" s="273"/>
      <c r="AH40" s="273"/>
      <c r="AI40" s="273"/>
      <c r="AJ40" s="14"/>
      <c r="AK40" s="14"/>
      <c r="AL40" s="14"/>
      <c r="AM40" s="14"/>
      <c r="AN40" s="14"/>
      <c r="AO40" s="14"/>
      <c r="AP40" s="14"/>
      <c r="AQ40" s="273"/>
      <c r="AR40" s="14"/>
      <c r="AS40" s="112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255"/>
      <c r="CU40" s="14"/>
      <c r="DB40" s="293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342"/>
      <c r="EE40" s="342"/>
    </row>
    <row r="41" spans="1:135" ht="12.75" hidden="1" customHeight="1" outlineLevel="1" x14ac:dyDescent="0.2">
      <c r="A41" s="14"/>
      <c r="B41" s="170"/>
      <c r="C41" s="14"/>
      <c r="D41" s="14"/>
      <c r="E41" s="112"/>
      <c r="F41" s="14"/>
      <c r="G41" s="14"/>
      <c r="H41" s="112"/>
      <c r="I41" s="112"/>
      <c r="J41" s="14"/>
      <c r="K41" s="14"/>
      <c r="L41" s="14"/>
      <c r="M41" s="14"/>
      <c r="N41" s="14"/>
      <c r="O41" s="14"/>
      <c r="P41" s="14"/>
      <c r="Q41" s="14"/>
      <c r="R41" s="46"/>
      <c r="S41" s="46"/>
      <c r="T41" s="14"/>
      <c r="U41" s="14"/>
      <c r="V41" s="14"/>
      <c r="W41" s="14"/>
      <c r="X41" s="273"/>
      <c r="Y41" s="273"/>
      <c r="Z41" s="14"/>
      <c r="AA41" s="14"/>
      <c r="AB41" s="14"/>
      <c r="AC41" s="273"/>
      <c r="AD41" s="276"/>
      <c r="AE41" s="277"/>
      <c r="AF41" s="273"/>
      <c r="AG41" s="273"/>
      <c r="AH41" s="273"/>
      <c r="AI41" s="273"/>
      <c r="AJ41" s="14"/>
      <c r="AK41" s="14"/>
      <c r="AL41" s="14"/>
      <c r="AM41" s="14"/>
      <c r="AN41" s="14"/>
      <c r="AO41" s="14"/>
      <c r="AP41" s="14"/>
      <c r="AQ41" s="273"/>
      <c r="AR41" s="14"/>
      <c r="AS41" s="112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255"/>
      <c r="CU41" s="14"/>
      <c r="DB41" s="293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342"/>
      <c r="EE41" s="342"/>
    </row>
    <row r="42" spans="1:135" s="52" customFormat="1" ht="13.5" hidden="1" customHeight="1" outlineLevel="1" x14ac:dyDescent="0.2">
      <c r="A42" s="141"/>
      <c r="B42" s="171"/>
      <c r="C42" s="141"/>
      <c r="D42" s="143"/>
      <c r="E42" s="142"/>
      <c r="F42" s="141"/>
      <c r="G42" s="144"/>
      <c r="H42" s="142"/>
      <c r="I42" s="142"/>
      <c r="J42" s="125"/>
      <c r="K42" s="125"/>
      <c r="L42" s="125"/>
      <c r="M42" s="125"/>
      <c r="N42" s="125"/>
      <c r="O42" s="125"/>
      <c r="P42" s="125"/>
      <c r="Q42" s="323"/>
      <c r="R42" s="125"/>
      <c r="S42" s="125"/>
      <c r="T42" s="145"/>
      <c r="U42" s="145"/>
      <c r="V42" s="145"/>
      <c r="W42" s="125"/>
      <c r="X42" s="278"/>
      <c r="Y42" s="278"/>
      <c r="Z42" s="125"/>
      <c r="AA42" s="125"/>
      <c r="AB42" s="125"/>
      <c r="AC42" s="278"/>
      <c r="AD42" s="278"/>
      <c r="AE42" s="279"/>
      <c r="AF42" s="278"/>
      <c r="AG42" s="278"/>
      <c r="AH42" s="278"/>
      <c r="AI42" s="278"/>
      <c r="AJ42" s="125"/>
      <c r="AK42" s="125"/>
      <c r="AL42" s="125"/>
      <c r="AM42" s="125"/>
      <c r="AN42" s="125"/>
      <c r="AO42" s="125"/>
      <c r="AP42" s="125"/>
      <c r="AQ42" s="278"/>
      <c r="AR42" s="125"/>
      <c r="AS42" s="125"/>
      <c r="AT42" s="125"/>
      <c r="AU42" s="125"/>
      <c r="AV42" s="125"/>
      <c r="AW42" s="125"/>
      <c r="AX42" s="122"/>
      <c r="AY42" s="122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256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U42" s="141"/>
      <c r="CX42" s="225"/>
      <c r="CY42" s="225"/>
      <c r="CZ42" s="225"/>
      <c r="DA42" s="225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342"/>
      <c r="EE42" s="342"/>
    </row>
    <row r="43" spans="1:135" s="52" customFormat="1" ht="13.5" hidden="1" customHeight="1" outlineLevel="1" x14ac:dyDescent="0.2">
      <c r="A43" s="141"/>
      <c r="B43" s="171"/>
      <c r="C43" s="141"/>
      <c r="D43" s="143"/>
      <c r="E43" s="142"/>
      <c r="F43" s="141"/>
      <c r="G43" s="144"/>
      <c r="H43" s="142"/>
      <c r="I43" s="142"/>
      <c r="J43" s="125"/>
      <c r="K43" s="125"/>
      <c r="L43" s="125"/>
      <c r="M43" s="125"/>
      <c r="N43" s="125"/>
      <c r="O43" s="125"/>
      <c r="P43" s="125"/>
      <c r="Q43" s="323"/>
      <c r="R43" s="125"/>
      <c r="S43" s="125"/>
      <c r="T43" s="145"/>
      <c r="U43" s="145"/>
      <c r="V43" s="145"/>
      <c r="W43" s="125"/>
      <c r="X43" s="278"/>
      <c r="Y43" s="278"/>
      <c r="Z43" s="125"/>
      <c r="AA43" s="125"/>
      <c r="AB43" s="125"/>
      <c r="AC43" s="278"/>
      <c r="AD43" s="278"/>
      <c r="AE43" s="279"/>
      <c r="AF43" s="278"/>
      <c r="AG43" s="278"/>
      <c r="AH43" s="278"/>
      <c r="AI43" s="278"/>
      <c r="AJ43" s="125"/>
      <c r="AK43" s="125"/>
      <c r="AL43" s="125"/>
      <c r="AM43" s="125"/>
      <c r="AN43" s="125"/>
      <c r="AO43" s="125"/>
      <c r="AP43" s="125"/>
      <c r="AQ43" s="278"/>
      <c r="AR43" s="125"/>
      <c r="AS43" s="125"/>
      <c r="AT43" s="125"/>
      <c r="AU43" s="125"/>
      <c r="AV43" s="125"/>
      <c r="AW43" s="125"/>
      <c r="AX43" s="122"/>
      <c r="AY43" s="122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256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U43" s="141"/>
      <c r="CX43" s="225"/>
      <c r="CY43" s="225"/>
      <c r="CZ43" s="225"/>
      <c r="DA43" s="225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342"/>
      <c r="EE43" s="342"/>
    </row>
    <row r="44" spans="1:135" s="52" customFormat="1" ht="13.5" hidden="1" customHeight="1" outlineLevel="1" x14ac:dyDescent="0.2">
      <c r="A44" s="141"/>
      <c r="B44" s="171"/>
      <c r="C44" s="141"/>
      <c r="D44" s="143"/>
      <c r="E44" s="142"/>
      <c r="F44" s="141"/>
      <c r="G44" s="144"/>
      <c r="H44" s="142"/>
      <c r="I44" s="142"/>
      <c r="J44" s="125"/>
      <c r="K44" s="125"/>
      <c r="L44" s="125"/>
      <c r="M44" s="125"/>
      <c r="N44" s="125"/>
      <c r="O44" s="125"/>
      <c r="P44" s="125"/>
      <c r="Q44" s="323"/>
      <c r="R44" s="125"/>
      <c r="S44" s="125"/>
      <c r="T44" s="145"/>
      <c r="U44" s="145"/>
      <c r="V44" s="145"/>
      <c r="W44" s="125"/>
      <c r="X44" s="278"/>
      <c r="Y44" s="278"/>
      <c r="Z44" s="125"/>
      <c r="AA44" s="125"/>
      <c r="AB44" s="125"/>
      <c r="AC44" s="278"/>
      <c r="AD44" s="278"/>
      <c r="AE44" s="279"/>
      <c r="AF44" s="278"/>
      <c r="AG44" s="278"/>
      <c r="AH44" s="278"/>
      <c r="AI44" s="278"/>
      <c r="AJ44" s="125"/>
      <c r="AK44" s="125"/>
      <c r="AL44" s="125"/>
      <c r="AM44" s="125"/>
      <c r="AN44" s="125"/>
      <c r="AO44" s="125"/>
      <c r="AP44" s="125"/>
      <c r="AQ44" s="278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256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U44" s="141"/>
      <c r="CX44" s="225"/>
      <c r="CY44" s="225"/>
      <c r="CZ44" s="225"/>
      <c r="DA44" s="225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342"/>
      <c r="EE44" s="342"/>
    </row>
    <row r="45" spans="1:135" s="52" customFormat="1" ht="13.5" hidden="1" customHeight="1" outlineLevel="1" x14ac:dyDescent="0.2">
      <c r="A45" s="141"/>
      <c r="B45" s="171"/>
      <c r="C45" s="141"/>
      <c r="D45" s="143"/>
      <c r="E45" s="142"/>
      <c r="F45" s="141"/>
      <c r="G45" s="144"/>
      <c r="H45" s="142"/>
      <c r="I45" s="142"/>
      <c r="J45" s="125"/>
      <c r="K45" s="125"/>
      <c r="L45" s="125"/>
      <c r="M45" s="125"/>
      <c r="N45" s="125"/>
      <c r="O45" s="125"/>
      <c r="P45" s="125"/>
      <c r="Q45" s="323"/>
      <c r="R45" s="125"/>
      <c r="S45" s="125"/>
      <c r="T45" s="145"/>
      <c r="U45" s="145"/>
      <c r="V45" s="145"/>
      <c r="W45" s="125"/>
      <c r="X45" s="278"/>
      <c r="Y45" s="278"/>
      <c r="Z45" s="125"/>
      <c r="AA45" s="125"/>
      <c r="AB45" s="125"/>
      <c r="AC45" s="278"/>
      <c r="AD45" s="278"/>
      <c r="AE45" s="279"/>
      <c r="AF45" s="278"/>
      <c r="AG45" s="278"/>
      <c r="AH45" s="278"/>
      <c r="AI45" s="278"/>
      <c r="AJ45" s="125"/>
      <c r="AK45" s="125"/>
      <c r="AL45" s="125"/>
      <c r="AM45" s="125"/>
      <c r="AN45" s="125"/>
      <c r="AO45" s="125"/>
      <c r="AP45" s="125"/>
      <c r="AQ45" s="278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256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U45" s="141"/>
      <c r="CX45" s="225"/>
      <c r="CY45" s="225"/>
      <c r="CZ45" s="225"/>
      <c r="DA45" s="225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342"/>
      <c r="EE45" s="342"/>
    </row>
    <row r="46" spans="1:135" s="52" customFormat="1" ht="13.5" hidden="1" customHeight="1" outlineLevel="1" x14ac:dyDescent="0.2">
      <c r="A46" s="141"/>
      <c r="B46" s="171"/>
      <c r="C46" s="141"/>
      <c r="D46" s="143"/>
      <c r="E46" s="142"/>
      <c r="F46" s="141"/>
      <c r="G46" s="144"/>
      <c r="H46" s="142"/>
      <c r="I46" s="142"/>
      <c r="J46" s="125"/>
      <c r="K46" s="125"/>
      <c r="L46" s="125"/>
      <c r="M46" s="125"/>
      <c r="N46" s="125"/>
      <c r="O46" s="125"/>
      <c r="P46" s="125"/>
      <c r="Q46" s="323"/>
      <c r="R46" s="125"/>
      <c r="S46" s="125"/>
      <c r="T46" s="145"/>
      <c r="U46" s="145"/>
      <c r="V46" s="145"/>
      <c r="W46" s="125"/>
      <c r="X46" s="278"/>
      <c r="Y46" s="278"/>
      <c r="Z46" s="125"/>
      <c r="AA46" s="125"/>
      <c r="AB46" s="125"/>
      <c r="AC46" s="278"/>
      <c r="AD46" s="278"/>
      <c r="AE46" s="279"/>
      <c r="AF46" s="278"/>
      <c r="AG46" s="278"/>
      <c r="AH46" s="278"/>
      <c r="AI46" s="278"/>
      <c r="AJ46" s="125"/>
      <c r="AK46" s="125"/>
      <c r="AL46" s="125"/>
      <c r="AM46" s="125"/>
      <c r="AN46" s="125"/>
      <c r="AO46" s="125"/>
      <c r="AP46" s="125"/>
      <c r="AQ46" s="278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256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U46" s="141"/>
      <c r="CX46" s="225"/>
      <c r="CY46" s="225"/>
      <c r="CZ46" s="225"/>
      <c r="DA46" s="225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342"/>
      <c r="EE46" s="342"/>
    </row>
    <row r="47" spans="1:135" s="52" customFormat="1" ht="13.5" hidden="1" customHeight="1" outlineLevel="1" x14ac:dyDescent="0.2">
      <c r="A47" s="141"/>
      <c r="B47" s="171"/>
      <c r="C47" s="141"/>
      <c r="D47" s="143"/>
      <c r="E47" s="142"/>
      <c r="F47" s="141"/>
      <c r="G47" s="144"/>
      <c r="H47" s="142"/>
      <c r="I47" s="142"/>
      <c r="J47" s="125"/>
      <c r="K47" s="125"/>
      <c r="L47" s="125"/>
      <c r="M47" s="125"/>
      <c r="N47" s="125"/>
      <c r="O47" s="125"/>
      <c r="P47" s="125"/>
      <c r="Q47" s="323"/>
      <c r="R47" s="125"/>
      <c r="S47" s="125"/>
      <c r="T47" s="145"/>
      <c r="U47" s="145"/>
      <c r="V47" s="145"/>
      <c r="W47" s="125"/>
      <c r="X47" s="278"/>
      <c r="Y47" s="278"/>
      <c r="Z47" s="125"/>
      <c r="AA47" s="125"/>
      <c r="AB47" s="125"/>
      <c r="AC47" s="278"/>
      <c r="AD47" s="278"/>
      <c r="AE47" s="279"/>
      <c r="AF47" s="278"/>
      <c r="AG47" s="278"/>
      <c r="AH47" s="278"/>
      <c r="AI47" s="278"/>
      <c r="AJ47" s="125"/>
      <c r="AK47" s="125"/>
      <c r="AL47" s="125"/>
      <c r="AM47" s="125"/>
      <c r="AN47" s="125"/>
      <c r="AO47" s="125"/>
      <c r="AP47" s="125"/>
      <c r="AQ47" s="278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256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U47" s="141"/>
      <c r="CX47" s="225"/>
      <c r="CY47" s="225"/>
      <c r="CZ47" s="225"/>
      <c r="DA47" s="225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342"/>
      <c r="EE47" s="342"/>
    </row>
    <row r="48" spans="1:135" s="52" customFormat="1" ht="13.5" hidden="1" customHeight="1" outlineLevel="1" x14ac:dyDescent="0.2">
      <c r="A48" s="141"/>
      <c r="B48" s="171"/>
      <c r="C48" s="141"/>
      <c r="D48" s="143"/>
      <c r="E48" s="142"/>
      <c r="F48" s="141"/>
      <c r="G48" s="144"/>
      <c r="H48" s="142"/>
      <c r="I48" s="142"/>
      <c r="J48" s="125"/>
      <c r="K48" s="125"/>
      <c r="L48" s="125"/>
      <c r="M48" s="125"/>
      <c r="N48" s="125"/>
      <c r="O48" s="125"/>
      <c r="P48" s="125"/>
      <c r="Q48" s="323"/>
      <c r="R48" s="125"/>
      <c r="S48" s="125"/>
      <c r="T48" s="145"/>
      <c r="U48" s="145"/>
      <c r="V48" s="145"/>
      <c r="W48" s="125"/>
      <c r="X48" s="278"/>
      <c r="Y48" s="278"/>
      <c r="Z48" s="125"/>
      <c r="AA48" s="125"/>
      <c r="AB48" s="125"/>
      <c r="AC48" s="278"/>
      <c r="AD48" s="278"/>
      <c r="AE48" s="279"/>
      <c r="AF48" s="278"/>
      <c r="AG48" s="278"/>
      <c r="AH48" s="278"/>
      <c r="AI48" s="278"/>
      <c r="AJ48" s="125"/>
      <c r="AK48" s="125"/>
      <c r="AL48" s="125"/>
      <c r="AM48" s="125"/>
      <c r="AN48" s="125"/>
      <c r="AO48" s="125"/>
      <c r="AP48" s="125"/>
      <c r="AQ48" s="278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256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U48" s="141"/>
      <c r="CX48" s="225"/>
      <c r="CY48" s="225"/>
      <c r="CZ48" s="225"/>
      <c r="DA48" s="225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342"/>
      <c r="EE48" s="342"/>
    </row>
    <row r="49" spans="1:135" s="52" customFormat="1" ht="13.5" hidden="1" customHeight="1" outlineLevel="1" x14ac:dyDescent="0.2">
      <c r="A49" s="141"/>
      <c r="B49" s="171"/>
      <c r="C49" s="141"/>
      <c r="D49" s="143"/>
      <c r="E49" s="142"/>
      <c r="F49" s="141"/>
      <c r="G49" s="144"/>
      <c r="H49" s="142"/>
      <c r="I49" s="142"/>
      <c r="J49" s="125"/>
      <c r="K49" s="125"/>
      <c r="L49" s="125"/>
      <c r="M49" s="125"/>
      <c r="N49" s="125"/>
      <c r="O49" s="125"/>
      <c r="P49" s="125"/>
      <c r="Q49" s="323"/>
      <c r="R49" s="125"/>
      <c r="S49" s="125"/>
      <c r="T49" s="145"/>
      <c r="U49" s="145"/>
      <c r="V49" s="145"/>
      <c r="W49" s="125"/>
      <c r="X49" s="278"/>
      <c r="Y49" s="278"/>
      <c r="Z49" s="125"/>
      <c r="AA49" s="125"/>
      <c r="AB49" s="125"/>
      <c r="AC49" s="278"/>
      <c r="AD49" s="278"/>
      <c r="AE49" s="279"/>
      <c r="AF49" s="278"/>
      <c r="AG49" s="278"/>
      <c r="AH49" s="278"/>
      <c r="AI49" s="278"/>
      <c r="AJ49" s="125"/>
      <c r="AK49" s="125"/>
      <c r="AL49" s="125"/>
      <c r="AM49" s="125"/>
      <c r="AN49" s="125"/>
      <c r="AO49" s="125"/>
      <c r="AP49" s="125"/>
      <c r="AQ49" s="278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256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U49" s="141"/>
      <c r="CX49" s="225"/>
      <c r="CY49" s="225"/>
      <c r="CZ49" s="225"/>
      <c r="DA49" s="225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342"/>
      <c r="EE49" s="342"/>
    </row>
    <row r="50" spans="1:135" s="52" customFormat="1" ht="13.5" hidden="1" customHeight="1" outlineLevel="1" x14ac:dyDescent="0.2">
      <c r="A50" s="141"/>
      <c r="B50" s="171"/>
      <c r="C50" s="141"/>
      <c r="D50" s="143"/>
      <c r="E50" s="142"/>
      <c r="F50" s="141"/>
      <c r="G50" s="144"/>
      <c r="H50" s="142"/>
      <c r="I50" s="142"/>
      <c r="J50" s="125"/>
      <c r="K50" s="125"/>
      <c r="L50" s="125"/>
      <c r="M50" s="125"/>
      <c r="N50" s="125"/>
      <c r="O50" s="125"/>
      <c r="P50" s="125"/>
      <c r="Q50" s="323"/>
      <c r="R50" s="125"/>
      <c r="S50" s="125"/>
      <c r="T50" s="145"/>
      <c r="U50" s="145"/>
      <c r="V50" s="145"/>
      <c r="W50" s="125"/>
      <c r="X50" s="278"/>
      <c r="Y50" s="278"/>
      <c r="Z50" s="125"/>
      <c r="AA50" s="125"/>
      <c r="AB50" s="125"/>
      <c r="AC50" s="278"/>
      <c r="AD50" s="278"/>
      <c r="AE50" s="279"/>
      <c r="AF50" s="278"/>
      <c r="AG50" s="278"/>
      <c r="AH50" s="278"/>
      <c r="AI50" s="278"/>
      <c r="AJ50" s="125"/>
      <c r="AK50" s="125"/>
      <c r="AL50" s="125"/>
      <c r="AM50" s="125"/>
      <c r="AN50" s="125"/>
      <c r="AO50" s="125"/>
      <c r="AP50" s="125"/>
      <c r="AQ50" s="278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256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U50" s="141"/>
      <c r="CX50" s="225"/>
      <c r="CY50" s="225"/>
      <c r="CZ50" s="225"/>
      <c r="DA50" s="225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342"/>
      <c r="EE50" s="342"/>
    </row>
    <row r="51" spans="1:135" s="52" customFormat="1" ht="13.5" hidden="1" customHeight="1" outlineLevel="1" x14ac:dyDescent="0.2">
      <c r="A51" s="141"/>
      <c r="B51" s="171"/>
      <c r="C51" s="141"/>
      <c r="D51" s="143"/>
      <c r="E51" s="142"/>
      <c r="F51" s="141"/>
      <c r="G51" s="144"/>
      <c r="H51" s="142"/>
      <c r="I51" s="142"/>
      <c r="J51" s="125"/>
      <c r="K51" s="125"/>
      <c r="L51" s="125"/>
      <c r="M51" s="125"/>
      <c r="N51" s="125"/>
      <c r="O51" s="125"/>
      <c r="P51" s="125"/>
      <c r="Q51" s="323"/>
      <c r="R51" s="125"/>
      <c r="S51" s="125"/>
      <c r="T51" s="145"/>
      <c r="U51" s="145"/>
      <c r="V51" s="145"/>
      <c r="W51" s="125"/>
      <c r="X51" s="278"/>
      <c r="Y51" s="278"/>
      <c r="Z51" s="125"/>
      <c r="AA51" s="125"/>
      <c r="AB51" s="125"/>
      <c r="AC51" s="278"/>
      <c r="AD51" s="278"/>
      <c r="AE51" s="279"/>
      <c r="AF51" s="278"/>
      <c r="AG51" s="278"/>
      <c r="AH51" s="278"/>
      <c r="AI51" s="278"/>
      <c r="AJ51" s="125"/>
      <c r="AK51" s="125"/>
      <c r="AL51" s="125"/>
      <c r="AM51" s="125"/>
      <c r="AN51" s="125"/>
      <c r="AO51" s="125"/>
      <c r="AP51" s="125"/>
      <c r="AQ51" s="278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256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U51" s="141"/>
      <c r="CX51" s="225"/>
      <c r="CY51" s="225"/>
      <c r="CZ51" s="225"/>
      <c r="DA51" s="225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342"/>
      <c r="EE51" s="342"/>
    </row>
    <row r="52" spans="1:135" s="52" customFormat="1" ht="13.5" hidden="1" customHeight="1" outlineLevel="1" x14ac:dyDescent="0.2">
      <c r="A52" s="141"/>
      <c r="B52" s="171"/>
      <c r="C52" s="141"/>
      <c r="D52" s="143"/>
      <c r="E52" s="142"/>
      <c r="F52" s="141"/>
      <c r="G52" s="144"/>
      <c r="H52" s="142"/>
      <c r="I52" s="142"/>
      <c r="J52" s="125"/>
      <c r="K52" s="125"/>
      <c r="L52" s="125"/>
      <c r="M52" s="125"/>
      <c r="N52" s="125"/>
      <c r="O52" s="125"/>
      <c r="P52" s="125"/>
      <c r="Q52" s="323"/>
      <c r="R52" s="125"/>
      <c r="S52" s="125"/>
      <c r="T52" s="145"/>
      <c r="U52" s="145"/>
      <c r="V52" s="145"/>
      <c r="W52" s="125"/>
      <c r="X52" s="278"/>
      <c r="Y52" s="278"/>
      <c r="Z52" s="125"/>
      <c r="AA52" s="125"/>
      <c r="AB52" s="125"/>
      <c r="AC52" s="278"/>
      <c r="AD52" s="278"/>
      <c r="AE52" s="279"/>
      <c r="AF52" s="278"/>
      <c r="AG52" s="278"/>
      <c r="AH52" s="278"/>
      <c r="AI52" s="278"/>
      <c r="AJ52" s="125"/>
      <c r="AK52" s="125"/>
      <c r="AL52" s="125"/>
      <c r="AM52" s="125"/>
      <c r="AN52" s="125"/>
      <c r="AO52" s="125"/>
      <c r="AP52" s="125"/>
      <c r="AQ52" s="278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256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U52" s="141"/>
      <c r="CX52" s="225"/>
      <c r="CY52" s="225"/>
      <c r="CZ52" s="225"/>
      <c r="DA52" s="225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342"/>
      <c r="EE52" s="342"/>
    </row>
    <row r="53" spans="1:135" s="52" customFormat="1" ht="13.5" hidden="1" customHeight="1" outlineLevel="1" x14ac:dyDescent="0.2">
      <c r="A53" s="141"/>
      <c r="B53" s="171"/>
      <c r="C53" s="141"/>
      <c r="D53" s="143"/>
      <c r="E53" s="142"/>
      <c r="F53" s="141"/>
      <c r="G53" s="144"/>
      <c r="H53" s="142"/>
      <c r="I53" s="142"/>
      <c r="J53" s="125"/>
      <c r="K53" s="125"/>
      <c r="L53" s="125"/>
      <c r="M53" s="125"/>
      <c r="N53" s="125"/>
      <c r="O53" s="125"/>
      <c r="P53" s="125"/>
      <c r="Q53" s="323"/>
      <c r="R53" s="125"/>
      <c r="S53" s="125"/>
      <c r="T53" s="145"/>
      <c r="U53" s="145"/>
      <c r="V53" s="145"/>
      <c r="W53" s="125"/>
      <c r="X53" s="278"/>
      <c r="Y53" s="278"/>
      <c r="Z53" s="125"/>
      <c r="AA53" s="125"/>
      <c r="AB53" s="125"/>
      <c r="AC53" s="278"/>
      <c r="AD53" s="278"/>
      <c r="AE53" s="279"/>
      <c r="AF53" s="278"/>
      <c r="AG53" s="278"/>
      <c r="AH53" s="278"/>
      <c r="AI53" s="278"/>
      <c r="AJ53" s="125"/>
      <c r="AK53" s="125"/>
      <c r="AL53" s="125"/>
      <c r="AM53" s="125"/>
      <c r="AN53" s="125"/>
      <c r="AO53" s="125"/>
      <c r="AP53" s="125"/>
      <c r="AQ53" s="278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256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U53" s="141"/>
      <c r="CX53" s="225"/>
      <c r="CY53" s="225"/>
      <c r="CZ53" s="225"/>
      <c r="DA53" s="225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342"/>
      <c r="EE53" s="342"/>
    </row>
    <row r="54" spans="1:135" s="52" customFormat="1" ht="13.5" hidden="1" customHeight="1" outlineLevel="1" x14ac:dyDescent="0.2">
      <c r="A54" s="141"/>
      <c r="B54" s="171"/>
      <c r="C54" s="141"/>
      <c r="D54" s="143"/>
      <c r="E54" s="142"/>
      <c r="F54" s="141"/>
      <c r="G54" s="144"/>
      <c r="H54" s="142"/>
      <c r="I54" s="142"/>
      <c r="J54" s="125"/>
      <c r="K54" s="125"/>
      <c r="L54" s="125"/>
      <c r="M54" s="125"/>
      <c r="N54" s="125"/>
      <c r="O54" s="125"/>
      <c r="P54" s="125"/>
      <c r="Q54" s="323"/>
      <c r="R54" s="125"/>
      <c r="S54" s="125"/>
      <c r="T54" s="145"/>
      <c r="U54" s="145"/>
      <c r="V54" s="145"/>
      <c r="W54" s="125"/>
      <c r="X54" s="278"/>
      <c r="Y54" s="278"/>
      <c r="Z54" s="125"/>
      <c r="AA54" s="125"/>
      <c r="AB54" s="125"/>
      <c r="AC54" s="278"/>
      <c r="AD54" s="278"/>
      <c r="AE54" s="279"/>
      <c r="AF54" s="278"/>
      <c r="AG54" s="278"/>
      <c r="AH54" s="278"/>
      <c r="AI54" s="278"/>
      <c r="AJ54" s="125"/>
      <c r="AK54" s="125"/>
      <c r="AL54" s="125"/>
      <c r="AM54" s="125"/>
      <c r="AN54" s="125"/>
      <c r="AO54" s="125"/>
      <c r="AP54" s="125"/>
      <c r="AQ54" s="278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256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U54" s="141"/>
      <c r="CX54" s="225"/>
      <c r="CY54" s="225"/>
      <c r="CZ54" s="225"/>
      <c r="DA54" s="225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342"/>
      <c r="EE54" s="342"/>
    </row>
    <row r="55" spans="1:135" s="52" customFormat="1" ht="13.5" hidden="1" customHeight="1" outlineLevel="1" x14ac:dyDescent="0.2">
      <c r="A55" s="141"/>
      <c r="B55" s="171"/>
      <c r="C55" s="141"/>
      <c r="D55" s="143"/>
      <c r="E55" s="142"/>
      <c r="F55" s="141"/>
      <c r="G55" s="144"/>
      <c r="H55" s="142"/>
      <c r="I55" s="142"/>
      <c r="J55" s="125"/>
      <c r="K55" s="125"/>
      <c r="L55" s="125"/>
      <c r="M55" s="125"/>
      <c r="N55" s="125"/>
      <c r="O55" s="125"/>
      <c r="P55" s="125"/>
      <c r="Q55" s="323"/>
      <c r="R55" s="125"/>
      <c r="S55" s="125"/>
      <c r="T55" s="145"/>
      <c r="U55" s="145"/>
      <c r="V55" s="145"/>
      <c r="W55" s="125"/>
      <c r="X55" s="278"/>
      <c r="Y55" s="278"/>
      <c r="Z55" s="125"/>
      <c r="AA55" s="125"/>
      <c r="AB55" s="125"/>
      <c r="AC55" s="278"/>
      <c r="AD55" s="278"/>
      <c r="AE55" s="279"/>
      <c r="AF55" s="278"/>
      <c r="AG55" s="278"/>
      <c r="AH55" s="278"/>
      <c r="AI55" s="278"/>
      <c r="AJ55" s="125"/>
      <c r="AK55" s="125"/>
      <c r="AL55" s="125"/>
      <c r="AM55" s="125"/>
      <c r="AN55" s="125"/>
      <c r="AO55" s="125"/>
      <c r="AP55" s="125"/>
      <c r="AQ55" s="278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256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U55" s="141"/>
      <c r="CX55" s="225"/>
      <c r="CY55" s="225"/>
      <c r="CZ55" s="225"/>
      <c r="DA55" s="225"/>
      <c r="DB55" s="141"/>
      <c r="DC55" s="141"/>
      <c r="DD55" s="141"/>
      <c r="DE55" s="141"/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/>
      <c r="EB55" s="141"/>
      <c r="EC55" s="141"/>
      <c r="ED55" s="342"/>
      <c r="EE55" s="342"/>
    </row>
    <row r="56" spans="1:135" s="52" customFormat="1" ht="13.5" hidden="1" customHeight="1" outlineLevel="1" x14ac:dyDescent="0.2">
      <c r="A56" s="141"/>
      <c r="B56" s="171"/>
      <c r="C56" s="141"/>
      <c r="D56" s="143"/>
      <c r="E56" s="142"/>
      <c r="F56" s="141"/>
      <c r="G56" s="144"/>
      <c r="H56" s="142"/>
      <c r="I56" s="142"/>
      <c r="J56" s="125"/>
      <c r="K56" s="125"/>
      <c r="L56" s="125"/>
      <c r="M56" s="125"/>
      <c r="N56" s="125"/>
      <c r="O56" s="125"/>
      <c r="P56" s="125"/>
      <c r="Q56" s="323"/>
      <c r="R56" s="125"/>
      <c r="S56" s="125"/>
      <c r="T56" s="145"/>
      <c r="U56" s="145"/>
      <c r="V56" s="145"/>
      <c r="W56" s="125"/>
      <c r="X56" s="278"/>
      <c r="Y56" s="278"/>
      <c r="Z56" s="125"/>
      <c r="AA56" s="125"/>
      <c r="AB56" s="125"/>
      <c r="AC56" s="278"/>
      <c r="AD56" s="278"/>
      <c r="AE56" s="279"/>
      <c r="AF56" s="278"/>
      <c r="AG56" s="278"/>
      <c r="AH56" s="278"/>
      <c r="AI56" s="278"/>
      <c r="AJ56" s="125"/>
      <c r="AK56" s="125"/>
      <c r="AL56" s="125"/>
      <c r="AM56" s="125"/>
      <c r="AN56" s="125"/>
      <c r="AO56" s="125"/>
      <c r="AP56" s="125"/>
      <c r="AQ56" s="278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256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U56" s="141"/>
      <c r="CX56" s="225"/>
      <c r="CY56" s="225"/>
      <c r="CZ56" s="225"/>
      <c r="DA56" s="225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342"/>
      <c r="EE56" s="342"/>
    </row>
    <row r="57" spans="1:135" s="52" customFormat="1" ht="13.5" hidden="1" customHeight="1" outlineLevel="1" x14ac:dyDescent="0.2">
      <c r="A57" s="141"/>
      <c r="B57" s="171"/>
      <c r="C57" s="141"/>
      <c r="D57" s="143"/>
      <c r="E57" s="142"/>
      <c r="F57" s="141"/>
      <c r="G57" s="144"/>
      <c r="H57" s="142"/>
      <c r="I57" s="142"/>
      <c r="J57" s="125"/>
      <c r="K57" s="125"/>
      <c r="L57" s="125"/>
      <c r="M57" s="125"/>
      <c r="N57" s="125"/>
      <c r="O57" s="125"/>
      <c r="P57" s="125"/>
      <c r="Q57" s="323"/>
      <c r="R57" s="125"/>
      <c r="S57" s="125"/>
      <c r="T57" s="145"/>
      <c r="U57" s="145"/>
      <c r="V57" s="145"/>
      <c r="W57" s="125"/>
      <c r="X57" s="278"/>
      <c r="Y57" s="278"/>
      <c r="Z57" s="125"/>
      <c r="AA57" s="125"/>
      <c r="AB57" s="125"/>
      <c r="AC57" s="278"/>
      <c r="AD57" s="278"/>
      <c r="AE57" s="279"/>
      <c r="AF57" s="278"/>
      <c r="AG57" s="278"/>
      <c r="AH57" s="278"/>
      <c r="AI57" s="278"/>
      <c r="AJ57" s="125"/>
      <c r="AK57" s="125"/>
      <c r="AL57" s="125"/>
      <c r="AM57" s="125"/>
      <c r="AN57" s="125"/>
      <c r="AO57" s="125"/>
      <c r="AP57" s="125"/>
      <c r="AQ57" s="278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256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U57" s="141"/>
      <c r="CX57" s="225"/>
      <c r="CY57" s="225"/>
      <c r="CZ57" s="225"/>
      <c r="DA57" s="225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342"/>
      <c r="EE57" s="342"/>
    </row>
    <row r="58" spans="1:135" s="52" customFormat="1" ht="13.5" hidden="1" customHeight="1" outlineLevel="1" x14ac:dyDescent="0.2">
      <c r="A58" s="141"/>
      <c r="B58" s="171"/>
      <c r="C58" s="141"/>
      <c r="D58" s="143"/>
      <c r="E58" s="142"/>
      <c r="F58" s="141"/>
      <c r="G58" s="144"/>
      <c r="H58" s="142"/>
      <c r="I58" s="142"/>
      <c r="J58" s="125"/>
      <c r="K58" s="125"/>
      <c r="L58" s="125"/>
      <c r="M58" s="125"/>
      <c r="N58" s="125"/>
      <c r="O58" s="125"/>
      <c r="P58" s="125"/>
      <c r="Q58" s="323"/>
      <c r="R58" s="125"/>
      <c r="S58" s="125"/>
      <c r="T58" s="145"/>
      <c r="U58" s="145"/>
      <c r="V58" s="145"/>
      <c r="W58" s="125"/>
      <c r="X58" s="278"/>
      <c r="Y58" s="278"/>
      <c r="Z58" s="125"/>
      <c r="AA58" s="125"/>
      <c r="AB58" s="125"/>
      <c r="AC58" s="278"/>
      <c r="AD58" s="278"/>
      <c r="AE58" s="279"/>
      <c r="AF58" s="278"/>
      <c r="AG58" s="278"/>
      <c r="AH58" s="278"/>
      <c r="AI58" s="278"/>
      <c r="AJ58" s="125"/>
      <c r="AK58" s="125"/>
      <c r="AL58" s="125"/>
      <c r="AM58" s="125"/>
      <c r="AN58" s="125"/>
      <c r="AO58" s="125"/>
      <c r="AP58" s="125"/>
      <c r="AQ58" s="278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256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U58" s="141"/>
      <c r="CX58" s="225"/>
      <c r="CY58" s="225"/>
      <c r="CZ58" s="225"/>
      <c r="DA58" s="225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342"/>
      <c r="EE58" s="342"/>
    </row>
    <row r="59" spans="1:135" s="52" customFormat="1" ht="13.5" hidden="1" customHeight="1" outlineLevel="1" x14ac:dyDescent="0.2">
      <c r="A59" s="141"/>
      <c r="B59" s="171"/>
      <c r="C59" s="141"/>
      <c r="D59" s="143"/>
      <c r="E59" s="142"/>
      <c r="F59" s="141"/>
      <c r="G59" s="144"/>
      <c r="H59" s="142"/>
      <c r="I59" s="142"/>
      <c r="J59" s="125"/>
      <c r="K59" s="125"/>
      <c r="L59" s="125"/>
      <c r="M59" s="125"/>
      <c r="N59" s="125"/>
      <c r="O59" s="125"/>
      <c r="P59" s="125"/>
      <c r="Q59" s="323"/>
      <c r="R59" s="125"/>
      <c r="S59" s="125"/>
      <c r="T59" s="145"/>
      <c r="U59" s="145"/>
      <c r="V59" s="145"/>
      <c r="W59" s="125"/>
      <c r="X59" s="278"/>
      <c r="Y59" s="278"/>
      <c r="Z59" s="125"/>
      <c r="AA59" s="125"/>
      <c r="AB59" s="125"/>
      <c r="AC59" s="278"/>
      <c r="AD59" s="278"/>
      <c r="AE59" s="279"/>
      <c r="AF59" s="278"/>
      <c r="AG59" s="278"/>
      <c r="AH59" s="278"/>
      <c r="AI59" s="278"/>
      <c r="AJ59" s="125"/>
      <c r="AK59" s="125"/>
      <c r="AL59" s="125"/>
      <c r="AM59" s="125"/>
      <c r="AN59" s="125"/>
      <c r="AO59" s="125"/>
      <c r="AP59" s="125"/>
      <c r="AQ59" s="278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256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U59" s="141"/>
      <c r="CX59" s="225"/>
      <c r="CY59" s="225"/>
      <c r="CZ59" s="225"/>
      <c r="DA59" s="225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342"/>
      <c r="EE59" s="342"/>
    </row>
    <row r="60" spans="1:135" s="52" customFormat="1" ht="13.5" hidden="1" customHeight="1" outlineLevel="1" x14ac:dyDescent="0.2">
      <c r="A60" s="141"/>
      <c r="B60" s="171"/>
      <c r="C60" s="141"/>
      <c r="D60" s="143"/>
      <c r="E60" s="142"/>
      <c r="F60" s="141"/>
      <c r="G60" s="144"/>
      <c r="H60" s="142"/>
      <c r="I60" s="142"/>
      <c r="J60" s="125"/>
      <c r="K60" s="125"/>
      <c r="L60" s="125"/>
      <c r="M60" s="125"/>
      <c r="N60" s="125"/>
      <c r="O60" s="125"/>
      <c r="P60" s="125"/>
      <c r="Q60" s="323"/>
      <c r="R60" s="125"/>
      <c r="S60" s="125"/>
      <c r="T60" s="145"/>
      <c r="U60" s="145"/>
      <c r="V60" s="145"/>
      <c r="W60" s="125"/>
      <c r="X60" s="278"/>
      <c r="Y60" s="278"/>
      <c r="Z60" s="125"/>
      <c r="AA60" s="125"/>
      <c r="AB60" s="125"/>
      <c r="AC60" s="278"/>
      <c r="AD60" s="278"/>
      <c r="AE60" s="279"/>
      <c r="AF60" s="278"/>
      <c r="AG60" s="278"/>
      <c r="AH60" s="278"/>
      <c r="AI60" s="278"/>
      <c r="AJ60" s="125"/>
      <c r="AK60" s="125"/>
      <c r="AL60" s="125"/>
      <c r="AM60" s="125"/>
      <c r="AN60" s="125"/>
      <c r="AO60" s="125"/>
      <c r="AP60" s="125"/>
      <c r="AQ60" s="278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256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U60" s="141"/>
      <c r="CX60" s="225"/>
      <c r="CY60" s="225"/>
      <c r="CZ60" s="225"/>
      <c r="DA60" s="225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342"/>
      <c r="EE60" s="342"/>
    </row>
    <row r="61" spans="1:135" s="52" customFormat="1" ht="13.5" hidden="1" customHeight="1" outlineLevel="1" x14ac:dyDescent="0.2">
      <c r="A61" s="141"/>
      <c r="B61" s="171"/>
      <c r="C61" s="141"/>
      <c r="D61" s="143"/>
      <c r="E61" s="142"/>
      <c r="F61" s="141"/>
      <c r="G61" s="144"/>
      <c r="H61" s="142"/>
      <c r="I61" s="142"/>
      <c r="J61" s="125"/>
      <c r="K61" s="125"/>
      <c r="L61" s="125"/>
      <c r="M61" s="125"/>
      <c r="N61" s="125"/>
      <c r="O61" s="125"/>
      <c r="P61" s="125"/>
      <c r="Q61" s="323"/>
      <c r="R61" s="125"/>
      <c r="S61" s="125"/>
      <c r="T61" s="145"/>
      <c r="U61" s="145"/>
      <c r="V61" s="145"/>
      <c r="W61" s="125"/>
      <c r="X61" s="278"/>
      <c r="Y61" s="278"/>
      <c r="Z61" s="125"/>
      <c r="AA61" s="125"/>
      <c r="AB61" s="125"/>
      <c r="AC61" s="278"/>
      <c r="AD61" s="278"/>
      <c r="AE61" s="279"/>
      <c r="AF61" s="278"/>
      <c r="AG61" s="278"/>
      <c r="AH61" s="278"/>
      <c r="AI61" s="278"/>
      <c r="AJ61" s="125"/>
      <c r="AK61" s="125"/>
      <c r="AL61" s="125"/>
      <c r="AM61" s="125"/>
      <c r="AN61" s="125"/>
      <c r="AO61" s="125"/>
      <c r="AP61" s="125"/>
      <c r="AQ61" s="278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256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U61" s="141"/>
      <c r="CX61" s="225"/>
      <c r="CY61" s="225"/>
      <c r="CZ61" s="225"/>
      <c r="DA61" s="225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342"/>
      <c r="EE61" s="342"/>
    </row>
    <row r="62" spans="1:135" s="52" customFormat="1" ht="13.5" hidden="1" customHeight="1" outlineLevel="1" x14ac:dyDescent="0.2">
      <c r="A62" s="141"/>
      <c r="B62" s="171"/>
      <c r="C62" s="141"/>
      <c r="D62" s="143"/>
      <c r="E62" s="142"/>
      <c r="F62" s="141"/>
      <c r="G62" s="144"/>
      <c r="H62" s="142"/>
      <c r="I62" s="142"/>
      <c r="J62" s="125"/>
      <c r="K62" s="125"/>
      <c r="L62" s="125"/>
      <c r="M62" s="125"/>
      <c r="N62" s="125"/>
      <c r="O62" s="125"/>
      <c r="P62" s="125"/>
      <c r="Q62" s="323"/>
      <c r="R62" s="125"/>
      <c r="S62" s="125"/>
      <c r="T62" s="145"/>
      <c r="U62" s="145"/>
      <c r="V62" s="145"/>
      <c r="W62" s="125"/>
      <c r="X62" s="278"/>
      <c r="Y62" s="278"/>
      <c r="Z62" s="125"/>
      <c r="AA62" s="125"/>
      <c r="AB62" s="125"/>
      <c r="AC62" s="278"/>
      <c r="AD62" s="278"/>
      <c r="AE62" s="279"/>
      <c r="AF62" s="278"/>
      <c r="AG62" s="278"/>
      <c r="AH62" s="278"/>
      <c r="AI62" s="278"/>
      <c r="AJ62" s="125"/>
      <c r="AK62" s="125"/>
      <c r="AL62" s="125"/>
      <c r="AM62" s="125"/>
      <c r="AN62" s="125"/>
      <c r="AO62" s="125"/>
      <c r="AP62" s="125"/>
      <c r="AQ62" s="278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256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U62" s="141"/>
      <c r="CX62" s="225"/>
      <c r="CY62" s="225"/>
      <c r="CZ62" s="225"/>
      <c r="DA62" s="225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342"/>
      <c r="EE62" s="342"/>
    </row>
    <row r="63" spans="1:135" s="52" customFormat="1" ht="13.5" hidden="1" customHeight="1" outlineLevel="1" x14ac:dyDescent="0.2">
      <c r="A63" s="141"/>
      <c r="B63" s="171"/>
      <c r="C63" s="141"/>
      <c r="D63" s="143"/>
      <c r="E63" s="142"/>
      <c r="F63" s="141"/>
      <c r="G63" s="144"/>
      <c r="H63" s="142"/>
      <c r="I63" s="142"/>
      <c r="J63" s="125"/>
      <c r="K63" s="125"/>
      <c r="L63" s="125"/>
      <c r="M63" s="125"/>
      <c r="N63" s="125"/>
      <c r="O63" s="125"/>
      <c r="P63" s="125"/>
      <c r="Q63" s="323"/>
      <c r="R63" s="125"/>
      <c r="S63" s="125"/>
      <c r="T63" s="145"/>
      <c r="U63" s="145"/>
      <c r="V63" s="145"/>
      <c r="W63" s="125"/>
      <c r="X63" s="278"/>
      <c r="Y63" s="278"/>
      <c r="Z63" s="125"/>
      <c r="AA63" s="125"/>
      <c r="AB63" s="125"/>
      <c r="AC63" s="278"/>
      <c r="AD63" s="278"/>
      <c r="AE63" s="279"/>
      <c r="AF63" s="278"/>
      <c r="AG63" s="278"/>
      <c r="AH63" s="278"/>
      <c r="AI63" s="278"/>
      <c r="AJ63" s="125"/>
      <c r="AK63" s="125"/>
      <c r="AL63" s="125"/>
      <c r="AM63" s="125"/>
      <c r="AN63" s="125"/>
      <c r="AO63" s="125"/>
      <c r="AP63" s="125"/>
      <c r="AQ63" s="278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256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U63" s="141"/>
      <c r="CX63" s="225"/>
      <c r="CY63" s="225"/>
      <c r="CZ63" s="225"/>
      <c r="DA63" s="225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  <c r="EA63" s="141"/>
      <c r="EB63" s="141"/>
      <c r="EC63" s="141"/>
      <c r="ED63" s="342"/>
      <c r="EE63" s="342"/>
    </row>
    <row r="64" spans="1:135" s="52" customFormat="1" ht="13.5" hidden="1" customHeight="1" outlineLevel="1" x14ac:dyDescent="0.2">
      <c r="A64" s="141"/>
      <c r="B64" s="171"/>
      <c r="C64" s="141"/>
      <c r="D64" s="143"/>
      <c r="E64" s="142"/>
      <c r="F64" s="141"/>
      <c r="G64" s="144"/>
      <c r="H64" s="142"/>
      <c r="I64" s="142"/>
      <c r="J64" s="125"/>
      <c r="K64" s="125"/>
      <c r="L64" s="125"/>
      <c r="M64" s="125"/>
      <c r="N64" s="125"/>
      <c r="O64" s="125"/>
      <c r="P64" s="125"/>
      <c r="Q64" s="323"/>
      <c r="R64" s="125"/>
      <c r="S64" s="125"/>
      <c r="T64" s="145"/>
      <c r="U64" s="145"/>
      <c r="V64" s="145"/>
      <c r="W64" s="125"/>
      <c r="X64" s="278"/>
      <c r="Y64" s="278"/>
      <c r="Z64" s="125"/>
      <c r="AA64" s="125"/>
      <c r="AB64" s="125"/>
      <c r="AC64" s="278"/>
      <c r="AD64" s="278"/>
      <c r="AE64" s="279"/>
      <c r="AF64" s="278"/>
      <c r="AG64" s="278"/>
      <c r="AH64" s="278"/>
      <c r="AI64" s="278"/>
      <c r="AJ64" s="125"/>
      <c r="AK64" s="125"/>
      <c r="AL64" s="125"/>
      <c r="AM64" s="125"/>
      <c r="AN64" s="125"/>
      <c r="AO64" s="125"/>
      <c r="AP64" s="125"/>
      <c r="AQ64" s="278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256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U64" s="141"/>
      <c r="CX64" s="225"/>
      <c r="CY64" s="225"/>
      <c r="CZ64" s="225"/>
      <c r="DA64" s="225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342"/>
      <c r="EE64" s="342"/>
    </row>
    <row r="65" spans="1:135" s="52" customFormat="1" ht="13.5" hidden="1" customHeight="1" outlineLevel="1" x14ac:dyDescent="0.2">
      <c r="A65" s="141"/>
      <c r="B65" s="171"/>
      <c r="C65" s="141"/>
      <c r="D65" s="143"/>
      <c r="E65" s="142"/>
      <c r="F65" s="141"/>
      <c r="G65" s="144"/>
      <c r="H65" s="142"/>
      <c r="I65" s="142"/>
      <c r="J65" s="125"/>
      <c r="K65" s="125"/>
      <c r="L65" s="125"/>
      <c r="M65" s="125"/>
      <c r="N65" s="125"/>
      <c r="O65" s="125"/>
      <c r="P65" s="125"/>
      <c r="Q65" s="323"/>
      <c r="R65" s="125"/>
      <c r="S65" s="125"/>
      <c r="T65" s="145"/>
      <c r="U65" s="145"/>
      <c r="V65" s="145"/>
      <c r="W65" s="125"/>
      <c r="X65" s="278"/>
      <c r="Y65" s="278"/>
      <c r="Z65" s="125"/>
      <c r="AA65" s="125"/>
      <c r="AB65" s="125"/>
      <c r="AC65" s="278"/>
      <c r="AD65" s="278"/>
      <c r="AE65" s="279"/>
      <c r="AF65" s="278"/>
      <c r="AG65" s="278"/>
      <c r="AH65" s="278"/>
      <c r="AI65" s="278"/>
      <c r="AJ65" s="125"/>
      <c r="AK65" s="125"/>
      <c r="AL65" s="125"/>
      <c r="AM65" s="125"/>
      <c r="AN65" s="125"/>
      <c r="AO65" s="125"/>
      <c r="AP65" s="125"/>
      <c r="AQ65" s="278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256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U65" s="141"/>
      <c r="CX65" s="225"/>
      <c r="CY65" s="225"/>
      <c r="CZ65" s="225"/>
      <c r="DA65" s="225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  <c r="EA65" s="141"/>
      <c r="EB65" s="141"/>
      <c r="EC65" s="141"/>
      <c r="ED65" s="342"/>
      <c r="EE65" s="342"/>
    </row>
    <row r="66" spans="1:135" s="52" customFormat="1" ht="13.5" hidden="1" customHeight="1" outlineLevel="1" x14ac:dyDescent="0.2">
      <c r="A66" s="141"/>
      <c r="B66" s="171"/>
      <c r="C66" s="141"/>
      <c r="D66" s="143"/>
      <c r="E66" s="142"/>
      <c r="F66" s="141"/>
      <c r="G66" s="144"/>
      <c r="H66" s="142"/>
      <c r="I66" s="142"/>
      <c r="J66" s="125"/>
      <c r="K66" s="125"/>
      <c r="L66" s="125"/>
      <c r="M66" s="125"/>
      <c r="N66" s="125"/>
      <c r="O66" s="125"/>
      <c r="P66" s="125"/>
      <c r="Q66" s="323"/>
      <c r="R66" s="125"/>
      <c r="S66" s="125"/>
      <c r="T66" s="145"/>
      <c r="U66" s="145"/>
      <c r="V66" s="145"/>
      <c r="W66" s="125"/>
      <c r="X66" s="278"/>
      <c r="Y66" s="278"/>
      <c r="Z66" s="125"/>
      <c r="AA66" s="125"/>
      <c r="AB66" s="125"/>
      <c r="AC66" s="278"/>
      <c r="AD66" s="278"/>
      <c r="AE66" s="279"/>
      <c r="AF66" s="278"/>
      <c r="AG66" s="278"/>
      <c r="AH66" s="278"/>
      <c r="AI66" s="278"/>
      <c r="AJ66" s="125"/>
      <c r="AK66" s="125"/>
      <c r="AL66" s="125"/>
      <c r="AM66" s="125"/>
      <c r="AN66" s="125"/>
      <c r="AO66" s="125"/>
      <c r="AP66" s="125"/>
      <c r="AQ66" s="278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256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U66" s="141"/>
      <c r="CX66" s="225"/>
      <c r="CY66" s="225"/>
      <c r="CZ66" s="225"/>
      <c r="DA66" s="225"/>
      <c r="DB66" s="141"/>
      <c r="DC66" s="141"/>
      <c r="DD66" s="141"/>
      <c r="DE66" s="141"/>
      <c r="DF66" s="141"/>
      <c r="DG66" s="141"/>
      <c r="DH66" s="141"/>
      <c r="DI66" s="141"/>
      <c r="DJ66" s="141"/>
      <c r="DK66" s="141"/>
      <c r="DL66" s="141"/>
      <c r="DM66" s="141"/>
      <c r="DN66" s="141"/>
      <c r="DO66" s="141"/>
      <c r="DP66" s="141"/>
      <c r="DQ66" s="141"/>
      <c r="DR66" s="141"/>
      <c r="DS66" s="141"/>
      <c r="DT66" s="141"/>
      <c r="DU66" s="141"/>
      <c r="DV66" s="141"/>
      <c r="DW66" s="141"/>
      <c r="DX66" s="141"/>
      <c r="DY66" s="141"/>
      <c r="DZ66" s="141"/>
      <c r="EA66" s="141"/>
      <c r="EB66" s="141"/>
      <c r="EC66" s="141"/>
      <c r="ED66" s="342"/>
      <c r="EE66" s="342"/>
    </row>
    <row r="67" spans="1:135" s="52" customFormat="1" ht="13.5" hidden="1" customHeight="1" outlineLevel="1" x14ac:dyDescent="0.2">
      <c r="A67" s="141"/>
      <c r="B67" s="171"/>
      <c r="C67" s="141"/>
      <c r="D67" s="143"/>
      <c r="E67" s="142"/>
      <c r="F67" s="141"/>
      <c r="G67" s="144"/>
      <c r="H67" s="142"/>
      <c r="I67" s="142"/>
      <c r="J67" s="125"/>
      <c r="K67" s="125"/>
      <c r="L67" s="125"/>
      <c r="M67" s="125"/>
      <c r="N67" s="125"/>
      <c r="O67" s="125"/>
      <c r="P67" s="125"/>
      <c r="Q67" s="323"/>
      <c r="R67" s="125"/>
      <c r="S67" s="125"/>
      <c r="T67" s="145"/>
      <c r="U67" s="145"/>
      <c r="V67" s="145"/>
      <c r="W67" s="125"/>
      <c r="X67" s="278"/>
      <c r="Y67" s="278"/>
      <c r="Z67" s="125"/>
      <c r="AA67" s="125"/>
      <c r="AB67" s="125"/>
      <c r="AC67" s="278"/>
      <c r="AD67" s="278"/>
      <c r="AE67" s="279"/>
      <c r="AF67" s="278"/>
      <c r="AG67" s="278"/>
      <c r="AH67" s="278"/>
      <c r="AI67" s="278"/>
      <c r="AJ67" s="125"/>
      <c r="AK67" s="125"/>
      <c r="AL67" s="125"/>
      <c r="AM67" s="125"/>
      <c r="AN67" s="125"/>
      <c r="AO67" s="125"/>
      <c r="AP67" s="125"/>
      <c r="AQ67" s="278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256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U67" s="141"/>
      <c r="CX67" s="225"/>
      <c r="CY67" s="225"/>
      <c r="CZ67" s="225"/>
      <c r="DA67" s="225"/>
      <c r="DB67" s="141"/>
      <c r="DC67" s="141"/>
      <c r="DD67" s="141"/>
      <c r="DE67" s="141"/>
      <c r="DF67" s="141"/>
      <c r="DG67" s="141"/>
      <c r="DH67" s="141"/>
      <c r="DI67" s="141"/>
      <c r="DJ67" s="141"/>
      <c r="DK67" s="141"/>
      <c r="DL67" s="141"/>
      <c r="DM67" s="141"/>
      <c r="DN67" s="141"/>
      <c r="DO67" s="141"/>
      <c r="DP67" s="141"/>
      <c r="DQ67" s="141"/>
      <c r="DR67" s="141"/>
      <c r="DS67" s="141"/>
      <c r="DT67" s="141"/>
      <c r="DU67" s="141"/>
      <c r="DV67" s="141"/>
      <c r="DW67" s="141"/>
      <c r="DX67" s="141"/>
      <c r="DY67" s="141"/>
      <c r="DZ67" s="141"/>
      <c r="EA67" s="141"/>
      <c r="EB67" s="141"/>
      <c r="EC67" s="141"/>
      <c r="ED67" s="342"/>
      <c r="EE67" s="342"/>
    </row>
    <row r="68" spans="1:135" s="52" customFormat="1" ht="13.5" hidden="1" customHeight="1" outlineLevel="1" x14ac:dyDescent="0.2">
      <c r="A68" s="141"/>
      <c r="B68" s="171"/>
      <c r="C68" s="141"/>
      <c r="D68" s="143"/>
      <c r="E68" s="142"/>
      <c r="F68" s="141"/>
      <c r="G68" s="144"/>
      <c r="H68" s="142"/>
      <c r="I68" s="142"/>
      <c r="J68" s="125"/>
      <c r="K68" s="125"/>
      <c r="L68" s="125"/>
      <c r="M68" s="125"/>
      <c r="N68" s="125"/>
      <c r="O68" s="125"/>
      <c r="P68" s="125"/>
      <c r="Q68" s="323"/>
      <c r="R68" s="125"/>
      <c r="S68" s="125"/>
      <c r="T68" s="145"/>
      <c r="U68" s="145"/>
      <c r="V68" s="145"/>
      <c r="W68" s="125"/>
      <c r="X68" s="278"/>
      <c r="Y68" s="278"/>
      <c r="Z68" s="125"/>
      <c r="AA68" s="125"/>
      <c r="AB68" s="125"/>
      <c r="AC68" s="278"/>
      <c r="AD68" s="278"/>
      <c r="AE68" s="279"/>
      <c r="AF68" s="278"/>
      <c r="AG68" s="278"/>
      <c r="AH68" s="278"/>
      <c r="AI68" s="278"/>
      <c r="AJ68" s="125"/>
      <c r="AK68" s="125"/>
      <c r="AL68" s="125"/>
      <c r="AM68" s="125"/>
      <c r="AN68" s="125"/>
      <c r="AO68" s="125"/>
      <c r="AP68" s="125"/>
      <c r="AQ68" s="278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256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U68" s="141"/>
      <c r="CX68" s="225"/>
      <c r="CY68" s="225"/>
      <c r="CZ68" s="225"/>
      <c r="DA68" s="225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342"/>
      <c r="EE68" s="342"/>
    </row>
    <row r="69" spans="1:135" s="52" customFormat="1" ht="13.5" hidden="1" customHeight="1" outlineLevel="1" x14ac:dyDescent="0.2">
      <c r="A69" s="141"/>
      <c r="B69" s="171"/>
      <c r="C69" s="141"/>
      <c r="D69" s="143"/>
      <c r="E69" s="142"/>
      <c r="F69" s="141"/>
      <c r="G69" s="144"/>
      <c r="H69" s="142"/>
      <c r="I69" s="142"/>
      <c r="J69" s="125"/>
      <c r="K69" s="125"/>
      <c r="L69" s="125"/>
      <c r="M69" s="125"/>
      <c r="N69" s="125"/>
      <c r="O69" s="125"/>
      <c r="P69" s="125"/>
      <c r="Q69" s="323"/>
      <c r="R69" s="125"/>
      <c r="S69" s="125"/>
      <c r="T69" s="145"/>
      <c r="U69" s="145"/>
      <c r="V69" s="145"/>
      <c r="W69" s="125"/>
      <c r="X69" s="278"/>
      <c r="Y69" s="278"/>
      <c r="Z69" s="125"/>
      <c r="AA69" s="125"/>
      <c r="AB69" s="125"/>
      <c r="AC69" s="278"/>
      <c r="AD69" s="278"/>
      <c r="AE69" s="279"/>
      <c r="AF69" s="278"/>
      <c r="AG69" s="278"/>
      <c r="AH69" s="278"/>
      <c r="AI69" s="278"/>
      <c r="AJ69" s="125"/>
      <c r="AK69" s="125"/>
      <c r="AL69" s="125"/>
      <c r="AM69" s="125"/>
      <c r="AN69" s="125"/>
      <c r="AO69" s="125"/>
      <c r="AP69" s="125"/>
      <c r="AQ69" s="278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256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U69" s="141"/>
      <c r="CX69" s="225"/>
      <c r="CY69" s="225"/>
      <c r="CZ69" s="225"/>
      <c r="DA69" s="225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342"/>
      <c r="EE69" s="342"/>
    </row>
    <row r="70" spans="1:135" s="52" customFormat="1" ht="13.5" hidden="1" customHeight="1" outlineLevel="1" x14ac:dyDescent="0.2">
      <c r="A70" s="141"/>
      <c r="B70" s="171"/>
      <c r="C70" s="141"/>
      <c r="D70" s="143"/>
      <c r="E70" s="142"/>
      <c r="F70" s="141"/>
      <c r="G70" s="144"/>
      <c r="H70" s="142"/>
      <c r="I70" s="142"/>
      <c r="J70" s="125"/>
      <c r="K70" s="125"/>
      <c r="L70" s="125"/>
      <c r="M70" s="125"/>
      <c r="N70" s="125"/>
      <c r="O70" s="125"/>
      <c r="P70" s="125"/>
      <c r="Q70" s="323"/>
      <c r="R70" s="125"/>
      <c r="S70" s="125"/>
      <c r="T70" s="145"/>
      <c r="U70" s="145"/>
      <c r="V70" s="145"/>
      <c r="W70" s="125"/>
      <c r="X70" s="278"/>
      <c r="Y70" s="278"/>
      <c r="Z70" s="125"/>
      <c r="AA70" s="125"/>
      <c r="AB70" s="125"/>
      <c r="AC70" s="278"/>
      <c r="AD70" s="278"/>
      <c r="AE70" s="279"/>
      <c r="AF70" s="278"/>
      <c r="AG70" s="278"/>
      <c r="AH70" s="278"/>
      <c r="AI70" s="278"/>
      <c r="AJ70" s="125"/>
      <c r="AK70" s="125"/>
      <c r="AL70" s="125"/>
      <c r="AM70" s="125"/>
      <c r="AN70" s="125"/>
      <c r="AO70" s="125"/>
      <c r="AP70" s="125"/>
      <c r="AQ70" s="278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256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U70" s="141"/>
      <c r="CX70" s="225"/>
      <c r="CY70" s="225"/>
      <c r="CZ70" s="225"/>
      <c r="DA70" s="225"/>
      <c r="DB70" s="141"/>
      <c r="DC70" s="141"/>
      <c r="DD70" s="141"/>
      <c r="DE70" s="141"/>
      <c r="DF70" s="141"/>
      <c r="DG70" s="141"/>
      <c r="DH70" s="141"/>
      <c r="DI70" s="141"/>
      <c r="DJ70" s="141"/>
      <c r="DK70" s="141"/>
      <c r="DL70" s="141"/>
      <c r="DM70" s="141"/>
      <c r="DN70" s="141"/>
      <c r="DO70" s="141"/>
      <c r="DP70" s="141"/>
      <c r="DQ70" s="141"/>
      <c r="DR70" s="141"/>
      <c r="DS70" s="141"/>
      <c r="DT70" s="141"/>
      <c r="DU70" s="141"/>
      <c r="DV70" s="141"/>
      <c r="DW70" s="141"/>
      <c r="DX70" s="141"/>
      <c r="DY70" s="141"/>
      <c r="DZ70" s="141"/>
      <c r="EA70" s="141"/>
      <c r="EB70" s="141"/>
      <c r="EC70" s="141"/>
      <c r="ED70" s="342"/>
      <c r="EE70" s="342"/>
    </row>
    <row r="71" spans="1:135" s="52" customFormat="1" ht="13.5" hidden="1" customHeight="1" outlineLevel="1" x14ac:dyDescent="0.2">
      <c r="A71" s="141"/>
      <c r="B71" s="171"/>
      <c r="C71" s="141"/>
      <c r="D71" s="143"/>
      <c r="E71" s="142"/>
      <c r="F71" s="141"/>
      <c r="G71" s="144"/>
      <c r="H71" s="142"/>
      <c r="I71" s="142"/>
      <c r="J71" s="125"/>
      <c r="K71" s="125"/>
      <c r="L71" s="125"/>
      <c r="M71" s="125"/>
      <c r="N71" s="125"/>
      <c r="O71" s="125"/>
      <c r="P71" s="125"/>
      <c r="Q71" s="323"/>
      <c r="R71" s="125"/>
      <c r="S71" s="125"/>
      <c r="T71" s="145"/>
      <c r="U71" s="145"/>
      <c r="V71" s="145"/>
      <c r="W71" s="125"/>
      <c r="X71" s="278"/>
      <c r="Y71" s="278"/>
      <c r="Z71" s="125"/>
      <c r="AA71" s="125"/>
      <c r="AB71" s="125"/>
      <c r="AC71" s="278"/>
      <c r="AD71" s="278"/>
      <c r="AE71" s="279"/>
      <c r="AF71" s="278"/>
      <c r="AG71" s="278"/>
      <c r="AH71" s="278"/>
      <c r="AI71" s="278"/>
      <c r="AJ71" s="125"/>
      <c r="AK71" s="125"/>
      <c r="AL71" s="125"/>
      <c r="AM71" s="125"/>
      <c r="AN71" s="125"/>
      <c r="AO71" s="125"/>
      <c r="AP71" s="125"/>
      <c r="AQ71" s="278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256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U71" s="141"/>
      <c r="CX71" s="225"/>
      <c r="CY71" s="225"/>
      <c r="CZ71" s="225"/>
      <c r="DA71" s="225"/>
      <c r="DB71" s="141"/>
      <c r="DC71" s="141"/>
      <c r="DD71" s="141"/>
      <c r="DE71" s="141"/>
      <c r="DF71" s="141"/>
      <c r="DG71" s="141"/>
      <c r="DH71" s="141"/>
      <c r="DI71" s="141"/>
      <c r="DJ71" s="141"/>
      <c r="DK71" s="141"/>
      <c r="DL71" s="141"/>
      <c r="DM71" s="141"/>
      <c r="DN71" s="141"/>
      <c r="DO71" s="141"/>
      <c r="DP71" s="141"/>
      <c r="DQ71" s="141"/>
      <c r="DR71" s="141"/>
      <c r="DS71" s="141"/>
      <c r="DT71" s="141"/>
      <c r="DU71" s="141"/>
      <c r="DV71" s="141"/>
      <c r="DW71" s="141"/>
      <c r="DX71" s="141"/>
      <c r="DY71" s="141"/>
      <c r="DZ71" s="141"/>
      <c r="EA71" s="141"/>
      <c r="EB71" s="141"/>
      <c r="EC71" s="141"/>
      <c r="ED71" s="342"/>
      <c r="EE71" s="342"/>
    </row>
    <row r="72" spans="1:135" s="52" customFormat="1" ht="13.5" hidden="1" customHeight="1" outlineLevel="1" x14ac:dyDescent="0.2">
      <c r="A72" s="141"/>
      <c r="B72" s="171"/>
      <c r="C72" s="141"/>
      <c r="D72" s="143"/>
      <c r="E72" s="142"/>
      <c r="F72" s="141"/>
      <c r="G72" s="144"/>
      <c r="H72" s="142"/>
      <c r="I72" s="142"/>
      <c r="J72" s="125"/>
      <c r="K72" s="125"/>
      <c r="L72" s="125"/>
      <c r="M72" s="125"/>
      <c r="N72" s="125"/>
      <c r="O72" s="125"/>
      <c r="P72" s="125"/>
      <c r="Q72" s="323"/>
      <c r="R72" s="125"/>
      <c r="S72" s="125"/>
      <c r="T72" s="145"/>
      <c r="U72" s="145"/>
      <c r="V72" s="145"/>
      <c r="W72" s="125"/>
      <c r="X72" s="278"/>
      <c r="Y72" s="278"/>
      <c r="Z72" s="125"/>
      <c r="AA72" s="125"/>
      <c r="AB72" s="125"/>
      <c r="AC72" s="278"/>
      <c r="AD72" s="278"/>
      <c r="AE72" s="279"/>
      <c r="AF72" s="278"/>
      <c r="AG72" s="278"/>
      <c r="AH72" s="278"/>
      <c r="AI72" s="278"/>
      <c r="AJ72" s="125"/>
      <c r="AK72" s="125"/>
      <c r="AL72" s="125"/>
      <c r="AM72" s="125"/>
      <c r="AN72" s="125"/>
      <c r="AO72" s="125"/>
      <c r="AP72" s="125"/>
      <c r="AQ72" s="278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256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U72" s="141"/>
      <c r="CX72" s="225"/>
      <c r="CY72" s="225"/>
      <c r="CZ72" s="225"/>
      <c r="DA72" s="225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342"/>
      <c r="EE72" s="342"/>
    </row>
    <row r="73" spans="1:135" s="52" customFormat="1" ht="13.5" hidden="1" customHeight="1" outlineLevel="1" x14ac:dyDescent="0.2">
      <c r="A73" s="141"/>
      <c r="B73" s="171"/>
      <c r="C73" s="141"/>
      <c r="D73" s="143"/>
      <c r="E73" s="142"/>
      <c r="F73" s="141"/>
      <c r="G73" s="144"/>
      <c r="H73" s="142"/>
      <c r="I73" s="142"/>
      <c r="J73" s="125"/>
      <c r="K73" s="125"/>
      <c r="L73" s="125"/>
      <c r="M73" s="125"/>
      <c r="N73" s="125"/>
      <c r="O73" s="125"/>
      <c r="P73" s="125"/>
      <c r="Q73" s="323"/>
      <c r="R73" s="125"/>
      <c r="S73" s="125"/>
      <c r="T73" s="145"/>
      <c r="U73" s="145"/>
      <c r="V73" s="145"/>
      <c r="W73" s="125"/>
      <c r="X73" s="278"/>
      <c r="Y73" s="278"/>
      <c r="Z73" s="125"/>
      <c r="AA73" s="125"/>
      <c r="AB73" s="125"/>
      <c r="AC73" s="278"/>
      <c r="AD73" s="278"/>
      <c r="AE73" s="279"/>
      <c r="AF73" s="278"/>
      <c r="AG73" s="278"/>
      <c r="AH73" s="278"/>
      <c r="AI73" s="278"/>
      <c r="AJ73" s="125"/>
      <c r="AK73" s="125"/>
      <c r="AL73" s="125"/>
      <c r="AM73" s="125"/>
      <c r="AN73" s="125"/>
      <c r="AO73" s="125"/>
      <c r="AP73" s="125"/>
      <c r="AQ73" s="278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256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U73" s="141"/>
      <c r="CX73" s="225"/>
      <c r="CY73" s="225"/>
      <c r="CZ73" s="225"/>
      <c r="DA73" s="225"/>
      <c r="DB73" s="141"/>
      <c r="DC73" s="141"/>
      <c r="DD73" s="141"/>
      <c r="DE73" s="141"/>
      <c r="DF73" s="141"/>
      <c r="DG73" s="141"/>
      <c r="DH73" s="141"/>
      <c r="DI73" s="141"/>
      <c r="DJ73" s="141"/>
      <c r="DK73" s="141"/>
      <c r="DL73" s="141"/>
      <c r="DM73" s="141"/>
      <c r="DN73" s="141"/>
      <c r="DO73" s="141"/>
      <c r="DP73" s="141"/>
      <c r="DQ73" s="141"/>
      <c r="DR73" s="141"/>
      <c r="DS73" s="141"/>
      <c r="DT73" s="141"/>
      <c r="DU73" s="141"/>
      <c r="DV73" s="141"/>
      <c r="DW73" s="141"/>
      <c r="DX73" s="141"/>
      <c r="DY73" s="141"/>
      <c r="DZ73" s="141"/>
      <c r="EA73" s="141"/>
      <c r="EB73" s="141"/>
      <c r="EC73" s="141"/>
      <c r="ED73" s="342"/>
      <c r="EE73" s="342"/>
    </row>
    <row r="74" spans="1:135" s="52" customFormat="1" ht="13.5" hidden="1" customHeight="1" outlineLevel="1" x14ac:dyDescent="0.2">
      <c r="A74" s="141"/>
      <c r="B74" s="171"/>
      <c r="C74" s="141"/>
      <c r="D74" s="143"/>
      <c r="E74" s="142"/>
      <c r="F74" s="141"/>
      <c r="G74" s="144"/>
      <c r="H74" s="142"/>
      <c r="I74" s="142"/>
      <c r="J74" s="125"/>
      <c r="K74" s="125"/>
      <c r="L74" s="125"/>
      <c r="M74" s="125"/>
      <c r="N74" s="125"/>
      <c r="O74" s="125"/>
      <c r="P74" s="125"/>
      <c r="Q74" s="323"/>
      <c r="R74" s="125"/>
      <c r="S74" s="125"/>
      <c r="T74" s="145"/>
      <c r="U74" s="145"/>
      <c r="V74" s="145"/>
      <c r="W74" s="125"/>
      <c r="X74" s="278"/>
      <c r="Y74" s="278"/>
      <c r="Z74" s="125"/>
      <c r="AA74" s="125"/>
      <c r="AB74" s="125"/>
      <c r="AC74" s="278"/>
      <c r="AD74" s="278"/>
      <c r="AE74" s="279"/>
      <c r="AF74" s="278"/>
      <c r="AG74" s="278"/>
      <c r="AH74" s="278"/>
      <c r="AI74" s="278"/>
      <c r="AJ74" s="125"/>
      <c r="AK74" s="125"/>
      <c r="AL74" s="125"/>
      <c r="AM74" s="125"/>
      <c r="AN74" s="125"/>
      <c r="AO74" s="125"/>
      <c r="AP74" s="125"/>
      <c r="AQ74" s="278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256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U74" s="141"/>
      <c r="CX74" s="225"/>
      <c r="CY74" s="225"/>
      <c r="CZ74" s="225"/>
      <c r="DA74" s="225"/>
      <c r="DB74" s="141"/>
      <c r="DC74" s="141"/>
      <c r="DD74" s="141"/>
      <c r="DE74" s="141"/>
      <c r="DF74" s="141"/>
      <c r="DG74" s="141"/>
      <c r="DH74" s="141"/>
      <c r="DI74" s="141"/>
      <c r="DJ74" s="141"/>
      <c r="DK74" s="141"/>
      <c r="DL74" s="141"/>
      <c r="DM74" s="141"/>
      <c r="DN74" s="141"/>
      <c r="DO74" s="141"/>
      <c r="DP74" s="141"/>
      <c r="DQ74" s="141"/>
      <c r="DR74" s="141"/>
      <c r="DS74" s="141"/>
      <c r="DT74" s="141"/>
      <c r="DU74" s="141"/>
      <c r="DV74" s="141"/>
      <c r="DW74" s="141"/>
      <c r="DX74" s="141"/>
      <c r="DY74" s="141"/>
      <c r="DZ74" s="141"/>
      <c r="EA74" s="141"/>
      <c r="EB74" s="141"/>
      <c r="EC74" s="141"/>
      <c r="ED74" s="342"/>
      <c r="EE74" s="342"/>
    </row>
    <row r="75" spans="1:135" s="52" customFormat="1" ht="13.5" hidden="1" customHeight="1" outlineLevel="1" x14ac:dyDescent="0.2">
      <c r="A75" s="141"/>
      <c r="B75" s="171"/>
      <c r="C75" s="141"/>
      <c r="D75" s="143"/>
      <c r="E75" s="142"/>
      <c r="F75" s="141"/>
      <c r="G75" s="144"/>
      <c r="H75" s="142"/>
      <c r="I75" s="142"/>
      <c r="J75" s="125"/>
      <c r="K75" s="125"/>
      <c r="L75" s="125"/>
      <c r="M75" s="125"/>
      <c r="N75" s="125"/>
      <c r="O75" s="125"/>
      <c r="P75" s="125"/>
      <c r="Q75" s="323"/>
      <c r="R75" s="125"/>
      <c r="S75" s="125"/>
      <c r="T75" s="145"/>
      <c r="U75" s="145"/>
      <c r="V75" s="145"/>
      <c r="W75" s="125"/>
      <c r="X75" s="278"/>
      <c r="Y75" s="278"/>
      <c r="Z75" s="125"/>
      <c r="AA75" s="125"/>
      <c r="AB75" s="125"/>
      <c r="AC75" s="278"/>
      <c r="AD75" s="278"/>
      <c r="AE75" s="279"/>
      <c r="AF75" s="278"/>
      <c r="AG75" s="278"/>
      <c r="AH75" s="278"/>
      <c r="AI75" s="278"/>
      <c r="AJ75" s="125"/>
      <c r="AK75" s="125"/>
      <c r="AL75" s="125"/>
      <c r="AM75" s="125"/>
      <c r="AN75" s="125"/>
      <c r="AO75" s="125"/>
      <c r="AP75" s="125"/>
      <c r="AQ75" s="278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256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U75" s="141"/>
      <c r="CX75" s="225"/>
      <c r="CY75" s="225"/>
      <c r="CZ75" s="225"/>
      <c r="DA75" s="225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342"/>
      <c r="EE75" s="342"/>
    </row>
    <row r="76" spans="1:135" s="52" customFormat="1" ht="13.5" hidden="1" customHeight="1" outlineLevel="1" x14ac:dyDescent="0.2">
      <c r="A76" s="141"/>
      <c r="B76" s="171"/>
      <c r="C76" s="141"/>
      <c r="D76" s="143"/>
      <c r="E76" s="142"/>
      <c r="F76" s="141"/>
      <c r="G76" s="144"/>
      <c r="H76" s="142"/>
      <c r="I76" s="142"/>
      <c r="J76" s="125"/>
      <c r="K76" s="125"/>
      <c r="L76" s="125"/>
      <c r="M76" s="125"/>
      <c r="N76" s="125"/>
      <c r="O76" s="125"/>
      <c r="P76" s="125"/>
      <c r="Q76" s="323"/>
      <c r="R76" s="125"/>
      <c r="S76" s="125"/>
      <c r="T76" s="145"/>
      <c r="U76" s="145"/>
      <c r="V76" s="145"/>
      <c r="W76" s="125"/>
      <c r="X76" s="278"/>
      <c r="Y76" s="278"/>
      <c r="Z76" s="125"/>
      <c r="AA76" s="125"/>
      <c r="AB76" s="125"/>
      <c r="AC76" s="278"/>
      <c r="AD76" s="278"/>
      <c r="AE76" s="279"/>
      <c r="AF76" s="278"/>
      <c r="AG76" s="278"/>
      <c r="AH76" s="278"/>
      <c r="AI76" s="278"/>
      <c r="AJ76" s="125"/>
      <c r="AK76" s="125"/>
      <c r="AL76" s="125"/>
      <c r="AM76" s="125"/>
      <c r="AN76" s="125"/>
      <c r="AO76" s="125"/>
      <c r="AP76" s="125"/>
      <c r="AQ76" s="278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256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U76" s="141"/>
      <c r="CX76" s="225"/>
      <c r="CY76" s="225"/>
      <c r="CZ76" s="225"/>
      <c r="DA76" s="225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342"/>
      <c r="EE76" s="342"/>
    </row>
    <row r="77" spans="1:135" s="52" customFormat="1" ht="13.5" hidden="1" customHeight="1" outlineLevel="1" x14ac:dyDescent="0.2">
      <c r="A77" s="141"/>
      <c r="B77" s="171"/>
      <c r="C77" s="141"/>
      <c r="D77" s="143"/>
      <c r="E77" s="142"/>
      <c r="F77" s="141"/>
      <c r="G77" s="144"/>
      <c r="H77" s="142"/>
      <c r="I77" s="142"/>
      <c r="J77" s="125"/>
      <c r="K77" s="125"/>
      <c r="L77" s="125"/>
      <c r="M77" s="125"/>
      <c r="N77" s="125"/>
      <c r="O77" s="125"/>
      <c r="P77" s="125"/>
      <c r="Q77" s="323"/>
      <c r="R77" s="125"/>
      <c r="S77" s="125"/>
      <c r="T77" s="145"/>
      <c r="U77" s="145"/>
      <c r="V77" s="145"/>
      <c r="W77" s="125"/>
      <c r="X77" s="278"/>
      <c r="Y77" s="278"/>
      <c r="Z77" s="125"/>
      <c r="AA77" s="125"/>
      <c r="AB77" s="125"/>
      <c r="AC77" s="278"/>
      <c r="AD77" s="278"/>
      <c r="AE77" s="279"/>
      <c r="AF77" s="278"/>
      <c r="AG77" s="278"/>
      <c r="AH77" s="278"/>
      <c r="AI77" s="278"/>
      <c r="AJ77" s="125"/>
      <c r="AK77" s="125"/>
      <c r="AL77" s="125"/>
      <c r="AM77" s="125"/>
      <c r="AN77" s="125"/>
      <c r="AO77" s="125"/>
      <c r="AP77" s="125"/>
      <c r="AQ77" s="278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256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U77" s="141"/>
      <c r="CX77" s="225"/>
      <c r="CY77" s="225"/>
      <c r="CZ77" s="225"/>
      <c r="DA77" s="225"/>
      <c r="DB77" s="141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1"/>
      <c r="EA77" s="141"/>
      <c r="EB77" s="141"/>
      <c r="EC77" s="141"/>
      <c r="ED77" s="342"/>
      <c r="EE77" s="342"/>
    </row>
    <row r="78" spans="1:135" s="52" customFormat="1" ht="13.5" hidden="1" customHeight="1" outlineLevel="1" x14ac:dyDescent="0.2">
      <c r="A78" s="141"/>
      <c r="B78" s="171"/>
      <c r="C78" s="141"/>
      <c r="D78" s="143"/>
      <c r="E78" s="142"/>
      <c r="F78" s="141"/>
      <c r="G78" s="144"/>
      <c r="H78" s="142"/>
      <c r="I78" s="142"/>
      <c r="J78" s="125"/>
      <c r="K78" s="125"/>
      <c r="L78" s="125"/>
      <c r="M78" s="125"/>
      <c r="N78" s="125"/>
      <c r="O78" s="125"/>
      <c r="P78" s="125"/>
      <c r="Q78" s="323"/>
      <c r="R78" s="125"/>
      <c r="S78" s="125"/>
      <c r="T78" s="145"/>
      <c r="U78" s="145"/>
      <c r="V78" s="145"/>
      <c r="W78" s="125"/>
      <c r="X78" s="278"/>
      <c r="Y78" s="278"/>
      <c r="Z78" s="125"/>
      <c r="AA78" s="125"/>
      <c r="AB78" s="125"/>
      <c r="AC78" s="278"/>
      <c r="AD78" s="278"/>
      <c r="AE78" s="279"/>
      <c r="AF78" s="278"/>
      <c r="AG78" s="278"/>
      <c r="AH78" s="278"/>
      <c r="AI78" s="278"/>
      <c r="AJ78" s="125"/>
      <c r="AK78" s="125"/>
      <c r="AL78" s="125"/>
      <c r="AM78" s="125"/>
      <c r="AN78" s="125"/>
      <c r="AO78" s="125"/>
      <c r="AP78" s="125"/>
      <c r="AQ78" s="278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256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U78" s="141"/>
      <c r="CX78" s="225"/>
      <c r="CY78" s="225"/>
      <c r="CZ78" s="225"/>
      <c r="DA78" s="225"/>
      <c r="DB78" s="141"/>
      <c r="DC78" s="141"/>
      <c r="DD78" s="141"/>
      <c r="DE78" s="141"/>
      <c r="DF78" s="141"/>
      <c r="DG78" s="141"/>
      <c r="DH78" s="141"/>
      <c r="DI78" s="141"/>
      <c r="DJ78" s="141"/>
      <c r="DK78" s="141"/>
      <c r="DL78" s="141"/>
      <c r="DM78" s="141"/>
      <c r="DN78" s="141"/>
      <c r="DO78" s="141"/>
      <c r="DP78" s="141"/>
      <c r="DQ78" s="141"/>
      <c r="DR78" s="141"/>
      <c r="DS78" s="141"/>
      <c r="DT78" s="141"/>
      <c r="DU78" s="141"/>
      <c r="DV78" s="141"/>
      <c r="DW78" s="141"/>
      <c r="DX78" s="141"/>
      <c r="DY78" s="141"/>
      <c r="DZ78" s="141"/>
      <c r="EA78" s="141"/>
      <c r="EB78" s="141"/>
      <c r="EC78" s="141"/>
      <c r="ED78" s="342"/>
      <c r="EE78" s="342"/>
    </row>
    <row r="79" spans="1:135" s="52" customFormat="1" ht="13.5" hidden="1" customHeight="1" outlineLevel="1" x14ac:dyDescent="0.2">
      <c r="A79" s="141"/>
      <c r="B79" s="171"/>
      <c r="C79" s="141"/>
      <c r="D79" s="143"/>
      <c r="E79" s="142"/>
      <c r="F79" s="141"/>
      <c r="G79" s="144"/>
      <c r="H79" s="142"/>
      <c r="I79" s="142"/>
      <c r="J79" s="125"/>
      <c r="K79" s="125"/>
      <c r="L79" s="125"/>
      <c r="M79" s="125"/>
      <c r="N79" s="125"/>
      <c r="O79" s="125"/>
      <c r="P79" s="125"/>
      <c r="Q79" s="323"/>
      <c r="R79" s="125"/>
      <c r="S79" s="125"/>
      <c r="T79" s="145"/>
      <c r="U79" s="145"/>
      <c r="V79" s="145"/>
      <c r="W79" s="125"/>
      <c r="X79" s="278"/>
      <c r="Y79" s="278"/>
      <c r="Z79" s="125"/>
      <c r="AA79" s="125"/>
      <c r="AB79" s="125"/>
      <c r="AC79" s="278"/>
      <c r="AD79" s="278"/>
      <c r="AE79" s="279"/>
      <c r="AF79" s="278"/>
      <c r="AG79" s="278"/>
      <c r="AH79" s="278"/>
      <c r="AI79" s="278"/>
      <c r="AJ79" s="125"/>
      <c r="AK79" s="125"/>
      <c r="AL79" s="125"/>
      <c r="AM79" s="125"/>
      <c r="AN79" s="125"/>
      <c r="AO79" s="125"/>
      <c r="AP79" s="125"/>
      <c r="AQ79" s="278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256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U79" s="141"/>
      <c r="CX79" s="225"/>
      <c r="CY79" s="225"/>
      <c r="CZ79" s="225"/>
      <c r="DA79" s="225"/>
      <c r="DB79" s="141"/>
      <c r="DC79" s="141"/>
      <c r="DD79" s="141"/>
      <c r="DE79" s="141"/>
      <c r="DF79" s="141"/>
      <c r="DG79" s="141"/>
      <c r="DH79" s="141"/>
      <c r="DI79" s="141"/>
      <c r="DJ79" s="141"/>
      <c r="DK79" s="141"/>
      <c r="DL79" s="141"/>
      <c r="DM79" s="141"/>
      <c r="DN79" s="141"/>
      <c r="DO79" s="141"/>
      <c r="DP79" s="141"/>
      <c r="DQ79" s="141"/>
      <c r="DR79" s="141"/>
      <c r="DS79" s="141"/>
      <c r="DT79" s="141"/>
      <c r="DU79" s="141"/>
      <c r="DV79" s="141"/>
      <c r="DW79" s="141"/>
      <c r="DX79" s="141"/>
      <c r="DY79" s="141"/>
      <c r="DZ79" s="141"/>
      <c r="EA79" s="141"/>
      <c r="EB79" s="141"/>
      <c r="EC79" s="141"/>
      <c r="ED79" s="342"/>
      <c r="EE79" s="342"/>
    </row>
    <row r="80" spans="1:135" s="52" customFormat="1" ht="13.5" hidden="1" customHeight="1" outlineLevel="1" x14ac:dyDescent="0.2">
      <c r="A80" s="141"/>
      <c r="B80" s="171"/>
      <c r="C80" s="141"/>
      <c r="D80" s="143"/>
      <c r="E80" s="142"/>
      <c r="F80" s="141"/>
      <c r="G80" s="144"/>
      <c r="H80" s="142"/>
      <c r="I80" s="142"/>
      <c r="J80" s="125"/>
      <c r="K80" s="125"/>
      <c r="L80" s="125"/>
      <c r="M80" s="125"/>
      <c r="N80" s="125"/>
      <c r="O80" s="125"/>
      <c r="P80" s="125"/>
      <c r="Q80" s="323"/>
      <c r="R80" s="125"/>
      <c r="S80" s="125"/>
      <c r="T80" s="145"/>
      <c r="U80" s="145"/>
      <c r="V80" s="145"/>
      <c r="W80" s="125"/>
      <c r="X80" s="278"/>
      <c r="Y80" s="278"/>
      <c r="Z80" s="125"/>
      <c r="AA80" s="125"/>
      <c r="AB80" s="125"/>
      <c r="AC80" s="278"/>
      <c r="AD80" s="278"/>
      <c r="AE80" s="279"/>
      <c r="AF80" s="278"/>
      <c r="AG80" s="278"/>
      <c r="AH80" s="278"/>
      <c r="AI80" s="278"/>
      <c r="AJ80" s="125"/>
      <c r="AK80" s="125"/>
      <c r="AL80" s="125"/>
      <c r="AM80" s="125"/>
      <c r="AN80" s="125"/>
      <c r="AO80" s="125"/>
      <c r="AP80" s="125"/>
      <c r="AQ80" s="278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256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U80" s="141"/>
      <c r="CX80" s="225"/>
      <c r="CY80" s="225"/>
      <c r="CZ80" s="225"/>
      <c r="DA80" s="225"/>
      <c r="DB80" s="141"/>
      <c r="DC80" s="141"/>
      <c r="DD80" s="141"/>
      <c r="DE80" s="141"/>
      <c r="DF80" s="141"/>
      <c r="DG80" s="141"/>
      <c r="DH80" s="141"/>
      <c r="DI80" s="141"/>
      <c r="DJ80" s="141"/>
      <c r="DK80" s="141"/>
      <c r="DL80" s="141"/>
      <c r="DM80" s="141"/>
      <c r="DN80" s="141"/>
      <c r="DO80" s="141"/>
      <c r="DP80" s="141"/>
      <c r="DQ80" s="141"/>
      <c r="DR80" s="141"/>
      <c r="DS80" s="141"/>
      <c r="DT80" s="141"/>
      <c r="DU80" s="141"/>
      <c r="DV80" s="141"/>
      <c r="DW80" s="141"/>
      <c r="DX80" s="141"/>
      <c r="DY80" s="141"/>
      <c r="DZ80" s="141"/>
      <c r="EA80" s="141"/>
      <c r="EB80" s="141"/>
      <c r="EC80" s="141"/>
      <c r="ED80" s="342"/>
      <c r="EE80" s="342"/>
    </row>
    <row r="81" spans="1:135" s="52" customFormat="1" ht="13.5" hidden="1" customHeight="1" outlineLevel="1" x14ac:dyDescent="0.2">
      <c r="A81" s="141"/>
      <c r="B81" s="171"/>
      <c r="C81" s="141"/>
      <c r="D81" s="143"/>
      <c r="E81" s="142"/>
      <c r="F81" s="141"/>
      <c r="G81" s="144"/>
      <c r="H81" s="142"/>
      <c r="I81" s="142"/>
      <c r="J81" s="125"/>
      <c r="K81" s="125"/>
      <c r="L81" s="125"/>
      <c r="M81" s="125"/>
      <c r="N81" s="125"/>
      <c r="O81" s="125"/>
      <c r="P81" s="125"/>
      <c r="Q81" s="323"/>
      <c r="R81" s="125"/>
      <c r="S81" s="125"/>
      <c r="T81" s="145"/>
      <c r="U81" s="145"/>
      <c r="V81" s="145"/>
      <c r="W81" s="125"/>
      <c r="X81" s="278"/>
      <c r="Y81" s="278"/>
      <c r="Z81" s="125"/>
      <c r="AA81" s="125"/>
      <c r="AB81" s="125"/>
      <c r="AC81" s="278"/>
      <c r="AD81" s="278"/>
      <c r="AE81" s="279"/>
      <c r="AF81" s="278"/>
      <c r="AG81" s="278"/>
      <c r="AH81" s="278"/>
      <c r="AI81" s="278"/>
      <c r="AJ81" s="125"/>
      <c r="AK81" s="125"/>
      <c r="AL81" s="125"/>
      <c r="AM81" s="125"/>
      <c r="AN81" s="125"/>
      <c r="AO81" s="125"/>
      <c r="AP81" s="125"/>
      <c r="AQ81" s="278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256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U81" s="141"/>
      <c r="CX81" s="225"/>
      <c r="CY81" s="225"/>
      <c r="CZ81" s="225"/>
      <c r="DA81" s="225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342"/>
      <c r="EE81" s="342"/>
    </row>
    <row r="82" spans="1:135" s="52" customFormat="1" ht="13.5" hidden="1" customHeight="1" outlineLevel="1" x14ac:dyDescent="0.2">
      <c r="A82" s="141"/>
      <c r="B82" s="171"/>
      <c r="C82" s="141"/>
      <c r="D82" s="143"/>
      <c r="E82" s="142"/>
      <c r="F82" s="141"/>
      <c r="G82" s="144"/>
      <c r="H82" s="142"/>
      <c r="I82" s="142"/>
      <c r="J82" s="125"/>
      <c r="K82" s="125"/>
      <c r="L82" s="125"/>
      <c r="M82" s="125"/>
      <c r="N82" s="125"/>
      <c r="O82" s="125"/>
      <c r="P82" s="125"/>
      <c r="Q82" s="323"/>
      <c r="R82" s="125"/>
      <c r="S82" s="125"/>
      <c r="T82" s="145"/>
      <c r="U82" s="145"/>
      <c r="V82" s="145"/>
      <c r="W82" s="125"/>
      <c r="X82" s="278"/>
      <c r="Y82" s="278"/>
      <c r="Z82" s="125"/>
      <c r="AA82" s="125"/>
      <c r="AB82" s="125"/>
      <c r="AC82" s="278"/>
      <c r="AD82" s="278"/>
      <c r="AE82" s="279"/>
      <c r="AF82" s="278"/>
      <c r="AG82" s="278"/>
      <c r="AH82" s="278"/>
      <c r="AI82" s="278"/>
      <c r="AJ82" s="125"/>
      <c r="AK82" s="125"/>
      <c r="AL82" s="125"/>
      <c r="AM82" s="125"/>
      <c r="AN82" s="125"/>
      <c r="AO82" s="125"/>
      <c r="AP82" s="125"/>
      <c r="AQ82" s="278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256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U82" s="141"/>
      <c r="CX82" s="225"/>
      <c r="CY82" s="225"/>
      <c r="CZ82" s="225"/>
      <c r="DA82" s="225"/>
      <c r="DB82" s="141"/>
      <c r="DC82" s="141"/>
      <c r="DD82" s="141"/>
      <c r="DE82" s="141"/>
      <c r="DF82" s="141"/>
      <c r="DG82" s="141"/>
      <c r="DH82" s="141"/>
      <c r="DI82" s="141"/>
      <c r="DJ82" s="141"/>
      <c r="DK82" s="141"/>
      <c r="DL82" s="141"/>
      <c r="DM82" s="141"/>
      <c r="DN82" s="141"/>
      <c r="DO82" s="141"/>
      <c r="DP82" s="141"/>
      <c r="DQ82" s="141"/>
      <c r="DR82" s="141"/>
      <c r="DS82" s="141"/>
      <c r="DT82" s="141"/>
      <c r="DU82" s="141"/>
      <c r="DV82" s="141"/>
      <c r="DW82" s="141"/>
      <c r="DX82" s="141"/>
      <c r="DY82" s="141"/>
      <c r="DZ82" s="141"/>
      <c r="EA82" s="141"/>
      <c r="EB82" s="141"/>
      <c r="EC82" s="141"/>
      <c r="ED82" s="342"/>
      <c r="EE82" s="342"/>
    </row>
    <row r="83" spans="1:135" s="52" customFormat="1" ht="13.5" hidden="1" customHeight="1" outlineLevel="1" x14ac:dyDescent="0.2">
      <c r="A83" s="141"/>
      <c r="B83" s="171"/>
      <c r="C83" s="141"/>
      <c r="D83" s="143"/>
      <c r="E83" s="142"/>
      <c r="F83" s="141"/>
      <c r="G83" s="144"/>
      <c r="H83" s="142"/>
      <c r="I83" s="142"/>
      <c r="J83" s="125"/>
      <c r="K83" s="125"/>
      <c r="L83" s="125"/>
      <c r="M83" s="125"/>
      <c r="N83" s="125"/>
      <c r="O83" s="125"/>
      <c r="P83" s="125"/>
      <c r="Q83" s="323"/>
      <c r="R83" s="125"/>
      <c r="S83" s="125"/>
      <c r="T83" s="145"/>
      <c r="U83" s="145"/>
      <c r="V83" s="145"/>
      <c r="W83" s="125"/>
      <c r="X83" s="278"/>
      <c r="Y83" s="278"/>
      <c r="Z83" s="125"/>
      <c r="AA83" s="125"/>
      <c r="AB83" s="125"/>
      <c r="AC83" s="278"/>
      <c r="AD83" s="278"/>
      <c r="AE83" s="279"/>
      <c r="AF83" s="278"/>
      <c r="AG83" s="278"/>
      <c r="AH83" s="278"/>
      <c r="AI83" s="278"/>
      <c r="AJ83" s="125"/>
      <c r="AK83" s="125"/>
      <c r="AL83" s="125"/>
      <c r="AM83" s="125"/>
      <c r="AN83" s="125"/>
      <c r="AO83" s="125"/>
      <c r="AP83" s="125"/>
      <c r="AQ83" s="278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256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U83" s="141"/>
      <c r="CX83" s="225"/>
      <c r="CY83" s="225"/>
      <c r="CZ83" s="225"/>
      <c r="DA83" s="225"/>
      <c r="DB83" s="141"/>
      <c r="DC83" s="141"/>
      <c r="DD83" s="141"/>
      <c r="DE83" s="141"/>
      <c r="DF83" s="141"/>
      <c r="DG83" s="141"/>
      <c r="DH83" s="141"/>
      <c r="DI83" s="141"/>
      <c r="DJ83" s="141"/>
      <c r="DK83" s="141"/>
      <c r="DL83" s="141"/>
      <c r="DM83" s="141"/>
      <c r="DN83" s="141"/>
      <c r="DO83" s="141"/>
      <c r="DP83" s="141"/>
      <c r="DQ83" s="141"/>
      <c r="DR83" s="141"/>
      <c r="DS83" s="141"/>
      <c r="DT83" s="141"/>
      <c r="DU83" s="141"/>
      <c r="DV83" s="141"/>
      <c r="DW83" s="141"/>
      <c r="DX83" s="141"/>
      <c r="DY83" s="141"/>
      <c r="DZ83" s="141"/>
      <c r="EA83" s="141"/>
      <c r="EB83" s="141"/>
      <c r="EC83" s="141"/>
      <c r="ED83" s="342"/>
      <c r="EE83" s="342"/>
    </row>
    <row r="84" spans="1:135" s="52" customFormat="1" ht="13.5" hidden="1" customHeight="1" outlineLevel="1" x14ac:dyDescent="0.2">
      <c r="A84" s="141"/>
      <c r="B84" s="171"/>
      <c r="C84" s="141"/>
      <c r="D84" s="143"/>
      <c r="E84" s="142"/>
      <c r="F84" s="141"/>
      <c r="G84" s="144"/>
      <c r="H84" s="142"/>
      <c r="I84" s="142"/>
      <c r="J84" s="125"/>
      <c r="K84" s="125"/>
      <c r="L84" s="125"/>
      <c r="M84" s="125"/>
      <c r="N84" s="125"/>
      <c r="O84" s="125"/>
      <c r="P84" s="125"/>
      <c r="Q84" s="323"/>
      <c r="R84" s="125"/>
      <c r="S84" s="125"/>
      <c r="T84" s="145"/>
      <c r="U84" s="145"/>
      <c r="V84" s="145"/>
      <c r="W84" s="125"/>
      <c r="X84" s="278"/>
      <c r="Y84" s="278"/>
      <c r="Z84" s="125"/>
      <c r="AA84" s="125"/>
      <c r="AB84" s="125"/>
      <c r="AC84" s="278"/>
      <c r="AD84" s="278"/>
      <c r="AE84" s="279"/>
      <c r="AF84" s="278"/>
      <c r="AG84" s="278"/>
      <c r="AH84" s="278"/>
      <c r="AI84" s="278"/>
      <c r="AJ84" s="125"/>
      <c r="AK84" s="125"/>
      <c r="AL84" s="125"/>
      <c r="AM84" s="125"/>
      <c r="AN84" s="125"/>
      <c r="AO84" s="125"/>
      <c r="AP84" s="125"/>
      <c r="AQ84" s="278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256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U84" s="141"/>
      <c r="CX84" s="225"/>
      <c r="CY84" s="225"/>
      <c r="CZ84" s="225"/>
      <c r="DA84" s="225"/>
      <c r="DB84" s="141"/>
      <c r="DC84" s="141"/>
      <c r="DD84" s="141"/>
      <c r="DE84" s="141"/>
      <c r="DF84" s="141"/>
      <c r="DG84" s="141"/>
      <c r="DH84" s="141"/>
      <c r="DI84" s="141"/>
      <c r="DJ84" s="141"/>
      <c r="DK84" s="141"/>
      <c r="DL84" s="141"/>
      <c r="DM84" s="141"/>
      <c r="DN84" s="141"/>
      <c r="DO84" s="141"/>
      <c r="DP84" s="141"/>
      <c r="DQ84" s="141"/>
      <c r="DR84" s="141"/>
      <c r="DS84" s="141"/>
      <c r="DT84" s="141"/>
      <c r="DU84" s="141"/>
      <c r="DV84" s="141"/>
      <c r="DW84" s="141"/>
      <c r="DX84" s="141"/>
      <c r="DY84" s="141"/>
      <c r="DZ84" s="141"/>
      <c r="EA84" s="141"/>
      <c r="EB84" s="141"/>
      <c r="EC84" s="141"/>
      <c r="ED84" s="342"/>
      <c r="EE84" s="342"/>
    </row>
    <row r="85" spans="1:135" s="52" customFormat="1" ht="13.5" hidden="1" customHeight="1" outlineLevel="1" x14ac:dyDescent="0.2">
      <c r="A85" s="141"/>
      <c r="B85" s="171"/>
      <c r="C85" s="141"/>
      <c r="D85" s="143"/>
      <c r="E85" s="142"/>
      <c r="F85" s="141"/>
      <c r="G85" s="144"/>
      <c r="H85" s="142"/>
      <c r="I85" s="142"/>
      <c r="J85" s="125"/>
      <c r="K85" s="125"/>
      <c r="L85" s="125"/>
      <c r="M85" s="125"/>
      <c r="N85" s="125"/>
      <c r="O85" s="125"/>
      <c r="P85" s="125"/>
      <c r="Q85" s="323"/>
      <c r="R85" s="125"/>
      <c r="S85" s="125"/>
      <c r="T85" s="145"/>
      <c r="U85" s="145"/>
      <c r="V85" s="145"/>
      <c r="W85" s="125"/>
      <c r="X85" s="278"/>
      <c r="Y85" s="278"/>
      <c r="Z85" s="125"/>
      <c r="AA85" s="125"/>
      <c r="AB85" s="125"/>
      <c r="AC85" s="278"/>
      <c r="AD85" s="278"/>
      <c r="AE85" s="279"/>
      <c r="AF85" s="278"/>
      <c r="AG85" s="278"/>
      <c r="AH85" s="278"/>
      <c r="AI85" s="278"/>
      <c r="AJ85" s="125"/>
      <c r="AK85" s="125"/>
      <c r="AL85" s="125"/>
      <c r="AM85" s="125"/>
      <c r="AN85" s="125"/>
      <c r="AO85" s="125"/>
      <c r="AP85" s="125"/>
      <c r="AQ85" s="278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256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U85" s="141"/>
      <c r="CX85" s="225"/>
      <c r="CY85" s="225"/>
      <c r="CZ85" s="225"/>
      <c r="DA85" s="225"/>
      <c r="DB85" s="141"/>
      <c r="DC85" s="141"/>
      <c r="DD85" s="141"/>
      <c r="DE85" s="141"/>
      <c r="DF85" s="141"/>
      <c r="DG85" s="141"/>
      <c r="DH85" s="141"/>
      <c r="DI85" s="141"/>
      <c r="DJ85" s="141"/>
      <c r="DK85" s="141"/>
      <c r="DL85" s="141"/>
      <c r="DM85" s="141"/>
      <c r="DN85" s="141"/>
      <c r="DO85" s="141"/>
      <c r="DP85" s="141"/>
      <c r="DQ85" s="141"/>
      <c r="DR85" s="141"/>
      <c r="DS85" s="141"/>
      <c r="DT85" s="141"/>
      <c r="DU85" s="141"/>
      <c r="DV85" s="141"/>
      <c r="DW85" s="141"/>
      <c r="DX85" s="141"/>
      <c r="DY85" s="141"/>
      <c r="DZ85" s="141"/>
      <c r="EA85" s="141"/>
      <c r="EB85" s="141"/>
      <c r="EC85" s="141"/>
      <c r="ED85" s="342"/>
      <c r="EE85" s="342"/>
    </row>
    <row r="86" spans="1:135" s="52" customFormat="1" ht="13.5" hidden="1" customHeight="1" outlineLevel="1" x14ac:dyDescent="0.2">
      <c r="A86" s="141"/>
      <c r="B86" s="171"/>
      <c r="C86" s="141"/>
      <c r="D86" s="143"/>
      <c r="E86" s="142"/>
      <c r="F86" s="141"/>
      <c r="G86" s="144"/>
      <c r="H86" s="142"/>
      <c r="I86" s="142"/>
      <c r="J86" s="125"/>
      <c r="K86" s="125"/>
      <c r="L86" s="125"/>
      <c r="M86" s="125"/>
      <c r="N86" s="125"/>
      <c r="O86" s="125"/>
      <c r="P86" s="125"/>
      <c r="Q86" s="323"/>
      <c r="R86" s="125"/>
      <c r="S86" s="125"/>
      <c r="T86" s="145"/>
      <c r="U86" s="145"/>
      <c r="V86" s="145"/>
      <c r="W86" s="125"/>
      <c r="X86" s="278"/>
      <c r="Y86" s="278"/>
      <c r="Z86" s="125"/>
      <c r="AA86" s="125"/>
      <c r="AB86" s="125"/>
      <c r="AC86" s="278"/>
      <c r="AD86" s="278"/>
      <c r="AE86" s="279"/>
      <c r="AF86" s="278"/>
      <c r="AG86" s="278"/>
      <c r="AH86" s="278"/>
      <c r="AI86" s="278"/>
      <c r="AJ86" s="125"/>
      <c r="AK86" s="125"/>
      <c r="AL86" s="125"/>
      <c r="AM86" s="125"/>
      <c r="AN86" s="125"/>
      <c r="AO86" s="125"/>
      <c r="AP86" s="125"/>
      <c r="AQ86" s="278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256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U86" s="141"/>
      <c r="CX86" s="225"/>
      <c r="CY86" s="225"/>
      <c r="CZ86" s="225"/>
      <c r="DA86" s="225"/>
      <c r="DB86" s="141"/>
      <c r="DC86" s="141"/>
      <c r="DD86" s="141"/>
      <c r="DE86" s="141"/>
      <c r="DF86" s="141"/>
      <c r="DG86" s="141"/>
      <c r="DH86" s="141"/>
      <c r="DI86" s="141"/>
      <c r="DJ86" s="141"/>
      <c r="DK86" s="141"/>
      <c r="DL86" s="141"/>
      <c r="DM86" s="141"/>
      <c r="DN86" s="141"/>
      <c r="DO86" s="141"/>
      <c r="DP86" s="141"/>
      <c r="DQ86" s="141"/>
      <c r="DR86" s="141"/>
      <c r="DS86" s="141"/>
      <c r="DT86" s="141"/>
      <c r="DU86" s="141"/>
      <c r="DV86" s="141"/>
      <c r="DW86" s="141"/>
      <c r="DX86" s="141"/>
      <c r="DY86" s="141"/>
      <c r="DZ86" s="141"/>
      <c r="EA86" s="141"/>
      <c r="EB86" s="141"/>
      <c r="EC86" s="141"/>
      <c r="ED86" s="342"/>
      <c r="EE86" s="342"/>
    </row>
    <row r="87" spans="1:135" s="52" customFormat="1" ht="13.5" hidden="1" customHeight="1" outlineLevel="1" x14ac:dyDescent="0.2">
      <c r="A87" s="141"/>
      <c r="B87" s="171"/>
      <c r="C87" s="141"/>
      <c r="D87" s="143"/>
      <c r="E87" s="142"/>
      <c r="F87" s="141"/>
      <c r="G87" s="144"/>
      <c r="H87" s="142"/>
      <c r="I87" s="142"/>
      <c r="J87" s="125"/>
      <c r="K87" s="125"/>
      <c r="L87" s="125"/>
      <c r="M87" s="125"/>
      <c r="N87" s="125"/>
      <c r="O87" s="125"/>
      <c r="P87" s="125"/>
      <c r="Q87" s="323"/>
      <c r="R87" s="125"/>
      <c r="S87" s="125"/>
      <c r="T87" s="145"/>
      <c r="U87" s="145"/>
      <c r="V87" s="145"/>
      <c r="W87" s="125"/>
      <c r="X87" s="278"/>
      <c r="Y87" s="278"/>
      <c r="Z87" s="125"/>
      <c r="AA87" s="125"/>
      <c r="AB87" s="125"/>
      <c r="AC87" s="278"/>
      <c r="AD87" s="278"/>
      <c r="AE87" s="279"/>
      <c r="AF87" s="278"/>
      <c r="AG87" s="278"/>
      <c r="AH87" s="278"/>
      <c r="AI87" s="278"/>
      <c r="AJ87" s="125"/>
      <c r="AK87" s="125"/>
      <c r="AL87" s="125"/>
      <c r="AM87" s="125"/>
      <c r="AN87" s="125"/>
      <c r="AO87" s="125"/>
      <c r="AP87" s="125"/>
      <c r="AQ87" s="278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256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U87" s="141"/>
      <c r="CX87" s="225"/>
      <c r="CY87" s="225"/>
      <c r="CZ87" s="225"/>
      <c r="DA87" s="225"/>
      <c r="DB87" s="141"/>
      <c r="DC87" s="141"/>
      <c r="DD87" s="141"/>
      <c r="DE87" s="141"/>
      <c r="DF87" s="141"/>
      <c r="DG87" s="141"/>
      <c r="DH87" s="141"/>
      <c r="DI87" s="141"/>
      <c r="DJ87" s="141"/>
      <c r="DK87" s="141"/>
      <c r="DL87" s="141"/>
      <c r="DM87" s="141"/>
      <c r="DN87" s="141"/>
      <c r="DO87" s="141"/>
      <c r="DP87" s="141"/>
      <c r="DQ87" s="141"/>
      <c r="DR87" s="141"/>
      <c r="DS87" s="141"/>
      <c r="DT87" s="141"/>
      <c r="DU87" s="141"/>
      <c r="DV87" s="141"/>
      <c r="DW87" s="141"/>
      <c r="DX87" s="141"/>
      <c r="DY87" s="141"/>
      <c r="DZ87" s="141"/>
      <c r="EA87" s="141"/>
      <c r="EB87" s="141"/>
      <c r="EC87" s="141"/>
      <c r="ED87" s="342"/>
      <c r="EE87" s="342"/>
    </row>
    <row r="88" spans="1:135" s="52" customFormat="1" ht="13.5" hidden="1" customHeight="1" outlineLevel="1" x14ac:dyDescent="0.2">
      <c r="A88" s="141"/>
      <c r="B88" s="171"/>
      <c r="C88" s="141"/>
      <c r="D88" s="143"/>
      <c r="E88" s="142"/>
      <c r="F88" s="141"/>
      <c r="G88" s="144"/>
      <c r="H88" s="142"/>
      <c r="I88" s="142"/>
      <c r="J88" s="125"/>
      <c r="K88" s="125"/>
      <c r="L88" s="125"/>
      <c r="M88" s="125"/>
      <c r="N88" s="125"/>
      <c r="O88" s="125"/>
      <c r="P88" s="125"/>
      <c r="Q88" s="323"/>
      <c r="R88" s="125"/>
      <c r="S88" s="125"/>
      <c r="T88" s="145"/>
      <c r="U88" s="145"/>
      <c r="V88" s="145"/>
      <c r="W88" s="125"/>
      <c r="X88" s="278"/>
      <c r="Y88" s="278"/>
      <c r="Z88" s="125"/>
      <c r="AA88" s="125"/>
      <c r="AB88" s="125"/>
      <c r="AC88" s="278"/>
      <c r="AD88" s="278"/>
      <c r="AE88" s="279"/>
      <c r="AF88" s="278"/>
      <c r="AG88" s="278"/>
      <c r="AH88" s="278"/>
      <c r="AI88" s="278"/>
      <c r="AJ88" s="125"/>
      <c r="AK88" s="125"/>
      <c r="AL88" s="125"/>
      <c r="AM88" s="125"/>
      <c r="AN88" s="125"/>
      <c r="AO88" s="125"/>
      <c r="AP88" s="125"/>
      <c r="AQ88" s="278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256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U88" s="141"/>
      <c r="CX88" s="225"/>
      <c r="CY88" s="225"/>
      <c r="CZ88" s="225"/>
      <c r="DA88" s="225"/>
      <c r="DB88" s="141"/>
      <c r="DC88" s="141"/>
      <c r="DD88" s="141"/>
      <c r="DE88" s="141"/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342"/>
      <c r="EE88" s="342"/>
    </row>
    <row r="89" spans="1:135" s="52" customFormat="1" ht="13.5" hidden="1" customHeight="1" outlineLevel="1" x14ac:dyDescent="0.2">
      <c r="A89" s="141"/>
      <c r="B89" s="171"/>
      <c r="C89" s="141"/>
      <c r="D89" s="143"/>
      <c r="E89" s="142"/>
      <c r="F89" s="141"/>
      <c r="G89" s="144"/>
      <c r="H89" s="142"/>
      <c r="I89" s="142"/>
      <c r="J89" s="125"/>
      <c r="K89" s="125"/>
      <c r="L89" s="125"/>
      <c r="M89" s="125"/>
      <c r="N89" s="125"/>
      <c r="O89" s="125"/>
      <c r="P89" s="125"/>
      <c r="Q89" s="323"/>
      <c r="R89" s="125"/>
      <c r="S89" s="125"/>
      <c r="T89" s="145"/>
      <c r="U89" s="145"/>
      <c r="V89" s="145"/>
      <c r="W89" s="125"/>
      <c r="X89" s="278"/>
      <c r="Y89" s="278"/>
      <c r="Z89" s="125"/>
      <c r="AA89" s="125"/>
      <c r="AB89" s="125"/>
      <c r="AC89" s="278"/>
      <c r="AD89" s="278"/>
      <c r="AE89" s="279"/>
      <c r="AF89" s="278"/>
      <c r="AG89" s="278"/>
      <c r="AH89" s="278"/>
      <c r="AI89" s="278"/>
      <c r="AJ89" s="125"/>
      <c r="AK89" s="125"/>
      <c r="AL89" s="125"/>
      <c r="AM89" s="125"/>
      <c r="AN89" s="125"/>
      <c r="AO89" s="125"/>
      <c r="AP89" s="125"/>
      <c r="AQ89" s="278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256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U89" s="141"/>
      <c r="CX89" s="225"/>
      <c r="CY89" s="225"/>
      <c r="CZ89" s="225"/>
      <c r="DA89" s="225"/>
      <c r="DB89" s="141"/>
      <c r="DC89" s="141"/>
      <c r="DD89" s="141"/>
      <c r="DE89" s="141"/>
      <c r="DF89" s="141"/>
      <c r="DG89" s="141"/>
      <c r="DH89" s="141"/>
      <c r="DI89" s="141"/>
      <c r="DJ89" s="141"/>
      <c r="DK89" s="141"/>
      <c r="DL89" s="141"/>
      <c r="DM89" s="141"/>
      <c r="DN89" s="141"/>
      <c r="DO89" s="141"/>
      <c r="DP89" s="141"/>
      <c r="DQ89" s="141"/>
      <c r="DR89" s="141"/>
      <c r="DS89" s="141"/>
      <c r="DT89" s="141"/>
      <c r="DU89" s="141"/>
      <c r="DV89" s="141"/>
      <c r="DW89" s="141"/>
      <c r="DX89" s="141"/>
      <c r="DY89" s="141"/>
      <c r="DZ89" s="141"/>
      <c r="EA89" s="141"/>
      <c r="EB89" s="141"/>
      <c r="EC89" s="141"/>
      <c r="ED89" s="342"/>
      <c r="EE89" s="342"/>
    </row>
    <row r="90" spans="1:135" s="52" customFormat="1" ht="13.5" hidden="1" customHeight="1" outlineLevel="1" x14ac:dyDescent="0.2">
      <c r="A90" s="141"/>
      <c r="B90" s="171"/>
      <c r="C90" s="141"/>
      <c r="D90" s="143"/>
      <c r="E90" s="142"/>
      <c r="F90" s="141"/>
      <c r="G90" s="144"/>
      <c r="H90" s="142"/>
      <c r="I90" s="142"/>
      <c r="J90" s="125"/>
      <c r="K90" s="125"/>
      <c r="L90" s="125"/>
      <c r="M90" s="125"/>
      <c r="N90" s="125"/>
      <c r="O90" s="125"/>
      <c r="P90" s="125"/>
      <c r="Q90" s="323"/>
      <c r="R90" s="125"/>
      <c r="S90" s="125"/>
      <c r="T90" s="145"/>
      <c r="U90" s="145"/>
      <c r="V90" s="145"/>
      <c r="W90" s="125"/>
      <c r="X90" s="278"/>
      <c r="Y90" s="278"/>
      <c r="Z90" s="125"/>
      <c r="AA90" s="125"/>
      <c r="AB90" s="125"/>
      <c r="AC90" s="278"/>
      <c r="AD90" s="278"/>
      <c r="AE90" s="279"/>
      <c r="AF90" s="278"/>
      <c r="AG90" s="278"/>
      <c r="AH90" s="278"/>
      <c r="AI90" s="278"/>
      <c r="AJ90" s="125"/>
      <c r="AK90" s="125"/>
      <c r="AL90" s="125"/>
      <c r="AM90" s="125"/>
      <c r="AN90" s="125"/>
      <c r="AO90" s="125"/>
      <c r="AP90" s="125"/>
      <c r="AQ90" s="278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256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U90" s="141"/>
      <c r="CX90" s="225"/>
      <c r="CY90" s="225"/>
      <c r="CZ90" s="225"/>
      <c r="DA90" s="225"/>
      <c r="DB90" s="141"/>
      <c r="DC90" s="141"/>
      <c r="DD90" s="141"/>
      <c r="DE90" s="141"/>
      <c r="DF90" s="141"/>
      <c r="DG90" s="141"/>
      <c r="DH90" s="141"/>
      <c r="DI90" s="141"/>
      <c r="DJ90" s="141"/>
      <c r="DK90" s="141"/>
      <c r="DL90" s="141"/>
      <c r="DM90" s="141"/>
      <c r="DN90" s="141"/>
      <c r="DO90" s="141"/>
      <c r="DP90" s="141"/>
      <c r="DQ90" s="141"/>
      <c r="DR90" s="141"/>
      <c r="DS90" s="141"/>
      <c r="DT90" s="141"/>
      <c r="DU90" s="141"/>
      <c r="DV90" s="141"/>
      <c r="DW90" s="141"/>
      <c r="DX90" s="141"/>
      <c r="DY90" s="141"/>
      <c r="DZ90" s="141"/>
      <c r="EA90" s="141"/>
      <c r="EB90" s="141"/>
      <c r="EC90" s="141"/>
      <c r="ED90" s="342"/>
      <c r="EE90" s="342"/>
    </row>
    <row r="91" spans="1:135" s="52" customFormat="1" ht="13.5" hidden="1" customHeight="1" outlineLevel="1" x14ac:dyDescent="0.2">
      <c r="A91" s="141"/>
      <c r="B91" s="171"/>
      <c r="C91" s="141"/>
      <c r="D91" s="143"/>
      <c r="E91" s="142"/>
      <c r="F91" s="141"/>
      <c r="G91" s="144"/>
      <c r="H91" s="142"/>
      <c r="I91" s="142"/>
      <c r="J91" s="125"/>
      <c r="K91" s="125"/>
      <c r="L91" s="125"/>
      <c r="M91" s="125"/>
      <c r="N91" s="125"/>
      <c r="O91" s="125"/>
      <c r="P91" s="125"/>
      <c r="Q91" s="323"/>
      <c r="R91" s="125"/>
      <c r="S91" s="125"/>
      <c r="T91" s="145"/>
      <c r="U91" s="145"/>
      <c r="V91" s="145"/>
      <c r="W91" s="125"/>
      <c r="X91" s="278"/>
      <c r="Y91" s="278"/>
      <c r="Z91" s="125"/>
      <c r="AA91" s="125"/>
      <c r="AB91" s="125"/>
      <c r="AC91" s="278"/>
      <c r="AD91" s="278"/>
      <c r="AE91" s="279"/>
      <c r="AF91" s="278"/>
      <c r="AG91" s="278"/>
      <c r="AH91" s="278"/>
      <c r="AI91" s="278"/>
      <c r="AJ91" s="125"/>
      <c r="AK91" s="125"/>
      <c r="AL91" s="125"/>
      <c r="AM91" s="125"/>
      <c r="AN91" s="125"/>
      <c r="AO91" s="125"/>
      <c r="AP91" s="125"/>
      <c r="AQ91" s="278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256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U91" s="141"/>
      <c r="CX91" s="225"/>
      <c r="CY91" s="225"/>
      <c r="CZ91" s="225"/>
      <c r="DA91" s="225"/>
      <c r="DB91" s="141"/>
      <c r="DC91" s="141"/>
      <c r="DD91" s="141"/>
      <c r="DE91" s="141"/>
      <c r="DF91" s="141"/>
      <c r="DG91" s="141"/>
      <c r="DH91" s="141"/>
      <c r="DI91" s="141"/>
      <c r="DJ91" s="141"/>
      <c r="DK91" s="141"/>
      <c r="DL91" s="141"/>
      <c r="DM91" s="141"/>
      <c r="DN91" s="141"/>
      <c r="DO91" s="141"/>
      <c r="DP91" s="141"/>
      <c r="DQ91" s="141"/>
      <c r="DR91" s="141"/>
      <c r="DS91" s="141"/>
      <c r="DT91" s="141"/>
      <c r="DU91" s="141"/>
      <c r="DV91" s="141"/>
      <c r="DW91" s="141"/>
      <c r="DX91" s="141"/>
      <c r="DY91" s="141"/>
      <c r="DZ91" s="141"/>
      <c r="EA91" s="141"/>
      <c r="EB91" s="141"/>
      <c r="EC91" s="141"/>
      <c r="ED91" s="342"/>
      <c r="EE91" s="342"/>
    </row>
    <row r="92" spans="1:135" s="52" customFormat="1" ht="13.5" hidden="1" customHeight="1" outlineLevel="1" x14ac:dyDescent="0.2">
      <c r="A92" s="141"/>
      <c r="B92" s="171"/>
      <c r="C92" s="141"/>
      <c r="D92" s="143"/>
      <c r="E92" s="142"/>
      <c r="F92" s="141"/>
      <c r="G92" s="144"/>
      <c r="H92" s="142"/>
      <c r="I92" s="142"/>
      <c r="J92" s="125"/>
      <c r="K92" s="125"/>
      <c r="L92" s="125"/>
      <c r="M92" s="125"/>
      <c r="N92" s="125"/>
      <c r="O92" s="125"/>
      <c r="P92" s="125"/>
      <c r="Q92" s="323"/>
      <c r="R92" s="125"/>
      <c r="S92" s="125"/>
      <c r="T92" s="145"/>
      <c r="U92" s="145"/>
      <c r="V92" s="145"/>
      <c r="W92" s="125"/>
      <c r="X92" s="278"/>
      <c r="Y92" s="278"/>
      <c r="Z92" s="125"/>
      <c r="AA92" s="125"/>
      <c r="AB92" s="125"/>
      <c r="AC92" s="278"/>
      <c r="AD92" s="278"/>
      <c r="AE92" s="279"/>
      <c r="AF92" s="278"/>
      <c r="AG92" s="278"/>
      <c r="AH92" s="278"/>
      <c r="AI92" s="278"/>
      <c r="AJ92" s="125"/>
      <c r="AK92" s="125"/>
      <c r="AL92" s="125"/>
      <c r="AM92" s="125"/>
      <c r="AN92" s="125"/>
      <c r="AO92" s="125"/>
      <c r="AP92" s="125"/>
      <c r="AQ92" s="278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256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U92" s="141"/>
      <c r="CX92" s="225"/>
      <c r="CY92" s="225"/>
      <c r="CZ92" s="225"/>
      <c r="DA92" s="225"/>
      <c r="DB92" s="141"/>
      <c r="DC92" s="141"/>
      <c r="DD92" s="141"/>
      <c r="DE92" s="141"/>
      <c r="DF92" s="141"/>
      <c r="DG92" s="141"/>
      <c r="DH92" s="141"/>
      <c r="DI92" s="141"/>
      <c r="DJ92" s="141"/>
      <c r="DK92" s="141"/>
      <c r="DL92" s="141"/>
      <c r="DM92" s="141"/>
      <c r="DN92" s="141"/>
      <c r="DO92" s="141"/>
      <c r="DP92" s="141"/>
      <c r="DQ92" s="141"/>
      <c r="DR92" s="141"/>
      <c r="DS92" s="141"/>
      <c r="DT92" s="141"/>
      <c r="DU92" s="141"/>
      <c r="DV92" s="141"/>
      <c r="DW92" s="141"/>
      <c r="DX92" s="141"/>
      <c r="DY92" s="141"/>
      <c r="DZ92" s="141"/>
      <c r="EA92" s="141"/>
      <c r="EB92" s="141"/>
      <c r="EC92" s="141"/>
      <c r="ED92" s="342"/>
      <c r="EE92" s="342"/>
    </row>
    <row r="93" spans="1:135" s="52" customFormat="1" ht="13.5" hidden="1" customHeight="1" outlineLevel="1" x14ac:dyDescent="0.2">
      <c r="A93" s="141"/>
      <c r="B93" s="171"/>
      <c r="C93" s="141"/>
      <c r="D93" s="143"/>
      <c r="E93" s="142"/>
      <c r="F93" s="141"/>
      <c r="G93" s="144"/>
      <c r="H93" s="142"/>
      <c r="I93" s="142"/>
      <c r="J93" s="125"/>
      <c r="K93" s="125"/>
      <c r="L93" s="125"/>
      <c r="M93" s="125"/>
      <c r="N93" s="125"/>
      <c r="O93" s="125"/>
      <c r="P93" s="125"/>
      <c r="Q93" s="323"/>
      <c r="R93" s="125"/>
      <c r="S93" s="125"/>
      <c r="T93" s="145"/>
      <c r="U93" s="145"/>
      <c r="V93" s="145"/>
      <c r="W93" s="125"/>
      <c r="X93" s="278"/>
      <c r="Y93" s="278"/>
      <c r="Z93" s="125"/>
      <c r="AA93" s="125"/>
      <c r="AB93" s="125"/>
      <c r="AC93" s="278"/>
      <c r="AD93" s="278"/>
      <c r="AE93" s="279"/>
      <c r="AF93" s="278"/>
      <c r="AG93" s="278"/>
      <c r="AH93" s="278"/>
      <c r="AI93" s="278"/>
      <c r="AJ93" s="125"/>
      <c r="AK93" s="125"/>
      <c r="AL93" s="125"/>
      <c r="AM93" s="125"/>
      <c r="AN93" s="125"/>
      <c r="AO93" s="125"/>
      <c r="AP93" s="125"/>
      <c r="AQ93" s="278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256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U93" s="141"/>
      <c r="CX93" s="225"/>
      <c r="CY93" s="225"/>
      <c r="CZ93" s="225"/>
      <c r="DA93" s="225"/>
      <c r="DB93" s="141"/>
      <c r="DC93" s="141"/>
      <c r="DD93" s="141"/>
      <c r="DE93" s="141"/>
      <c r="DF93" s="141"/>
      <c r="DG93" s="141"/>
      <c r="DH93" s="141"/>
      <c r="DI93" s="141"/>
      <c r="DJ93" s="141"/>
      <c r="DK93" s="141"/>
      <c r="DL93" s="141"/>
      <c r="DM93" s="141"/>
      <c r="DN93" s="141"/>
      <c r="DO93" s="141"/>
      <c r="DP93" s="141"/>
      <c r="DQ93" s="141"/>
      <c r="DR93" s="141"/>
      <c r="DS93" s="141"/>
      <c r="DT93" s="141"/>
      <c r="DU93" s="141"/>
      <c r="DV93" s="141"/>
      <c r="DW93" s="141"/>
      <c r="DX93" s="141"/>
      <c r="DY93" s="141"/>
      <c r="DZ93" s="141"/>
      <c r="EA93" s="141"/>
      <c r="EB93" s="141"/>
      <c r="EC93" s="141"/>
      <c r="ED93" s="342"/>
      <c r="EE93" s="342"/>
    </row>
    <row r="94" spans="1:135" s="52" customFormat="1" ht="13.5" hidden="1" customHeight="1" outlineLevel="1" x14ac:dyDescent="0.2">
      <c r="A94" s="141"/>
      <c r="B94" s="171"/>
      <c r="C94" s="141"/>
      <c r="D94" s="143"/>
      <c r="E94" s="142"/>
      <c r="F94" s="141"/>
      <c r="G94" s="144"/>
      <c r="H94" s="142"/>
      <c r="I94" s="142"/>
      <c r="J94" s="125"/>
      <c r="K94" s="125"/>
      <c r="L94" s="125"/>
      <c r="M94" s="125"/>
      <c r="N94" s="125"/>
      <c r="O94" s="125"/>
      <c r="P94" s="125"/>
      <c r="Q94" s="323"/>
      <c r="R94" s="125"/>
      <c r="S94" s="125"/>
      <c r="T94" s="145"/>
      <c r="U94" s="145"/>
      <c r="V94" s="145"/>
      <c r="W94" s="125"/>
      <c r="X94" s="278"/>
      <c r="Y94" s="278"/>
      <c r="Z94" s="125"/>
      <c r="AA94" s="125"/>
      <c r="AB94" s="125"/>
      <c r="AC94" s="278"/>
      <c r="AD94" s="278"/>
      <c r="AE94" s="279"/>
      <c r="AF94" s="278"/>
      <c r="AG94" s="278"/>
      <c r="AH94" s="278"/>
      <c r="AI94" s="278"/>
      <c r="AJ94" s="125"/>
      <c r="AK94" s="125"/>
      <c r="AL94" s="125"/>
      <c r="AM94" s="125"/>
      <c r="AN94" s="125"/>
      <c r="AO94" s="125"/>
      <c r="AP94" s="125"/>
      <c r="AQ94" s="278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256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U94" s="141"/>
      <c r="CX94" s="225"/>
      <c r="CY94" s="225"/>
      <c r="CZ94" s="225"/>
      <c r="DA94" s="225"/>
      <c r="DB94" s="141"/>
      <c r="DC94" s="141"/>
      <c r="DD94" s="141"/>
      <c r="DE94" s="141"/>
      <c r="DF94" s="141"/>
      <c r="DG94" s="141"/>
      <c r="DH94" s="141"/>
      <c r="DI94" s="141"/>
      <c r="DJ94" s="141"/>
      <c r="DK94" s="141"/>
      <c r="DL94" s="141"/>
      <c r="DM94" s="141"/>
      <c r="DN94" s="141"/>
      <c r="DO94" s="141"/>
      <c r="DP94" s="141"/>
      <c r="DQ94" s="141"/>
      <c r="DR94" s="141"/>
      <c r="DS94" s="141"/>
      <c r="DT94" s="141"/>
      <c r="DU94" s="141"/>
      <c r="DV94" s="141"/>
      <c r="DW94" s="141"/>
      <c r="DX94" s="141"/>
      <c r="DY94" s="141"/>
      <c r="DZ94" s="141"/>
      <c r="EA94" s="141"/>
      <c r="EB94" s="141"/>
      <c r="EC94" s="141"/>
      <c r="ED94" s="342"/>
      <c r="EE94" s="342"/>
    </row>
    <row r="95" spans="1:135" s="52" customFormat="1" ht="13.5" hidden="1" customHeight="1" outlineLevel="1" x14ac:dyDescent="0.2">
      <c r="A95" s="141"/>
      <c r="B95" s="171"/>
      <c r="C95" s="141"/>
      <c r="D95" s="143"/>
      <c r="E95" s="142"/>
      <c r="F95" s="141"/>
      <c r="G95" s="144"/>
      <c r="H95" s="142"/>
      <c r="I95" s="142"/>
      <c r="J95" s="125"/>
      <c r="K95" s="125"/>
      <c r="L95" s="125"/>
      <c r="M95" s="125"/>
      <c r="N95" s="125"/>
      <c r="O95" s="125"/>
      <c r="P95" s="125"/>
      <c r="Q95" s="323"/>
      <c r="R95" s="125"/>
      <c r="S95" s="125"/>
      <c r="T95" s="145"/>
      <c r="U95" s="145"/>
      <c r="V95" s="145"/>
      <c r="W95" s="125"/>
      <c r="X95" s="278"/>
      <c r="Y95" s="278"/>
      <c r="Z95" s="125"/>
      <c r="AA95" s="125"/>
      <c r="AB95" s="125"/>
      <c r="AC95" s="278"/>
      <c r="AD95" s="278"/>
      <c r="AE95" s="279"/>
      <c r="AF95" s="278"/>
      <c r="AG95" s="278"/>
      <c r="AH95" s="278"/>
      <c r="AI95" s="278"/>
      <c r="AJ95" s="125"/>
      <c r="AK95" s="125"/>
      <c r="AL95" s="125"/>
      <c r="AM95" s="125"/>
      <c r="AN95" s="125"/>
      <c r="AO95" s="125"/>
      <c r="AP95" s="125"/>
      <c r="AQ95" s="278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256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U95" s="141"/>
      <c r="CX95" s="225"/>
      <c r="CY95" s="225"/>
      <c r="CZ95" s="225"/>
      <c r="DA95" s="225"/>
      <c r="DB95" s="141"/>
      <c r="DC95" s="141"/>
      <c r="DD95" s="141"/>
      <c r="DE95" s="141"/>
      <c r="DF95" s="141"/>
      <c r="DG95" s="141"/>
      <c r="DH95" s="141"/>
      <c r="DI95" s="141"/>
      <c r="DJ95" s="141"/>
      <c r="DK95" s="141"/>
      <c r="DL95" s="141"/>
      <c r="DM95" s="141"/>
      <c r="DN95" s="141"/>
      <c r="DO95" s="141"/>
      <c r="DP95" s="141"/>
      <c r="DQ95" s="141"/>
      <c r="DR95" s="141"/>
      <c r="DS95" s="141"/>
      <c r="DT95" s="141"/>
      <c r="DU95" s="141"/>
      <c r="DV95" s="141"/>
      <c r="DW95" s="141"/>
      <c r="DX95" s="141"/>
      <c r="DY95" s="141"/>
      <c r="DZ95" s="141"/>
      <c r="EA95" s="141"/>
      <c r="EB95" s="141"/>
      <c r="EC95" s="141"/>
      <c r="ED95" s="342"/>
      <c r="EE95" s="342"/>
    </row>
    <row r="96" spans="1:135" s="52" customFormat="1" ht="13.5" hidden="1" customHeight="1" outlineLevel="1" x14ac:dyDescent="0.2">
      <c r="A96" s="141"/>
      <c r="B96" s="171"/>
      <c r="C96" s="141"/>
      <c r="D96" s="143"/>
      <c r="E96" s="142"/>
      <c r="F96" s="141"/>
      <c r="G96" s="144"/>
      <c r="H96" s="142"/>
      <c r="I96" s="142"/>
      <c r="J96" s="125"/>
      <c r="K96" s="125"/>
      <c r="L96" s="125"/>
      <c r="M96" s="125"/>
      <c r="N96" s="125"/>
      <c r="O96" s="125"/>
      <c r="P96" s="125"/>
      <c r="Q96" s="323"/>
      <c r="R96" s="125"/>
      <c r="S96" s="125"/>
      <c r="T96" s="145"/>
      <c r="U96" s="145"/>
      <c r="V96" s="145"/>
      <c r="W96" s="125"/>
      <c r="X96" s="278"/>
      <c r="Y96" s="278"/>
      <c r="Z96" s="125"/>
      <c r="AA96" s="125"/>
      <c r="AB96" s="125"/>
      <c r="AC96" s="278"/>
      <c r="AD96" s="278"/>
      <c r="AE96" s="279"/>
      <c r="AF96" s="278"/>
      <c r="AG96" s="278"/>
      <c r="AH96" s="278"/>
      <c r="AI96" s="278"/>
      <c r="AJ96" s="125"/>
      <c r="AK96" s="125"/>
      <c r="AL96" s="125"/>
      <c r="AM96" s="125"/>
      <c r="AN96" s="125"/>
      <c r="AO96" s="125"/>
      <c r="AP96" s="125"/>
      <c r="AQ96" s="278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256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U96" s="141"/>
      <c r="CX96" s="225"/>
      <c r="CY96" s="225"/>
      <c r="CZ96" s="225"/>
      <c r="DA96" s="225"/>
      <c r="DB96" s="141"/>
      <c r="DC96" s="141"/>
      <c r="DD96" s="141"/>
      <c r="DE96" s="141"/>
      <c r="DF96" s="141"/>
      <c r="DG96" s="141"/>
      <c r="DH96" s="141"/>
      <c r="DI96" s="141"/>
      <c r="DJ96" s="141"/>
      <c r="DK96" s="141"/>
      <c r="DL96" s="141"/>
      <c r="DM96" s="141"/>
      <c r="DN96" s="141"/>
      <c r="DO96" s="141"/>
      <c r="DP96" s="141"/>
      <c r="DQ96" s="141"/>
      <c r="DR96" s="141"/>
      <c r="DS96" s="141"/>
      <c r="DT96" s="141"/>
      <c r="DU96" s="141"/>
      <c r="DV96" s="141"/>
      <c r="DW96" s="141"/>
      <c r="DX96" s="141"/>
      <c r="DY96" s="141"/>
      <c r="DZ96" s="141"/>
      <c r="EA96" s="141"/>
      <c r="EB96" s="141"/>
      <c r="EC96" s="141"/>
      <c r="ED96" s="342"/>
      <c r="EE96" s="342"/>
    </row>
    <row r="97" spans="1:135" s="52" customFormat="1" ht="13.5" hidden="1" customHeight="1" outlineLevel="1" x14ac:dyDescent="0.2">
      <c r="A97" s="141"/>
      <c r="B97" s="171"/>
      <c r="C97" s="141"/>
      <c r="D97" s="143"/>
      <c r="E97" s="142"/>
      <c r="F97" s="141"/>
      <c r="G97" s="144"/>
      <c r="H97" s="142"/>
      <c r="I97" s="142"/>
      <c r="J97" s="125"/>
      <c r="K97" s="125"/>
      <c r="L97" s="125"/>
      <c r="M97" s="125"/>
      <c r="N97" s="125"/>
      <c r="O97" s="125"/>
      <c r="P97" s="125"/>
      <c r="Q97" s="323"/>
      <c r="R97" s="125"/>
      <c r="S97" s="125"/>
      <c r="T97" s="145"/>
      <c r="U97" s="145"/>
      <c r="V97" s="145"/>
      <c r="W97" s="125"/>
      <c r="X97" s="278"/>
      <c r="Y97" s="278"/>
      <c r="Z97" s="125"/>
      <c r="AA97" s="125"/>
      <c r="AB97" s="125"/>
      <c r="AC97" s="278"/>
      <c r="AD97" s="278"/>
      <c r="AE97" s="279"/>
      <c r="AF97" s="278"/>
      <c r="AG97" s="278"/>
      <c r="AH97" s="278"/>
      <c r="AI97" s="278"/>
      <c r="AJ97" s="125"/>
      <c r="AK97" s="125"/>
      <c r="AL97" s="125"/>
      <c r="AM97" s="125"/>
      <c r="AN97" s="125"/>
      <c r="AO97" s="125"/>
      <c r="AP97" s="125"/>
      <c r="AQ97" s="278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256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U97" s="141"/>
      <c r="CX97" s="225"/>
      <c r="CY97" s="225"/>
      <c r="CZ97" s="225"/>
      <c r="DA97" s="225"/>
      <c r="DB97" s="141"/>
      <c r="DC97" s="141"/>
      <c r="DD97" s="141"/>
      <c r="DE97" s="141"/>
      <c r="DF97" s="141"/>
      <c r="DG97" s="141"/>
      <c r="DH97" s="141"/>
      <c r="DI97" s="141"/>
      <c r="DJ97" s="141"/>
      <c r="DK97" s="141"/>
      <c r="DL97" s="141"/>
      <c r="DM97" s="141"/>
      <c r="DN97" s="141"/>
      <c r="DO97" s="141"/>
      <c r="DP97" s="141"/>
      <c r="DQ97" s="141"/>
      <c r="DR97" s="141"/>
      <c r="DS97" s="141"/>
      <c r="DT97" s="141"/>
      <c r="DU97" s="141"/>
      <c r="DV97" s="141"/>
      <c r="DW97" s="141"/>
      <c r="DX97" s="141"/>
      <c r="DY97" s="141"/>
      <c r="DZ97" s="141"/>
      <c r="EA97" s="141"/>
      <c r="EB97" s="141"/>
      <c r="EC97" s="141"/>
      <c r="ED97" s="342"/>
      <c r="EE97" s="342"/>
    </row>
    <row r="98" spans="1:135" s="52" customFormat="1" ht="13.5" hidden="1" customHeight="1" outlineLevel="1" x14ac:dyDescent="0.2">
      <c r="A98" s="141"/>
      <c r="B98" s="171"/>
      <c r="C98" s="141"/>
      <c r="D98" s="143"/>
      <c r="E98" s="142"/>
      <c r="F98" s="141"/>
      <c r="G98" s="144"/>
      <c r="H98" s="142"/>
      <c r="I98" s="142"/>
      <c r="J98" s="125"/>
      <c r="K98" s="125"/>
      <c r="L98" s="125"/>
      <c r="M98" s="125"/>
      <c r="N98" s="125"/>
      <c r="O98" s="125"/>
      <c r="P98" s="125"/>
      <c r="Q98" s="323"/>
      <c r="R98" s="125"/>
      <c r="S98" s="125"/>
      <c r="T98" s="145"/>
      <c r="U98" s="145"/>
      <c r="V98" s="145"/>
      <c r="W98" s="125"/>
      <c r="X98" s="278"/>
      <c r="Y98" s="278"/>
      <c r="Z98" s="125"/>
      <c r="AA98" s="125"/>
      <c r="AB98" s="125"/>
      <c r="AC98" s="278"/>
      <c r="AD98" s="278"/>
      <c r="AE98" s="279"/>
      <c r="AF98" s="278"/>
      <c r="AG98" s="278"/>
      <c r="AH98" s="278"/>
      <c r="AI98" s="278"/>
      <c r="AJ98" s="125"/>
      <c r="AK98" s="125"/>
      <c r="AL98" s="125"/>
      <c r="AM98" s="125"/>
      <c r="AN98" s="125"/>
      <c r="AO98" s="125"/>
      <c r="AP98" s="125"/>
      <c r="AQ98" s="278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256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U98" s="141"/>
      <c r="CX98" s="225"/>
      <c r="CY98" s="225"/>
      <c r="CZ98" s="225"/>
      <c r="DA98" s="225"/>
      <c r="DB98" s="141"/>
      <c r="DC98" s="141"/>
      <c r="DD98" s="141"/>
      <c r="DE98" s="141"/>
      <c r="DF98" s="141"/>
      <c r="DG98" s="141"/>
      <c r="DH98" s="141"/>
      <c r="DI98" s="141"/>
      <c r="DJ98" s="141"/>
      <c r="DK98" s="141"/>
      <c r="DL98" s="141"/>
      <c r="DM98" s="141"/>
      <c r="DN98" s="141"/>
      <c r="DO98" s="141"/>
      <c r="DP98" s="141"/>
      <c r="DQ98" s="141"/>
      <c r="DR98" s="141"/>
      <c r="DS98" s="141"/>
      <c r="DT98" s="141"/>
      <c r="DU98" s="141"/>
      <c r="DV98" s="141"/>
      <c r="DW98" s="141"/>
      <c r="DX98" s="141"/>
      <c r="DY98" s="141"/>
      <c r="DZ98" s="141"/>
      <c r="EA98" s="141"/>
      <c r="EB98" s="141"/>
      <c r="EC98" s="141"/>
      <c r="ED98" s="342"/>
      <c r="EE98" s="342"/>
    </row>
    <row r="99" spans="1:135" s="52" customFormat="1" ht="13.5" hidden="1" customHeight="1" outlineLevel="1" x14ac:dyDescent="0.2">
      <c r="A99" s="141"/>
      <c r="B99" s="171"/>
      <c r="C99" s="141"/>
      <c r="D99" s="143"/>
      <c r="E99" s="142"/>
      <c r="F99" s="141"/>
      <c r="G99" s="144"/>
      <c r="H99" s="142"/>
      <c r="I99" s="142"/>
      <c r="J99" s="125"/>
      <c r="K99" s="125"/>
      <c r="L99" s="125"/>
      <c r="M99" s="125"/>
      <c r="N99" s="125"/>
      <c r="O99" s="125"/>
      <c r="P99" s="125"/>
      <c r="Q99" s="323"/>
      <c r="R99" s="125"/>
      <c r="S99" s="125"/>
      <c r="T99" s="145"/>
      <c r="U99" s="145"/>
      <c r="V99" s="145"/>
      <c r="W99" s="125"/>
      <c r="X99" s="278"/>
      <c r="Y99" s="278"/>
      <c r="Z99" s="125"/>
      <c r="AA99" s="125"/>
      <c r="AB99" s="125"/>
      <c r="AC99" s="278"/>
      <c r="AD99" s="278"/>
      <c r="AE99" s="279"/>
      <c r="AF99" s="278"/>
      <c r="AG99" s="278"/>
      <c r="AH99" s="278"/>
      <c r="AI99" s="278"/>
      <c r="AJ99" s="125"/>
      <c r="AK99" s="125"/>
      <c r="AL99" s="125"/>
      <c r="AM99" s="125"/>
      <c r="AN99" s="125"/>
      <c r="AO99" s="125"/>
      <c r="AP99" s="125"/>
      <c r="AQ99" s="278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256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U99" s="141"/>
      <c r="CX99" s="225"/>
      <c r="CY99" s="225"/>
      <c r="CZ99" s="225"/>
      <c r="DA99" s="225"/>
      <c r="DB99" s="141"/>
      <c r="DC99" s="141"/>
      <c r="DD99" s="141"/>
      <c r="DE99" s="141"/>
      <c r="DF99" s="141"/>
      <c r="DG99" s="141"/>
      <c r="DH99" s="141"/>
      <c r="DI99" s="141"/>
      <c r="DJ99" s="141"/>
      <c r="DK99" s="141"/>
      <c r="DL99" s="141"/>
      <c r="DM99" s="141"/>
      <c r="DN99" s="141"/>
      <c r="DO99" s="141"/>
      <c r="DP99" s="141"/>
      <c r="DQ99" s="141"/>
      <c r="DR99" s="141"/>
      <c r="DS99" s="141"/>
      <c r="DT99" s="141"/>
      <c r="DU99" s="141"/>
      <c r="DV99" s="141"/>
      <c r="DW99" s="141"/>
      <c r="DX99" s="141"/>
      <c r="DY99" s="141"/>
      <c r="DZ99" s="141"/>
      <c r="EA99" s="141"/>
      <c r="EB99" s="141"/>
      <c r="EC99" s="141"/>
      <c r="ED99" s="342"/>
      <c r="EE99" s="342"/>
    </row>
    <row r="100" spans="1:135" s="52" customFormat="1" ht="13.5" hidden="1" customHeight="1" outlineLevel="1" x14ac:dyDescent="0.2">
      <c r="A100" s="141"/>
      <c r="B100" s="171"/>
      <c r="C100" s="141"/>
      <c r="D100" s="143"/>
      <c r="E100" s="142"/>
      <c r="F100" s="141"/>
      <c r="G100" s="144"/>
      <c r="H100" s="142"/>
      <c r="I100" s="142"/>
      <c r="J100" s="125"/>
      <c r="K100" s="125"/>
      <c r="L100" s="125"/>
      <c r="M100" s="125"/>
      <c r="N100" s="125"/>
      <c r="O100" s="125"/>
      <c r="P100" s="125"/>
      <c r="Q100" s="323"/>
      <c r="R100" s="125"/>
      <c r="S100" s="125"/>
      <c r="T100" s="145"/>
      <c r="U100" s="145"/>
      <c r="V100" s="145"/>
      <c r="W100" s="125"/>
      <c r="X100" s="278"/>
      <c r="Y100" s="278"/>
      <c r="Z100" s="125"/>
      <c r="AA100" s="125"/>
      <c r="AB100" s="125"/>
      <c r="AC100" s="278"/>
      <c r="AD100" s="278"/>
      <c r="AE100" s="279"/>
      <c r="AF100" s="278"/>
      <c r="AG100" s="278"/>
      <c r="AH100" s="278"/>
      <c r="AI100" s="278"/>
      <c r="AJ100" s="125"/>
      <c r="AK100" s="125"/>
      <c r="AL100" s="125"/>
      <c r="AM100" s="125"/>
      <c r="AN100" s="125"/>
      <c r="AO100" s="125"/>
      <c r="AP100" s="125"/>
      <c r="AQ100" s="278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256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U100" s="141"/>
      <c r="CX100" s="225"/>
      <c r="CY100" s="225"/>
      <c r="CZ100" s="225"/>
      <c r="DA100" s="225"/>
      <c r="DB100" s="141"/>
      <c r="DC100" s="141"/>
      <c r="DD100" s="141"/>
      <c r="DE100" s="141"/>
      <c r="DF100" s="141"/>
      <c r="DG100" s="141"/>
      <c r="DH100" s="141"/>
      <c r="DI100" s="141"/>
      <c r="DJ100" s="141"/>
      <c r="DK100" s="141"/>
      <c r="DL100" s="141"/>
      <c r="DM100" s="141"/>
      <c r="DN100" s="141"/>
      <c r="DO100" s="141"/>
      <c r="DP100" s="141"/>
      <c r="DQ100" s="141"/>
      <c r="DR100" s="141"/>
      <c r="DS100" s="141"/>
      <c r="DT100" s="141"/>
      <c r="DU100" s="141"/>
      <c r="DV100" s="141"/>
      <c r="DW100" s="141"/>
      <c r="DX100" s="141"/>
      <c r="DY100" s="141"/>
      <c r="DZ100" s="141"/>
      <c r="EA100" s="141"/>
      <c r="EB100" s="141"/>
      <c r="EC100" s="141"/>
      <c r="ED100" s="342"/>
      <c r="EE100" s="342"/>
    </row>
    <row r="101" spans="1:135" s="52" customFormat="1" ht="13.5" hidden="1" customHeight="1" outlineLevel="1" x14ac:dyDescent="0.2">
      <c r="A101" s="141"/>
      <c r="B101" s="171"/>
      <c r="C101" s="141"/>
      <c r="D101" s="143"/>
      <c r="E101" s="142"/>
      <c r="F101" s="141"/>
      <c r="G101" s="144"/>
      <c r="H101" s="142"/>
      <c r="I101" s="142"/>
      <c r="J101" s="125"/>
      <c r="K101" s="125"/>
      <c r="L101" s="125"/>
      <c r="M101" s="125"/>
      <c r="N101" s="125"/>
      <c r="O101" s="125"/>
      <c r="P101" s="125"/>
      <c r="Q101" s="323"/>
      <c r="R101" s="125"/>
      <c r="S101" s="125"/>
      <c r="T101" s="145"/>
      <c r="U101" s="145"/>
      <c r="V101" s="145"/>
      <c r="W101" s="125"/>
      <c r="X101" s="278"/>
      <c r="Y101" s="278"/>
      <c r="Z101" s="125"/>
      <c r="AA101" s="125"/>
      <c r="AB101" s="125"/>
      <c r="AC101" s="278"/>
      <c r="AD101" s="278"/>
      <c r="AE101" s="279"/>
      <c r="AF101" s="278"/>
      <c r="AG101" s="278"/>
      <c r="AH101" s="278"/>
      <c r="AI101" s="278"/>
      <c r="AJ101" s="125"/>
      <c r="AK101" s="125"/>
      <c r="AL101" s="125"/>
      <c r="AM101" s="125"/>
      <c r="AN101" s="125"/>
      <c r="AO101" s="125"/>
      <c r="AP101" s="125"/>
      <c r="AQ101" s="278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256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U101" s="141"/>
      <c r="CX101" s="225"/>
      <c r="CY101" s="225"/>
      <c r="CZ101" s="225"/>
      <c r="DA101" s="225"/>
      <c r="DB101" s="141"/>
      <c r="DC101" s="141"/>
      <c r="DD101" s="141"/>
      <c r="DE101" s="141"/>
      <c r="DF101" s="141"/>
      <c r="DG101" s="141"/>
      <c r="DH101" s="141"/>
      <c r="DI101" s="141"/>
      <c r="DJ101" s="141"/>
      <c r="DK101" s="141"/>
      <c r="DL101" s="141"/>
      <c r="DM101" s="141"/>
      <c r="DN101" s="141"/>
      <c r="DO101" s="141"/>
      <c r="DP101" s="141"/>
      <c r="DQ101" s="141"/>
      <c r="DR101" s="141"/>
      <c r="DS101" s="141"/>
      <c r="DT101" s="141"/>
      <c r="DU101" s="141"/>
      <c r="DV101" s="141"/>
      <c r="DW101" s="141"/>
      <c r="DX101" s="141"/>
      <c r="DY101" s="141"/>
      <c r="DZ101" s="141"/>
      <c r="EA101" s="141"/>
      <c r="EB101" s="141"/>
      <c r="EC101" s="141"/>
      <c r="ED101" s="342"/>
      <c r="EE101" s="342"/>
    </row>
    <row r="102" spans="1:135" s="52" customFormat="1" ht="13.5" hidden="1" customHeight="1" outlineLevel="1" x14ac:dyDescent="0.2">
      <c r="A102" s="141"/>
      <c r="B102" s="171"/>
      <c r="C102" s="141"/>
      <c r="D102" s="143"/>
      <c r="E102" s="142"/>
      <c r="F102" s="141"/>
      <c r="G102" s="144"/>
      <c r="H102" s="142"/>
      <c r="I102" s="142"/>
      <c r="J102" s="125"/>
      <c r="K102" s="125"/>
      <c r="L102" s="125"/>
      <c r="M102" s="125"/>
      <c r="N102" s="125"/>
      <c r="O102" s="125"/>
      <c r="P102" s="125"/>
      <c r="Q102" s="323"/>
      <c r="R102" s="125"/>
      <c r="S102" s="125"/>
      <c r="T102" s="145"/>
      <c r="U102" s="145"/>
      <c r="V102" s="145"/>
      <c r="W102" s="125"/>
      <c r="X102" s="278"/>
      <c r="Y102" s="278"/>
      <c r="Z102" s="125"/>
      <c r="AA102" s="125"/>
      <c r="AB102" s="125"/>
      <c r="AC102" s="278"/>
      <c r="AD102" s="278"/>
      <c r="AE102" s="279"/>
      <c r="AF102" s="278"/>
      <c r="AG102" s="278"/>
      <c r="AH102" s="278"/>
      <c r="AI102" s="278"/>
      <c r="AJ102" s="125"/>
      <c r="AK102" s="125"/>
      <c r="AL102" s="125"/>
      <c r="AM102" s="125"/>
      <c r="AN102" s="125"/>
      <c r="AO102" s="125"/>
      <c r="AP102" s="125"/>
      <c r="AQ102" s="278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256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U102" s="141"/>
      <c r="CX102" s="225"/>
      <c r="CY102" s="225"/>
      <c r="CZ102" s="225"/>
      <c r="DA102" s="225"/>
      <c r="DB102" s="141"/>
      <c r="DC102" s="141"/>
      <c r="DD102" s="141"/>
      <c r="DE102" s="141"/>
      <c r="DF102" s="141"/>
      <c r="DG102" s="141"/>
      <c r="DH102" s="141"/>
      <c r="DI102" s="141"/>
      <c r="DJ102" s="141"/>
      <c r="DK102" s="141"/>
      <c r="DL102" s="141"/>
      <c r="DM102" s="141"/>
      <c r="DN102" s="141"/>
      <c r="DO102" s="141"/>
      <c r="DP102" s="141"/>
      <c r="DQ102" s="141"/>
      <c r="DR102" s="141"/>
      <c r="DS102" s="141"/>
      <c r="DT102" s="141"/>
      <c r="DU102" s="141"/>
      <c r="DV102" s="141"/>
      <c r="DW102" s="141"/>
      <c r="DX102" s="141"/>
      <c r="DY102" s="141"/>
      <c r="DZ102" s="141"/>
      <c r="EA102" s="141"/>
      <c r="EB102" s="141"/>
      <c r="EC102" s="141"/>
      <c r="ED102" s="342"/>
      <c r="EE102" s="342"/>
    </row>
    <row r="103" spans="1:135" s="52" customFormat="1" ht="13.5" hidden="1" customHeight="1" outlineLevel="1" x14ac:dyDescent="0.2">
      <c r="A103" s="141"/>
      <c r="B103" s="171"/>
      <c r="C103" s="141"/>
      <c r="D103" s="143"/>
      <c r="E103" s="142"/>
      <c r="F103" s="141"/>
      <c r="G103" s="144"/>
      <c r="H103" s="142"/>
      <c r="I103" s="142"/>
      <c r="J103" s="125"/>
      <c r="K103" s="125"/>
      <c r="L103" s="125"/>
      <c r="M103" s="125"/>
      <c r="N103" s="125"/>
      <c r="O103" s="125"/>
      <c r="P103" s="125"/>
      <c r="Q103" s="323"/>
      <c r="R103" s="125"/>
      <c r="S103" s="125"/>
      <c r="T103" s="145"/>
      <c r="U103" s="145"/>
      <c r="V103" s="145"/>
      <c r="W103" s="125"/>
      <c r="X103" s="278"/>
      <c r="Y103" s="278"/>
      <c r="Z103" s="125"/>
      <c r="AA103" s="125"/>
      <c r="AB103" s="125"/>
      <c r="AC103" s="278"/>
      <c r="AD103" s="278"/>
      <c r="AE103" s="279"/>
      <c r="AF103" s="278"/>
      <c r="AG103" s="278"/>
      <c r="AH103" s="278"/>
      <c r="AI103" s="278"/>
      <c r="AJ103" s="125"/>
      <c r="AK103" s="125"/>
      <c r="AL103" s="125"/>
      <c r="AM103" s="125"/>
      <c r="AN103" s="125"/>
      <c r="AO103" s="125"/>
      <c r="AP103" s="125"/>
      <c r="AQ103" s="278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256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U103" s="141"/>
      <c r="CX103" s="225"/>
      <c r="CY103" s="225"/>
      <c r="CZ103" s="225"/>
      <c r="DA103" s="225"/>
      <c r="DB103" s="141"/>
      <c r="DC103" s="141"/>
      <c r="DD103" s="141"/>
      <c r="DE103" s="141"/>
      <c r="DF103" s="141"/>
      <c r="DG103" s="141"/>
      <c r="DH103" s="141"/>
      <c r="DI103" s="141"/>
      <c r="DJ103" s="141"/>
      <c r="DK103" s="141"/>
      <c r="DL103" s="141"/>
      <c r="DM103" s="141"/>
      <c r="DN103" s="141"/>
      <c r="DO103" s="141"/>
      <c r="DP103" s="141"/>
      <c r="DQ103" s="141"/>
      <c r="DR103" s="141"/>
      <c r="DS103" s="141"/>
      <c r="DT103" s="141"/>
      <c r="DU103" s="141"/>
      <c r="DV103" s="141"/>
      <c r="DW103" s="141"/>
      <c r="DX103" s="141"/>
      <c r="DY103" s="141"/>
      <c r="DZ103" s="141"/>
      <c r="EA103" s="141"/>
      <c r="EB103" s="141"/>
      <c r="EC103" s="141"/>
      <c r="ED103" s="342"/>
      <c r="EE103" s="342"/>
    </row>
    <row r="104" spans="1:135" s="52" customFormat="1" ht="13.5" hidden="1" customHeight="1" outlineLevel="1" x14ac:dyDescent="0.2">
      <c r="A104" s="141"/>
      <c r="B104" s="171"/>
      <c r="C104" s="141"/>
      <c r="D104" s="143"/>
      <c r="E104" s="142"/>
      <c r="F104" s="141"/>
      <c r="G104" s="144"/>
      <c r="H104" s="142"/>
      <c r="I104" s="142"/>
      <c r="J104" s="125"/>
      <c r="K104" s="125"/>
      <c r="L104" s="125"/>
      <c r="M104" s="125"/>
      <c r="N104" s="125"/>
      <c r="O104" s="125"/>
      <c r="P104" s="125"/>
      <c r="Q104" s="323"/>
      <c r="R104" s="125"/>
      <c r="S104" s="125"/>
      <c r="T104" s="145"/>
      <c r="U104" s="145"/>
      <c r="V104" s="145"/>
      <c r="W104" s="125"/>
      <c r="X104" s="278"/>
      <c r="Y104" s="278"/>
      <c r="Z104" s="125"/>
      <c r="AA104" s="125"/>
      <c r="AB104" s="125"/>
      <c r="AC104" s="278"/>
      <c r="AD104" s="278"/>
      <c r="AE104" s="279"/>
      <c r="AF104" s="278"/>
      <c r="AG104" s="278"/>
      <c r="AH104" s="278"/>
      <c r="AI104" s="278"/>
      <c r="AJ104" s="125"/>
      <c r="AK104" s="125"/>
      <c r="AL104" s="125"/>
      <c r="AM104" s="125"/>
      <c r="AN104" s="125"/>
      <c r="AO104" s="125"/>
      <c r="AP104" s="125"/>
      <c r="AQ104" s="278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256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U104" s="141"/>
      <c r="CX104" s="225"/>
      <c r="CY104" s="225"/>
      <c r="CZ104" s="225"/>
      <c r="DA104" s="225"/>
      <c r="DB104" s="141"/>
      <c r="DC104" s="141"/>
      <c r="DD104" s="141"/>
      <c r="DE104" s="141"/>
      <c r="DF104" s="141"/>
      <c r="DG104" s="141"/>
      <c r="DH104" s="141"/>
      <c r="DI104" s="141"/>
      <c r="DJ104" s="141"/>
      <c r="DK104" s="141"/>
      <c r="DL104" s="141"/>
      <c r="DM104" s="141"/>
      <c r="DN104" s="141"/>
      <c r="DO104" s="141"/>
      <c r="DP104" s="141"/>
      <c r="DQ104" s="141"/>
      <c r="DR104" s="141"/>
      <c r="DS104" s="141"/>
      <c r="DT104" s="141"/>
      <c r="DU104" s="141"/>
      <c r="DV104" s="141"/>
      <c r="DW104" s="141"/>
      <c r="DX104" s="141"/>
      <c r="DY104" s="141"/>
      <c r="DZ104" s="141"/>
      <c r="EA104" s="141"/>
      <c r="EB104" s="141"/>
      <c r="EC104" s="141"/>
      <c r="ED104" s="342"/>
      <c r="EE104" s="342"/>
    </row>
    <row r="105" spans="1:135" s="52" customFormat="1" ht="13.5" hidden="1" customHeight="1" outlineLevel="1" x14ac:dyDescent="0.2">
      <c r="A105" s="141"/>
      <c r="B105" s="171"/>
      <c r="C105" s="141"/>
      <c r="D105" s="143"/>
      <c r="E105" s="142"/>
      <c r="F105" s="141"/>
      <c r="G105" s="144"/>
      <c r="H105" s="142"/>
      <c r="I105" s="142"/>
      <c r="J105" s="125"/>
      <c r="K105" s="125"/>
      <c r="L105" s="125"/>
      <c r="M105" s="125"/>
      <c r="N105" s="125"/>
      <c r="O105" s="125"/>
      <c r="P105" s="125"/>
      <c r="Q105" s="323"/>
      <c r="R105" s="125"/>
      <c r="S105" s="125"/>
      <c r="T105" s="145"/>
      <c r="U105" s="145"/>
      <c r="V105" s="145"/>
      <c r="W105" s="125"/>
      <c r="X105" s="278"/>
      <c r="Y105" s="278"/>
      <c r="Z105" s="125"/>
      <c r="AA105" s="125"/>
      <c r="AB105" s="125"/>
      <c r="AC105" s="278"/>
      <c r="AD105" s="278"/>
      <c r="AE105" s="279"/>
      <c r="AF105" s="278"/>
      <c r="AG105" s="278"/>
      <c r="AH105" s="278"/>
      <c r="AI105" s="278"/>
      <c r="AJ105" s="125"/>
      <c r="AK105" s="125"/>
      <c r="AL105" s="125"/>
      <c r="AM105" s="125"/>
      <c r="AN105" s="125"/>
      <c r="AO105" s="125"/>
      <c r="AP105" s="125"/>
      <c r="AQ105" s="278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256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U105" s="141"/>
      <c r="CX105" s="225"/>
      <c r="CY105" s="225"/>
      <c r="CZ105" s="225"/>
      <c r="DA105" s="225"/>
      <c r="DB105" s="141"/>
      <c r="DC105" s="141"/>
      <c r="DD105" s="141"/>
      <c r="DE105" s="141"/>
      <c r="DF105" s="141"/>
      <c r="DG105" s="141"/>
      <c r="DH105" s="141"/>
      <c r="DI105" s="141"/>
      <c r="DJ105" s="141"/>
      <c r="DK105" s="141"/>
      <c r="DL105" s="141"/>
      <c r="DM105" s="141"/>
      <c r="DN105" s="141"/>
      <c r="DO105" s="141"/>
      <c r="DP105" s="141"/>
      <c r="DQ105" s="141"/>
      <c r="DR105" s="141"/>
      <c r="DS105" s="141"/>
      <c r="DT105" s="141"/>
      <c r="DU105" s="141"/>
      <c r="DV105" s="141"/>
      <c r="DW105" s="141"/>
      <c r="DX105" s="141"/>
      <c r="DY105" s="141"/>
      <c r="DZ105" s="141"/>
      <c r="EA105" s="141"/>
      <c r="EB105" s="141"/>
      <c r="EC105" s="141"/>
      <c r="ED105" s="342"/>
      <c r="EE105" s="342"/>
    </row>
    <row r="106" spans="1:135" s="52" customFormat="1" ht="13.5" hidden="1" customHeight="1" outlineLevel="1" x14ac:dyDescent="0.2">
      <c r="A106" s="141"/>
      <c r="B106" s="171"/>
      <c r="C106" s="141"/>
      <c r="D106" s="143"/>
      <c r="E106" s="142"/>
      <c r="F106" s="141"/>
      <c r="G106" s="144"/>
      <c r="H106" s="142"/>
      <c r="I106" s="142"/>
      <c r="J106" s="125"/>
      <c r="K106" s="125"/>
      <c r="L106" s="125"/>
      <c r="M106" s="125"/>
      <c r="N106" s="125"/>
      <c r="O106" s="125"/>
      <c r="P106" s="125"/>
      <c r="Q106" s="323"/>
      <c r="R106" s="125"/>
      <c r="S106" s="125"/>
      <c r="T106" s="145"/>
      <c r="U106" s="145"/>
      <c r="V106" s="145"/>
      <c r="W106" s="125"/>
      <c r="X106" s="278"/>
      <c r="Y106" s="278"/>
      <c r="Z106" s="125"/>
      <c r="AA106" s="125"/>
      <c r="AB106" s="125"/>
      <c r="AC106" s="278"/>
      <c r="AD106" s="278"/>
      <c r="AE106" s="279"/>
      <c r="AF106" s="278"/>
      <c r="AG106" s="278"/>
      <c r="AH106" s="278"/>
      <c r="AI106" s="278"/>
      <c r="AJ106" s="125"/>
      <c r="AK106" s="125"/>
      <c r="AL106" s="125"/>
      <c r="AM106" s="125"/>
      <c r="AN106" s="125"/>
      <c r="AO106" s="125"/>
      <c r="AP106" s="125"/>
      <c r="AQ106" s="278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256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U106" s="141"/>
      <c r="CX106" s="225"/>
      <c r="CY106" s="225"/>
      <c r="CZ106" s="225"/>
      <c r="DA106" s="225"/>
      <c r="DB106" s="141"/>
      <c r="DC106" s="141"/>
      <c r="DD106" s="141"/>
      <c r="DE106" s="141"/>
      <c r="DF106" s="141"/>
      <c r="DG106" s="141"/>
      <c r="DH106" s="141"/>
      <c r="DI106" s="141"/>
      <c r="DJ106" s="141"/>
      <c r="DK106" s="141"/>
      <c r="DL106" s="141"/>
      <c r="DM106" s="141"/>
      <c r="DN106" s="141"/>
      <c r="DO106" s="141"/>
      <c r="DP106" s="141"/>
      <c r="DQ106" s="141"/>
      <c r="DR106" s="141"/>
      <c r="DS106" s="141"/>
      <c r="DT106" s="141"/>
      <c r="DU106" s="141"/>
      <c r="DV106" s="141"/>
      <c r="DW106" s="141"/>
      <c r="DX106" s="141"/>
      <c r="DY106" s="141"/>
      <c r="DZ106" s="141"/>
      <c r="EA106" s="141"/>
      <c r="EB106" s="141"/>
      <c r="EC106" s="141"/>
      <c r="ED106" s="342"/>
      <c r="EE106" s="342"/>
    </row>
    <row r="107" spans="1:135" s="52" customFormat="1" ht="13.5" hidden="1" customHeight="1" outlineLevel="1" x14ac:dyDescent="0.2">
      <c r="A107" s="141"/>
      <c r="B107" s="171"/>
      <c r="C107" s="141"/>
      <c r="D107" s="143"/>
      <c r="E107" s="142"/>
      <c r="F107" s="141"/>
      <c r="G107" s="144"/>
      <c r="H107" s="142"/>
      <c r="I107" s="142"/>
      <c r="J107" s="125"/>
      <c r="K107" s="125"/>
      <c r="L107" s="125"/>
      <c r="M107" s="125"/>
      <c r="N107" s="125"/>
      <c r="O107" s="125"/>
      <c r="P107" s="125"/>
      <c r="Q107" s="323"/>
      <c r="R107" s="125"/>
      <c r="S107" s="125"/>
      <c r="T107" s="145"/>
      <c r="U107" s="145"/>
      <c r="V107" s="145"/>
      <c r="W107" s="125"/>
      <c r="X107" s="278"/>
      <c r="Y107" s="278"/>
      <c r="Z107" s="125"/>
      <c r="AA107" s="125"/>
      <c r="AB107" s="125"/>
      <c r="AC107" s="278"/>
      <c r="AD107" s="278"/>
      <c r="AE107" s="279"/>
      <c r="AF107" s="278"/>
      <c r="AG107" s="278"/>
      <c r="AH107" s="278"/>
      <c r="AI107" s="278"/>
      <c r="AJ107" s="125"/>
      <c r="AK107" s="125"/>
      <c r="AL107" s="125"/>
      <c r="AM107" s="125"/>
      <c r="AN107" s="125"/>
      <c r="AO107" s="125"/>
      <c r="AP107" s="125"/>
      <c r="AQ107" s="278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256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U107" s="141"/>
      <c r="CX107" s="225"/>
      <c r="CY107" s="225"/>
      <c r="CZ107" s="225"/>
      <c r="DA107" s="225"/>
      <c r="DB107" s="141"/>
      <c r="DC107" s="141"/>
      <c r="DD107" s="141"/>
      <c r="DE107" s="141"/>
      <c r="DF107" s="141"/>
      <c r="DG107" s="141"/>
      <c r="DH107" s="141"/>
      <c r="DI107" s="141"/>
      <c r="DJ107" s="141"/>
      <c r="DK107" s="141"/>
      <c r="DL107" s="141"/>
      <c r="DM107" s="141"/>
      <c r="DN107" s="141"/>
      <c r="DO107" s="141"/>
      <c r="DP107" s="141"/>
      <c r="DQ107" s="141"/>
      <c r="DR107" s="141"/>
      <c r="DS107" s="141"/>
      <c r="DT107" s="141"/>
      <c r="DU107" s="141"/>
      <c r="DV107" s="141"/>
      <c r="DW107" s="141"/>
      <c r="DX107" s="141"/>
      <c r="DY107" s="141"/>
      <c r="DZ107" s="141"/>
      <c r="EA107" s="141"/>
      <c r="EB107" s="141"/>
      <c r="EC107" s="141"/>
      <c r="ED107" s="342"/>
      <c r="EE107" s="342"/>
    </row>
    <row r="108" spans="1:135" s="52" customFormat="1" ht="13.5" hidden="1" customHeight="1" outlineLevel="1" x14ac:dyDescent="0.2">
      <c r="A108" s="141"/>
      <c r="B108" s="171"/>
      <c r="C108" s="141"/>
      <c r="D108" s="143"/>
      <c r="E108" s="142"/>
      <c r="F108" s="141"/>
      <c r="G108" s="144"/>
      <c r="H108" s="142"/>
      <c r="I108" s="142"/>
      <c r="J108" s="125"/>
      <c r="K108" s="125"/>
      <c r="L108" s="125"/>
      <c r="M108" s="125"/>
      <c r="N108" s="125"/>
      <c r="O108" s="125"/>
      <c r="P108" s="125"/>
      <c r="Q108" s="323"/>
      <c r="R108" s="125"/>
      <c r="S108" s="125"/>
      <c r="T108" s="145"/>
      <c r="U108" s="145"/>
      <c r="V108" s="145"/>
      <c r="W108" s="125"/>
      <c r="X108" s="278"/>
      <c r="Y108" s="278"/>
      <c r="Z108" s="125"/>
      <c r="AA108" s="125"/>
      <c r="AB108" s="125"/>
      <c r="AC108" s="278"/>
      <c r="AD108" s="278"/>
      <c r="AE108" s="279"/>
      <c r="AF108" s="278"/>
      <c r="AG108" s="278"/>
      <c r="AH108" s="278"/>
      <c r="AI108" s="278"/>
      <c r="AJ108" s="125"/>
      <c r="AK108" s="125"/>
      <c r="AL108" s="125"/>
      <c r="AM108" s="125"/>
      <c r="AN108" s="125"/>
      <c r="AO108" s="125"/>
      <c r="AP108" s="125"/>
      <c r="AQ108" s="278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256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U108" s="141"/>
      <c r="CX108" s="225"/>
      <c r="CY108" s="225"/>
      <c r="CZ108" s="225"/>
      <c r="DA108" s="225"/>
      <c r="DB108" s="141"/>
      <c r="DC108" s="141"/>
      <c r="DD108" s="141"/>
      <c r="DE108" s="141"/>
      <c r="DF108" s="141"/>
      <c r="DG108" s="141"/>
      <c r="DH108" s="141"/>
      <c r="DI108" s="141"/>
      <c r="DJ108" s="141"/>
      <c r="DK108" s="141"/>
      <c r="DL108" s="141"/>
      <c r="DM108" s="141"/>
      <c r="DN108" s="141"/>
      <c r="DO108" s="141"/>
      <c r="DP108" s="141"/>
      <c r="DQ108" s="141"/>
      <c r="DR108" s="141"/>
      <c r="DS108" s="141"/>
      <c r="DT108" s="141"/>
      <c r="DU108" s="141"/>
      <c r="DV108" s="141"/>
      <c r="DW108" s="141"/>
      <c r="DX108" s="141"/>
      <c r="DY108" s="141"/>
      <c r="DZ108" s="141"/>
      <c r="EA108" s="141"/>
      <c r="EB108" s="141"/>
      <c r="EC108" s="141"/>
      <c r="ED108" s="342"/>
      <c r="EE108" s="342"/>
    </row>
    <row r="109" spans="1:135" s="52" customFormat="1" ht="13.5" hidden="1" customHeight="1" outlineLevel="1" x14ac:dyDescent="0.2">
      <c r="A109" s="141"/>
      <c r="B109" s="171"/>
      <c r="C109" s="141"/>
      <c r="D109" s="143"/>
      <c r="E109" s="142"/>
      <c r="F109" s="141"/>
      <c r="G109" s="144"/>
      <c r="H109" s="142"/>
      <c r="I109" s="142"/>
      <c r="J109" s="125"/>
      <c r="K109" s="125"/>
      <c r="L109" s="125"/>
      <c r="M109" s="125"/>
      <c r="N109" s="125"/>
      <c r="O109" s="125"/>
      <c r="P109" s="125"/>
      <c r="Q109" s="323"/>
      <c r="R109" s="125"/>
      <c r="S109" s="125"/>
      <c r="T109" s="145"/>
      <c r="U109" s="145"/>
      <c r="V109" s="145"/>
      <c r="W109" s="125"/>
      <c r="X109" s="278"/>
      <c r="Y109" s="278"/>
      <c r="Z109" s="125"/>
      <c r="AA109" s="125"/>
      <c r="AB109" s="125"/>
      <c r="AC109" s="278"/>
      <c r="AD109" s="278"/>
      <c r="AE109" s="279"/>
      <c r="AF109" s="278"/>
      <c r="AG109" s="278"/>
      <c r="AH109" s="278"/>
      <c r="AI109" s="278"/>
      <c r="AJ109" s="125"/>
      <c r="AK109" s="125"/>
      <c r="AL109" s="125"/>
      <c r="AM109" s="125"/>
      <c r="AN109" s="125"/>
      <c r="AO109" s="125"/>
      <c r="AP109" s="125"/>
      <c r="AQ109" s="278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256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U109" s="141"/>
      <c r="CX109" s="225"/>
      <c r="CY109" s="225"/>
      <c r="CZ109" s="225"/>
      <c r="DA109" s="225"/>
      <c r="DB109" s="141"/>
      <c r="DC109" s="141"/>
      <c r="DD109" s="141"/>
      <c r="DE109" s="141"/>
      <c r="DF109" s="141"/>
      <c r="DG109" s="141"/>
      <c r="DH109" s="141"/>
      <c r="DI109" s="141"/>
      <c r="DJ109" s="141"/>
      <c r="DK109" s="141"/>
      <c r="DL109" s="141"/>
      <c r="DM109" s="141"/>
      <c r="DN109" s="141"/>
      <c r="DO109" s="141"/>
      <c r="DP109" s="141"/>
      <c r="DQ109" s="141"/>
      <c r="DR109" s="141"/>
      <c r="DS109" s="141"/>
      <c r="DT109" s="141"/>
      <c r="DU109" s="141"/>
      <c r="DV109" s="141"/>
      <c r="DW109" s="141"/>
      <c r="DX109" s="141"/>
      <c r="DY109" s="141"/>
      <c r="DZ109" s="141"/>
      <c r="EA109" s="141"/>
      <c r="EB109" s="141"/>
      <c r="EC109" s="141"/>
      <c r="ED109" s="342"/>
      <c r="EE109" s="342"/>
    </row>
    <row r="110" spans="1:135" s="52" customFormat="1" ht="13.5" hidden="1" customHeight="1" outlineLevel="1" x14ac:dyDescent="0.2">
      <c r="A110" s="141"/>
      <c r="B110" s="171"/>
      <c r="C110" s="141"/>
      <c r="D110" s="143"/>
      <c r="E110" s="142"/>
      <c r="F110" s="141"/>
      <c r="G110" s="144"/>
      <c r="H110" s="142"/>
      <c r="I110" s="142"/>
      <c r="J110" s="125"/>
      <c r="K110" s="125"/>
      <c r="L110" s="125"/>
      <c r="M110" s="125"/>
      <c r="N110" s="125"/>
      <c r="O110" s="125"/>
      <c r="P110" s="125"/>
      <c r="Q110" s="323"/>
      <c r="R110" s="125"/>
      <c r="S110" s="125"/>
      <c r="T110" s="145"/>
      <c r="U110" s="145"/>
      <c r="V110" s="145"/>
      <c r="W110" s="125"/>
      <c r="X110" s="278"/>
      <c r="Y110" s="278"/>
      <c r="Z110" s="125"/>
      <c r="AA110" s="125"/>
      <c r="AB110" s="125"/>
      <c r="AC110" s="278"/>
      <c r="AD110" s="278"/>
      <c r="AE110" s="279"/>
      <c r="AF110" s="278"/>
      <c r="AG110" s="278"/>
      <c r="AH110" s="278"/>
      <c r="AI110" s="278"/>
      <c r="AJ110" s="125"/>
      <c r="AK110" s="125"/>
      <c r="AL110" s="125"/>
      <c r="AM110" s="125"/>
      <c r="AN110" s="125"/>
      <c r="AO110" s="125"/>
      <c r="AP110" s="125"/>
      <c r="AQ110" s="278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256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U110" s="141"/>
      <c r="CX110" s="225"/>
      <c r="CY110" s="225"/>
      <c r="CZ110" s="225"/>
      <c r="DA110" s="225"/>
      <c r="DB110" s="141"/>
      <c r="DC110" s="141"/>
      <c r="DD110" s="141"/>
      <c r="DE110" s="141"/>
      <c r="DF110" s="141"/>
      <c r="DG110" s="141"/>
      <c r="DH110" s="141"/>
      <c r="DI110" s="141"/>
      <c r="DJ110" s="141"/>
      <c r="DK110" s="141"/>
      <c r="DL110" s="141"/>
      <c r="DM110" s="141"/>
      <c r="DN110" s="141"/>
      <c r="DO110" s="141"/>
      <c r="DP110" s="141"/>
      <c r="DQ110" s="141"/>
      <c r="DR110" s="141"/>
      <c r="DS110" s="141"/>
      <c r="DT110" s="141"/>
      <c r="DU110" s="141"/>
      <c r="DV110" s="141"/>
      <c r="DW110" s="141"/>
      <c r="DX110" s="141"/>
      <c r="DY110" s="141"/>
      <c r="DZ110" s="141"/>
      <c r="EA110" s="141"/>
      <c r="EB110" s="141"/>
      <c r="EC110" s="141"/>
      <c r="ED110" s="342"/>
      <c r="EE110" s="342"/>
    </row>
    <row r="111" spans="1:135" s="52" customFormat="1" ht="13.5" hidden="1" customHeight="1" outlineLevel="1" x14ac:dyDescent="0.2">
      <c r="A111" s="141"/>
      <c r="B111" s="171"/>
      <c r="C111" s="141"/>
      <c r="D111" s="143"/>
      <c r="E111" s="142"/>
      <c r="F111" s="141"/>
      <c r="G111" s="144"/>
      <c r="H111" s="142"/>
      <c r="I111" s="142"/>
      <c r="J111" s="125"/>
      <c r="K111" s="125"/>
      <c r="L111" s="125"/>
      <c r="M111" s="125"/>
      <c r="N111" s="125"/>
      <c r="O111" s="125"/>
      <c r="P111" s="125"/>
      <c r="Q111" s="323"/>
      <c r="R111" s="125"/>
      <c r="S111" s="125"/>
      <c r="T111" s="145"/>
      <c r="U111" s="145"/>
      <c r="V111" s="145"/>
      <c r="W111" s="125"/>
      <c r="X111" s="278"/>
      <c r="Y111" s="278"/>
      <c r="Z111" s="125"/>
      <c r="AA111" s="125"/>
      <c r="AB111" s="125"/>
      <c r="AC111" s="278"/>
      <c r="AD111" s="278"/>
      <c r="AE111" s="279"/>
      <c r="AF111" s="278"/>
      <c r="AG111" s="278"/>
      <c r="AH111" s="278"/>
      <c r="AI111" s="278"/>
      <c r="AJ111" s="125"/>
      <c r="AK111" s="125"/>
      <c r="AL111" s="125"/>
      <c r="AM111" s="125"/>
      <c r="AN111" s="125"/>
      <c r="AO111" s="125"/>
      <c r="AP111" s="125"/>
      <c r="AQ111" s="278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256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U111" s="141"/>
      <c r="CX111" s="225"/>
      <c r="CY111" s="225"/>
      <c r="CZ111" s="225"/>
      <c r="DA111" s="225"/>
      <c r="DB111" s="141"/>
      <c r="DC111" s="141"/>
      <c r="DD111" s="141"/>
      <c r="DE111" s="141"/>
      <c r="DF111" s="141"/>
      <c r="DG111" s="141"/>
      <c r="DH111" s="141"/>
      <c r="DI111" s="141"/>
      <c r="DJ111" s="141"/>
      <c r="DK111" s="141"/>
      <c r="DL111" s="141"/>
      <c r="DM111" s="141"/>
      <c r="DN111" s="141"/>
      <c r="DO111" s="141"/>
      <c r="DP111" s="141"/>
      <c r="DQ111" s="141"/>
      <c r="DR111" s="141"/>
      <c r="DS111" s="141"/>
      <c r="DT111" s="141"/>
      <c r="DU111" s="141"/>
      <c r="DV111" s="141"/>
      <c r="DW111" s="141"/>
      <c r="DX111" s="141"/>
      <c r="DY111" s="141"/>
      <c r="DZ111" s="141"/>
      <c r="EA111" s="141"/>
      <c r="EB111" s="141"/>
      <c r="EC111" s="141"/>
      <c r="ED111" s="342"/>
      <c r="EE111" s="342"/>
    </row>
    <row r="112" spans="1:135" s="52" customFormat="1" ht="13.5" hidden="1" customHeight="1" outlineLevel="1" x14ac:dyDescent="0.2">
      <c r="A112" s="141"/>
      <c r="B112" s="171"/>
      <c r="C112" s="141"/>
      <c r="D112" s="143"/>
      <c r="E112" s="142"/>
      <c r="F112" s="141"/>
      <c r="G112" s="144"/>
      <c r="H112" s="142"/>
      <c r="I112" s="142"/>
      <c r="J112" s="125"/>
      <c r="K112" s="125"/>
      <c r="L112" s="125"/>
      <c r="M112" s="125"/>
      <c r="N112" s="125"/>
      <c r="O112" s="125"/>
      <c r="P112" s="125"/>
      <c r="Q112" s="323"/>
      <c r="R112" s="125"/>
      <c r="S112" s="125"/>
      <c r="T112" s="145"/>
      <c r="U112" s="145"/>
      <c r="V112" s="145"/>
      <c r="W112" s="125"/>
      <c r="X112" s="278"/>
      <c r="Y112" s="278"/>
      <c r="Z112" s="125"/>
      <c r="AA112" s="125"/>
      <c r="AB112" s="125"/>
      <c r="AC112" s="278"/>
      <c r="AD112" s="278"/>
      <c r="AE112" s="279"/>
      <c r="AF112" s="278"/>
      <c r="AG112" s="278"/>
      <c r="AH112" s="278"/>
      <c r="AI112" s="278"/>
      <c r="AJ112" s="125"/>
      <c r="AK112" s="125"/>
      <c r="AL112" s="125"/>
      <c r="AM112" s="125"/>
      <c r="AN112" s="125"/>
      <c r="AO112" s="125"/>
      <c r="AP112" s="125"/>
      <c r="AQ112" s="278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256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U112" s="141"/>
      <c r="CX112" s="225"/>
      <c r="CY112" s="225"/>
      <c r="CZ112" s="225"/>
      <c r="DA112" s="225"/>
      <c r="DB112" s="141"/>
      <c r="DC112" s="141"/>
      <c r="DD112" s="141"/>
      <c r="DE112" s="141"/>
      <c r="DF112" s="141"/>
      <c r="DG112" s="141"/>
      <c r="DH112" s="141"/>
      <c r="DI112" s="141"/>
      <c r="DJ112" s="141"/>
      <c r="DK112" s="141"/>
      <c r="DL112" s="141"/>
      <c r="DM112" s="141"/>
      <c r="DN112" s="141"/>
      <c r="DO112" s="141"/>
      <c r="DP112" s="141"/>
      <c r="DQ112" s="141"/>
      <c r="DR112" s="141"/>
      <c r="DS112" s="141"/>
      <c r="DT112" s="141"/>
      <c r="DU112" s="141"/>
      <c r="DV112" s="141"/>
      <c r="DW112" s="141"/>
      <c r="DX112" s="141"/>
      <c r="DY112" s="141"/>
      <c r="DZ112" s="141"/>
      <c r="EA112" s="141"/>
      <c r="EB112" s="141"/>
      <c r="EC112" s="141"/>
      <c r="ED112" s="342"/>
      <c r="EE112" s="342"/>
    </row>
    <row r="113" spans="1:135" s="52" customFormat="1" ht="13.5" hidden="1" customHeight="1" outlineLevel="1" x14ac:dyDescent="0.2">
      <c r="A113" s="141"/>
      <c r="B113" s="171"/>
      <c r="C113" s="141"/>
      <c r="D113" s="143"/>
      <c r="E113" s="142"/>
      <c r="F113" s="141"/>
      <c r="G113" s="144"/>
      <c r="H113" s="142"/>
      <c r="I113" s="142"/>
      <c r="J113" s="125"/>
      <c r="K113" s="125"/>
      <c r="L113" s="125"/>
      <c r="M113" s="125"/>
      <c r="N113" s="125"/>
      <c r="O113" s="125"/>
      <c r="P113" s="125"/>
      <c r="Q113" s="323"/>
      <c r="R113" s="125"/>
      <c r="S113" s="125"/>
      <c r="T113" s="145"/>
      <c r="U113" s="145"/>
      <c r="V113" s="145"/>
      <c r="W113" s="125"/>
      <c r="X113" s="278"/>
      <c r="Y113" s="278"/>
      <c r="Z113" s="125"/>
      <c r="AA113" s="125"/>
      <c r="AB113" s="125"/>
      <c r="AC113" s="278"/>
      <c r="AD113" s="278"/>
      <c r="AE113" s="279"/>
      <c r="AF113" s="278"/>
      <c r="AG113" s="278"/>
      <c r="AH113" s="278"/>
      <c r="AI113" s="278"/>
      <c r="AJ113" s="125"/>
      <c r="AK113" s="125"/>
      <c r="AL113" s="125"/>
      <c r="AM113" s="125"/>
      <c r="AN113" s="125"/>
      <c r="AO113" s="125"/>
      <c r="AP113" s="125"/>
      <c r="AQ113" s="278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256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U113" s="141"/>
      <c r="CX113" s="225"/>
      <c r="CY113" s="225"/>
      <c r="CZ113" s="225"/>
      <c r="DA113" s="225"/>
      <c r="DB113" s="141"/>
      <c r="DC113" s="141"/>
      <c r="DD113" s="141"/>
      <c r="DE113" s="141"/>
      <c r="DF113" s="141"/>
      <c r="DG113" s="141"/>
      <c r="DH113" s="141"/>
      <c r="DI113" s="141"/>
      <c r="DJ113" s="141"/>
      <c r="DK113" s="141"/>
      <c r="DL113" s="141"/>
      <c r="DM113" s="141"/>
      <c r="DN113" s="141"/>
      <c r="DO113" s="141"/>
      <c r="DP113" s="141"/>
      <c r="DQ113" s="141"/>
      <c r="DR113" s="141"/>
      <c r="DS113" s="141"/>
      <c r="DT113" s="141"/>
      <c r="DU113" s="141"/>
      <c r="DV113" s="141"/>
      <c r="DW113" s="141"/>
      <c r="DX113" s="141"/>
      <c r="DY113" s="141"/>
      <c r="DZ113" s="141"/>
      <c r="EA113" s="141"/>
      <c r="EB113" s="141"/>
      <c r="EC113" s="141"/>
      <c r="ED113" s="342"/>
      <c r="EE113" s="342"/>
    </row>
    <row r="114" spans="1:135" s="52" customFormat="1" ht="13.5" hidden="1" customHeight="1" outlineLevel="1" x14ac:dyDescent="0.2">
      <c r="A114" s="141"/>
      <c r="B114" s="171"/>
      <c r="C114" s="141"/>
      <c r="D114" s="143"/>
      <c r="E114" s="142"/>
      <c r="F114" s="141"/>
      <c r="G114" s="144"/>
      <c r="H114" s="142"/>
      <c r="I114" s="142"/>
      <c r="J114" s="125"/>
      <c r="K114" s="125"/>
      <c r="L114" s="125"/>
      <c r="M114" s="125"/>
      <c r="N114" s="125"/>
      <c r="O114" s="125"/>
      <c r="P114" s="125"/>
      <c r="Q114" s="323"/>
      <c r="R114" s="125"/>
      <c r="S114" s="125"/>
      <c r="T114" s="145"/>
      <c r="U114" s="145"/>
      <c r="V114" s="145"/>
      <c r="W114" s="125"/>
      <c r="X114" s="278"/>
      <c r="Y114" s="278"/>
      <c r="Z114" s="125"/>
      <c r="AA114" s="125"/>
      <c r="AB114" s="125"/>
      <c r="AC114" s="278"/>
      <c r="AD114" s="278"/>
      <c r="AE114" s="279"/>
      <c r="AF114" s="278"/>
      <c r="AG114" s="278"/>
      <c r="AH114" s="278"/>
      <c r="AI114" s="278"/>
      <c r="AJ114" s="125"/>
      <c r="AK114" s="125"/>
      <c r="AL114" s="125"/>
      <c r="AM114" s="125"/>
      <c r="AN114" s="125"/>
      <c r="AO114" s="125"/>
      <c r="AP114" s="125"/>
      <c r="AQ114" s="278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256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U114" s="141"/>
      <c r="CX114" s="225"/>
      <c r="CY114" s="225"/>
      <c r="CZ114" s="225"/>
      <c r="DA114" s="225"/>
      <c r="DB114" s="141"/>
      <c r="DC114" s="141"/>
      <c r="DD114" s="141"/>
      <c r="DE114" s="141"/>
      <c r="DF114" s="141"/>
      <c r="DG114" s="141"/>
      <c r="DH114" s="141"/>
      <c r="DI114" s="141"/>
      <c r="DJ114" s="141"/>
      <c r="DK114" s="141"/>
      <c r="DL114" s="141"/>
      <c r="DM114" s="141"/>
      <c r="DN114" s="141"/>
      <c r="DO114" s="141"/>
      <c r="DP114" s="141"/>
      <c r="DQ114" s="141"/>
      <c r="DR114" s="141"/>
      <c r="DS114" s="141"/>
      <c r="DT114" s="141"/>
      <c r="DU114" s="141"/>
      <c r="DV114" s="141"/>
      <c r="DW114" s="141"/>
      <c r="DX114" s="141"/>
      <c r="DY114" s="141"/>
      <c r="DZ114" s="141"/>
      <c r="EA114" s="141"/>
      <c r="EB114" s="141"/>
      <c r="EC114" s="141"/>
      <c r="ED114" s="342"/>
      <c r="EE114" s="342"/>
    </row>
    <row r="115" spans="1:135" s="52" customFormat="1" ht="13.5" hidden="1" customHeight="1" outlineLevel="1" x14ac:dyDescent="0.2">
      <c r="A115" s="141"/>
      <c r="B115" s="171"/>
      <c r="C115" s="141"/>
      <c r="D115" s="143"/>
      <c r="E115" s="142"/>
      <c r="F115" s="141"/>
      <c r="G115" s="144"/>
      <c r="H115" s="142"/>
      <c r="I115" s="142"/>
      <c r="J115" s="125"/>
      <c r="K115" s="125"/>
      <c r="L115" s="125"/>
      <c r="M115" s="125"/>
      <c r="N115" s="125"/>
      <c r="O115" s="125"/>
      <c r="P115" s="125"/>
      <c r="Q115" s="323"/>
      <c r="R115" s="125"/>
      <c r="S115" s="125"/>
      <c r="T115" s="145"/>
      <c r="U115" s="145"/>
      <c r="V115" s="145"/>
      <c r="W115" s="125"/>
      <c r="X115" s="278"/>
      <c r="Y115" s="278"/>
      <c r="Z115" s="125"/>
      <c r="AA115" s="125"/>
      <c r="AB115" s="125"/>
      <c r="AC115" s="278"/>
      <c r="AD115" s="278"/>
      <c r="AE115" s="279"/>
      <c r="AF115" s="278"/>
      <c r="AG115" s="278"/>
      <c r="AH115" s="278"/>
      <c r="AI115" s="278"/>
      <c r="AJ115" s="125"/>
      <c r="AK115" s="125"/>
      <c r="AL115" s="125"/>
      <c r="AM115" s="125"/>
      <c r="AN115" s="125"/>
      <c r="AO115" s="125"/>
      <c r="AP115" s="125"/>
      <c r="AQ115" s="278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256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U115" s="141"/>
      <c r="CX115" s="225"/>
      <c r="CY115" s="225"/>
      <c r="CZ115" s="225"/>
      <c r="DA115" s="225"/>
      <c r="DB115" s="141"/>
      <c r="DC115" s="141"/>
      <c r="DD115" s="141"/>
      <c r="DE115" s="141"/>
      <c r="DF115" s="141"/>
      <c r="DG115" s="141"/>
      <c r="DH115" s="141"/>
      <c r="DI115" s="141"/>
      <c r="DJ115" s="141"/>
      <c r="DK115" s="141"/>
      <c r="DL115" s="141"/>
      <c r="DM115" s="141"/>
      <c r="DN115" s="141"/>
      <c r="DO115" s="141"/>
      <c r="DP115" s="141"/>
      <c r="DQ115" s="141"/>
      <c r="DR115" s="141"/>
      <c r="DS115" s="141"/>
      <c r="DT115" s="141"/>
      <c r="DU115" s="141"/>
      <c r="DV115" s="141"/>
      <c r="DW115" s="141"/>
      <c r="DX115" s="141"/>
      <c r="DY115" s="141"/>
      <c r="DZ115" s="141"/>
      <c r="EA115" s="141"/>
      <c r="EB115" s="141"/>
      <c r="EC115" s="141"/>
      <c r="ED115" s="342"/>
      <c r="EE115" s="342"/>
    </row>
    <row r="116" spans="1:135" s="52" customFormat="1" ht="13.5" hidden="1" customHeight="1" outlineLevel="1" x14ac:dyDescent="0.2">
      <c r="A116" s="141"/>
      <c r="B116" s="171"/>
      <c r="C116" s="141"/>
      <c r="D116" s="143"/>
      <c r="E116" s="142"/>
      <c r="F116" s="141"/>
      <c r="G116" s="144"/>
      <c r="H116" s="142"/>
      <c r="I116" s="142"/>
      <c r="J116" s="125"/>
      <c r="K116" s="125"/>
      <c r="L116" s="125"/>
      <c r="M116" s="125"/>
      <c r="N116" s="125"/>
      <c r="O116" s="125"/>
      <c r="P116" s="125"/>
      <c r="Q116" s="323"/>
      <c r="R116" s="125"/>
      <c r="S116" s="125"/>
      <c r="T116" s="145"/>
      <c r="U116" s="145"/>
      <c r="V116" s="145"/>
      <c r="W116" s="125"/>
      <c r="X116" s="278"/>
      <c r="Y116" s="278"/>
      <c r="Z116" s="125"/>
      <c r="AA116" s="125"/>
      <c r="AB116" s="125"/>
      <c r="AC116" s="278"/>
      <c r="AD116" s="278"/>
      <c r="AE116" s="279"/>
      <c r="AF116" s="278"/>
      <c r="AG116" s="278"/>
      <c r="AH116" s="278"/>
      <c r="AI116" s="278"/>
      <c r="AJ116" s="125"/>
      <c r="AK116" s="125"/>
      <c r="AL116" s="125"/>
      <c r="AM116" s="125"/>
      <c r="AN116" s="125"/>
      <c r="AO116" s="125"/>
      <c r="AP116" s="125"/>
      <c r="AQ116" s="278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256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U116" s="141"/>
      <c r="CX116" s="225"/>
      <c r="CY116" s="225"/>
      <c r="CZ116" s="225"/>
      <c r="DA116" s="225"/>
      <c r="DB116" s="141"/>
      <c r="DC116" s="141"/>
      <c r="DD116" s="141"/>
      <c r="DE116" s="141"/>
      <c r="DF116" s="141"/>
      <c r="DG116" s="141"/>
      <c r="DH116" s="141"/>
      <c r="DI116" s="141"/>
      <c r="DJ116" s="141"/>
      <c r="DK116" s="141"/>
      <c r="DL116" s="141"/>
      <c r="DM116" s="141"/>
      <c r="DN116" s="141"/>
      <c r="DO116" s="141"/>
      <c r="DP116" s="141"/>
      <c r="DQ116" s="141"/>
      <c r="DR116" s="141"/>
      <c r="DS116" s="141"/>
      <c r="DT116" s="141"/>
      <c r="DU116" s="141"/>
      <c r="DV116" s="141"/>
      <c r="DW116" s="141"/>
      <c r="DX116" s="141"/>
      <c r="DY116" s="141"/>
      <c r="DZ116" s="141"/>
      <c r="EA116" s="141"/>
      <c r="EB116" s="141"/>
      <c r="EC116" s="141"/>
      <c r="ED116" s="342"/>
      <c r="EE116" s="342"/>
    </row>
    <row r="117" spans="1:135" s="52" customFormat="1" ht="13.5" hidden="1" customHeight="1" outlineLevel="1" x14ac:dyDescent="0.2">
      <c r="A117" s="141"/>
      <c r="B117" s="171"/>
      <c r="C117" s="141"/>
      <c r="D117" s="143"/>
      <c r="E117" s="142"/>
      <c r="F117" s="141"/>
      <c r="G117" s="144"/>
      <c r="H117" s="142"/>
      <c r="I117" s="142"/>
      <c r="J117" s="125"/>
      <c r="K117" s="125"/>
      <c r="L117" s="125"/>
      <c r="M117" s="125"/>
      <c r="N117" s="125"/>
      <c r="O117" s="125"/>
      <c r="P117" s="125"/>
      <c r="Q117" s="323"/>
      <c r="R117" s="125"/>
      <c r="S117" s="125"/>
      <c r="T117" s="145"/>
      <c r="U117" s="145"/>
      <c r="V117" s="145"/>
      <c r="W117" s="125"/>
      <c r="X117" s="278"/>
      <c r="Y117" s="278"/>
      <c r="Z117" s="125"/>
      <c r="AA117" s="125"/>
      <c r="AB117" s="125"/>
      <c r="AC117" s="278"/>
      <c r="AD117" s="278"/>
      <c r="AE117" s="279"/>
      <c r="AF117" s="278"/>
      <c r="AG117" s="278"/>
      <c r="AH117" s="278"/>
      <c r="AI117" s="278"/>
      <c r="AJ117" s="125"/>
      <c r="AK117" s="125"/>
      <c r="AL117" s="125"/>
      <c r="AM117" s="125"/>
      <c r="AN117" s="125"/>
      <c r="AO117" s="125"/>
      <c r="AP117" s="125"/>
      <c r="AQ117" s="278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256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U117" s="141"/>
      <c r="CX117" s="225"/>
      <c r="CY117" s="225"/>
      <c r="CZ117" s="225"/>
      <c r="DA117" s="225"/>
      <c r="DB117" s="141"/>
      <c r="DC117" s="141"/>
      <c r="DD117" s="141"/>
      <c r="DE117" s="141"/>
      <c r="DF117" s="141"/>
      <c r="DG117" s="141"/>
      <c r="DH117" s="141"/>
      <c r="DI117" s="141"/>
      <c r="DJ117" s="141"/>
      <c r="DK117" s="141"/>
      <c r="DL117" s="141"/>
      <c r="DM117" s="141"/>
      <c r="DN117" s="141"/>
      <c r="DO117" s="141"/>
      <c r="DP117" s="141"/>
      <c r="DQ117" s="141"/>
      <c r="DR117" s="141"/>
      <c r="DS117" s="141"/>
      <c r="DT117" s="141"/>
      <c r="DU117" s="141"/>
      <c r="DV117" s="141"/>
      <c r="DW117" s="141"/>
      <c r="DX117" s="141"/>
      <c r="DY117" s="141"/>
      <c r="DZ117" s="141"/>
      <c r="EA117" s="141"/>
      <c r="EB117" s="141"/>
      <c r="EC117" s="141"/>
      <c r="ED117" s="342"/>
      <c r="EE117" s="342"/>
    </row>
    <row r="118" spans="1:135" s="52" customFormat="1" ht="13.5" hidden="1" customHeight="1" outlineLevel="1" x14ac:dyDescent="0.2">
      <c r="A118" s="141"/>
      <c r="B118" s="171"/>
      <c r="C118" s="141"/>
      <c r="D118" s="143"/>
      <c r="E118" s="142"/>
      <c r="F118" s="141"/>
      <c r="G118" s="144"/>
      <c r="H118" s="142"/>
      <c r="I118" s="142"/>
      <c r="J118" s="125"/>
      <c r="K118" s="125"/>
      <c r="L118" s="125"/>
      <c r="M118" s="125"/>
      <c r="N118" s="125"/>
      <c r="O118" s="125"/>
      <c r="P118" s="125"/>
      <c r="Q118" s="323"/>
      <c r="R118" s="125"/>
      <c r="S118" s="125"/>
      <c r="T118" s="145"/>
      <c r="U118" s="145"/>
      <c r="V118" s="145"/>
      <c r="W118" s="125"/>
      <c r="X118" s="278"/>
      <c r="Y118" s="278"/>
      <c r="Z118" s="125"/>
      <c r="AA118" s="125"/>
      <c r="AB118" s="125"/>
      <c r="AC118" s="278"/>
      <c r="AD118" s="278"/>
      <c r="AE118" s="279"/>
      <c r="AF118" s="278"/>
      <c r="AG118" s="278"/>
      <c r="AH118" s="278"/>
      <c r="AI118" s="278"/>
      <c r="AJ118" s="125"/>
      <c r="AK118" s="125"/>
      <c r="AL118" s="125"/>
      <c r="AM118" s="125"/>
      <c r="AN118" s="125"/>
      <c r="AO118" s="125"/>
      <c r="AP118" s="125"/>
      <c r="AQ118" s="278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256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U118" s="141"/>
      <c r="CX118" s="225"/>
      <c r="CY118" s="225"/>
      <c r="CZ118" s="225"/>
      <c r="DA118" s="225"/>
      <c r="DB118" s="141"/>
      <c r="DC118" s="141"/>
      <c r="DD118" s="141"/>
      <c r="DE118" s="141"/>
      <c r="DF118" s="141"/>
      <c r="DG118" s="141"/>
      <c r="DH118" s="141"/>
      <c r="DI118" s="141"/>
      <c r="DJ118" s="141"/>
      <c r="DK118" s="141"/>
      <c r="DL118" s="141"/>
      <c r="DM118" s="141"/>
      <c r="DN118" s="141"/>
      <c r="DO118" s="141"/>
      <c r="DP118" s="141"/>
      <c r="DQ118" s="141"/>
      <c r="DR118" s="141"/>
      <c r="DS118" s="141"/>
      <c r="DT118" s="141"/>
      <c r="DU118" s="141"/>
      <c r="DV118" s="141"/>
      <c r="DW118" s="141"/>
      <c r="DX118" s="141"/>
      <c r="DY118" s="141"/>
      <c r="DZ118" s="141"/>
      <c r="EA118" s="141"/>
      <c r="EB118" s="141"/>
      <c r="EC118" s="141"/>
      <c r="ED118" s="342"/>
      <c r="EE118" s="342"/>
    </row>
    <row r="119" spans="1:135" s="52" customFormat="1" ht="13.5" hidden="1" customHeight="1" outlineLevel="1" x14ac:dyDescent="0.2">
      <c r="A119" s="141"/>
      <c r="B119" s="171"/>
      <c r="C119" s="141"/>
      <c r="D119" s="143"/>
      <c r="E119" s="142"/>
      <c r="F119" s="141"/>
      <c r="G119" s="144"/>
      <c r="H119" s="142"/>
      <c r="I119" s="142"/>
      <c r="J119" s="125"/>
      <c r="K119" s="125"/>
      <c r="L119" s="125"/>
      <c r="M119" s="125"/>
      <c r="N119" s="125"/>
      <c r="O119" s="125"/>
      <c r="P119" s="125"/>
      <c r="Q119" s="323"/>
      <c r="R119" s="125"/>
      <c r="S119" s="125"/>
      <c r="T119" s="145"/>
      <c r="U119" s="145"/>
      <c r="V119" s="145"/>
      <c r="W119" s="125"/>
      <c r="X119" s="278"/>
      <c r="Y119" s="278"/>
      <c r="Z119" s="125"/>
      <c r="AA119" s="125"/>
      <c r="AB119" s="125"/>
      <c r="AC119" s="278"/>
      <c r="AD119" s="278"/>
      <c r="AE119" s="279"/>
      <c r="AF119" s="278"/>
      <c r="AG119" s="278"/>
      <c r="AH119" s="278"/>
      <c r="AI119" s="278"/>
      <c r="AJ119" s="125"/>
      <c r="AK119" s="125"/>
      <c r="AL119" s="125"/>
      <c r="AM119" s="125"/>
      <c r="AN119" s="125"/>
      <c r="AO119" s="125"/>
      <c r="AP119" s="125"/>
      <c r="AQ119" s="278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256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U119" s="141"/>
      <c r="CX119" s="225"/>
      <c r="CY119" s="225"/>
      <c r="CZ119" s="225"/>
      <c r="DA119" s="225"/>
      <c r="DB119" s="141"/>
      <c r="DC119" s="141"/>
      <c r="DD119" s="141"/>
      <c r="DE119" s="141"/>
      <c r="DF119" s="141"/>
      <c r="DG119" s="141"/>
      <c r="DH119" s="141"/>
      <c r="DI119" s="141"/>
      <c r="DJ119" s="141"/>
      <c r="DK119" s="141"/>
      <c r="DL119" s="141"/>
      <c r="DM119" s="141"/>
      <c r="DN119" s="141"/>
      <c r="DO119" s="141"/>
      <c r="DP119" s="141"/>
      <c r="DQ119" s="141"/>
      <c r="DR119" s="141"/>
      <c r="DS119" s="141"/>
      <c r="DT119" s="141"/>
      <c r="DU119" s="141"/>
      <c r="DV119" s="141"/>
      <c r="DW119" s="141"/>
      <c r="DX119" s="141"/>
      <c r="DY119" s="141"/>
      <c r="DZ119" s="141"/>
      <c r="EA119" s="141"/>
      <c r="EB119" s="141"/>
      <c r="EC119" s="141"/>
      <c r="ED119" s="342"/>
      <c r="EE119" s="342"/>
    </row>
    <row r="120" spans="1:135" s="52" customFormat="1" ht="13.5" hidden="1" customHeight="1" outlineLevel="1" x14ac:dyDescent="0.2">
      <c r="A120" s="141"/>
      <c r="B120" s="171"/>
      <c r="C120" s="141"/>
      <c r="D120" s="143"/>
      <c r="E120" s="142"/>
      <c r="F120" s="141"/>
      <c r="G120" s="144"/>
      <c r="H120" s="142"/>
      <c r="I120" s="142"/>
      <c r="J120" s="125"/>
      <c r="K120" s="125"/>
      <c r="L120" s="125"/>
      <c r="M120" s="125"/>
      <c r="N120" s="125"/>
      <c r="O120" s="125"/>
      <c r="P120" s="125"/>
      <c r="Q120" s="323"/>
      <c r="R120" s="125"/>
      <c r="S120" s="125"/>
      <c r="T120" s="145"/>
      <c r="U120" s="145"/>
      <c r="V120" s="145"/>
      <c r="W120" s="125"/>
      <c r="X120" s="278"/>
      <c r="Y120" s="278"/>
      <c r="Z120" s="125"/>
      <c r="AA120" s="125"/>
      <c r="AB120" s="125"/>
      <c r="AC120" s="278"/>
      <c r="AD120" s="278"/>
      <c r="AE120" s="279"/>
      <c r="AF120" s="278"/>
      <c r="AG120" s="278"/>
      <c r="AH120" s="278"/>
      <c r="AI120" s="278"/>
      <c r="AJ120" s="125"/>
      <c r="AK120" s="125"/>
      <c r="AL120" s="125"/>
      <c r="AM120" s="125"/>
      <c r="AN120" s="125"/>
      <c r="AO120" s="125"/>
      <c r="AP120" s="125"/>
      <c r="AQ120" s="278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256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U120" s="141"/>
      <c r="CX120" s="225"/>
      <c r="CY120" s="225"/>
      <c r="CZ120" s="225"/>
      <c r="DA120" s="225"/>
      <c r="DB120" s="141"/>
      <c r="DC120" s="141"/>
      <c r="DD120" s="141"/>
      <c r="DE120" s="141"/>
      <c r="DF120" s="141"/>
      <c r="DG120" s="141"/>
      <c r="DH120" s="141"/>
      <c r="DI120" s="141"/>
      <c r="DJ120" s="141"/>
      <c r="DK120" s="141"/>
      <c r="DL120" s="141"/>
      <c r="DM120" s="141"/>
      <c r="DN120" s="141"/>
      <c r="DO120" s="141"/>
      <c r="DP120" s="141"/>
      <c r="DQ120" s="141"/>
      <c r="DR120" s="141"/>
      <c r="DS120" s="141"/>
      <c r="DT120" s="141"/>
      <c r="DU120" s="141"/>
      <c r="DV120" s="141"/>
      <c r="DW120" s="141"/>
      <c r="DX120" s="141"/>
      <c r="DY120" s="141"/>
      <c r="DZ120" s="141"/>
      <c r="EA120" s="141"/>
      <c r="EB120" s="141"/>
      <c r="EC120" s="141"/>
      <c r="ED120" s="342"/>
      <c r="EE120" s="342"/>
    </row>
    <row r="121" spans="1:135" s="52" customFormat="1" ht="13.5" hidden="1" customHeight="1" outlineLevel="1" x14ac:dyDescent="0.2">
      <c r="A121" s="141"/>
      <c r="B121" s="171"/>
      <c r="C121" s="141"/>
      <c r="D121" s="143"/>
      <c r="E121" s="142"/>
      <c r="F121" s="141"/>
      <c r="G121" s="144"/>
      <c r="H121" s="142"/>
      <c r="I121" s="142"/>
      <c r="J121" s="125"/>
      <c r="K121" s="125"/>
      <c r="L121" s="125"/>
      <c r="M121" s="125"/>
      <c r="N121" s="125"/>
      <c r="O121" s="125"/>
      <c r="P121" s="125"/>
      <c r="Q121" s="323"/>
      <c r="R121" s="125"/>
      <c r="S121" s="125"/>
      <c r="T121" s="145"/>
      <c r="U121" s="145"/>
      <c r="V121" s="145"/>
      <c r="W121" s="125"/>
      <c r="X121" s="278"/>
      <c r="Y121" s="278"/>
      <c r="Z121" s="125"/>
      <c r="AA121" s="125"/>
      <c r="AB121" s="125"/>
      <c r="AC121" s="278"/>
      <c r="AD121" s="278"/>
      <c r="AE121" s="279"/>
      <c r="AF121" s="278"/>
      <c r="AG121" s="278"/>
      <c r="AH121" s="278"/>
      <c r="AI121" s="278"/>
      <c r="AJ121" s="125"/>
      <c r="AK121" s="125"/>
      <c r="AL121" s="125"/>
      <c r="AM121" s="125"/>
      <c r="AN121" s="125"/>
      <c r="AO121" s="125"/>
      <c r="AP121" s="125"/>
      <c r="AQ121" s="278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256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U121" s="141"/>
      <c r="CX121" s="225"/>
      <c r="CY121" s="225"/>
      <c r="CZ121" s="225"/>
      <c r="DA121" s="225"/>
      <c r="DB121" s="141"/>
      <c r="DC121" s="141"/>
      <c r="DD121" s="141"/>
      <c r="DE121" s="141"/>
      <c r="DF121" s="141"/>
      <c r="DG121" s="141"/>
      <c r="DH121" s="141"/>
      <c r="DI121" s="141"/>
      <c r="DJ121" s="141"/>
      <c r="DK121" s="141"/>
      <c r="DL121" s="141"/>
      <c r="DM121" s="141"/>
      <c r="DN121" s="141"/>
      <c r="DO121" s="141"/>
      <c r="DP121" s="141"/>
      <c r="DQ121" s="141"/>
      <c r="DR121" s="141"/>
      <c r="DS121" s="141"/>
      <c r="DT121" s="141"/>
      <c r="DU121" s="141"/>
      <c r="DV121" s="141"/>
      <c r="DW121" s="141"/>
      <c r="DX121" s="141"/>
      <c r="DY121" s="141"/>
      <c r="DZ121" s="141"/>
      <c r="EA121" s="141"/>
      <c r="EB121" s="141"/>
      <c r="EC121" s="141"/>
      <c r="ED121" s="342"/>
      <c r="EE121" s="342"/>
    </row>
    <row r="122" spans="1:135" s="52" customFormat="1" ht="13.5" hidden="1" customHeight="1" outlineLevel="1" x14ac:dyDescent="0.2">
      <c r="A122" s="141"/>
      <c r="B122" s="171"/>
      <c r="C122" s="141"/>
      <c r="D122" s="143"/>
      <c r="E122" s="142"/>
      <c r="F122" s="141"/>
      <c r="G122" s="144"/>
      <c r="H122" s="142"/>
      <c r="I122" s="142"/>
      <c r="J122" s="125"/>
      <c r="K122" s="125"/>
      <c r="L122" s="125"/>
      <c r="M122" s="125"/>
      <c r="N122" s="125"/>
      <c r="O122" s="125"/>
      <c r="P122" s="125"/>
      <c r="Q122" s="323"/>
      <c r="R122" s="125"/>
      <c r="S122" s="125"/>
      <c r="T122" s="145"/>
      <c r="U122" s="145"/>
      <c r="V122" s="145"/>
      <c r="W122" s="125"/>
      <c r="X122" s="278"/>
      <c r="Y122" s="278"/>
      <c r="Z122" s="125"/>
      <c r="AA122" s="125"/>
      <c r="AB122" s="125"/>
      <c r="AC122" s="278"/>
      <c r="AD122" s="278"/>
      <c r="AE122" s="279"/>
      <c r="AF122" s="278"/>
      <c r="AG122" s="278"/>
      <c r="AH122" s="278"/>
      <c r="AI122" s="278"/>
      <c r="AJ122" s="125"/>
      <c r="AK122" s="125"/>
      <c r="AL122" s="125"/>
      <c r="AM122" s="125"/>
      <c r="AN122" s="125"/>
      <c r="AO122" s="125"/>
      <c r="AP122" s="125"/>
      <c r="AQ122" s="278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256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U122" s="141"/>
      <c r="CX122" s="225"/>
      <c r="CY122" s="225"/>
      <c r="CZ122" s="225"/>
      <c r="DA122" s="225"/>
      <c r="DB122" s="141"/>
      <c r="DC122" s="141"/>
      <c r="DD122" s="141"/>
      <c r="DE122" s="141"/>
      <c r="DF122" s="141"/>
      <c r="DG122" s="141"/>
      <c r="DH122" s="141"/>
      <c r="DI122" s="141"/>
      <c r="DJ122" s="141"/>
      <c r="DK122" s="141"/>
      <c r="DL122" s="141"/>
      <c r="DM122" s="141"/>
      <c r="DN122" s="141"/>
      <c r="DO122" s="141"/>
      <c r="DP122" s="141"/>
      <c r="DQ122" s="141"/>
      <c r="DR122" s="141"/>
      <c r="DS122" s="141"/>
      <c r="DT122" s="141"/>
      <c r="DU122" s="141"/>
      <c r="DV122" s="141"/>
      <c r="DW122" s="141"/>
      <c r="DX122" s="141"/>
      <c r="DY122" s="141"/>
      <c r="DZ122" s="141"/>
      <c r="EA122" s="141"/>
      <c r="EB122" s="141"/>
      <c r="EC122" s="141"/>
      <c r="ED122" s="342"/>
      <c r="EE122" s="342"/>
    </row>
    <row r="123" spans="1:135" s="52" customFormat="1" ht="13.5" hidden="1" customHeight="1" outlineLevel="1" x14ac:dyDescent="0.2">
      <c r="A123" s="141"/>
      <c r="B123" s="171"/>
      <c r="C123" s="141"/>
      <c r="D123" s="143"/>
      <c r="E123" s="142"/>
      <c r="F123" s="141"/>
      <c r="G123" s="144"/>
      <c r="H123" s="142"/>
      <c r="I123" s="142"/>
      <c r="J123" s="125"/>
      <c r="K123" s="125"/>
      <c r="L123" s="125"/>
      <c r="M123" s="125"/>
      <c r="N123" s="125"/>
      <c r="O123" s="125"/>
      <c r="P123" s="125"/>
      <c r="Q123" s="323"/>
      <c r="R123" s="125"/>
      <c r="S123" s="125"/>
      <c r="T123" s="145"/>
      <c r="U123" s="145"/>
      <c r="V123" s="145"/>
      <c r="W123" s="125"/>
      <c r="X123" s="278"/>
      <c r="Y123" s="278"/>
      <c r="Z123" s="125"/>
      <c r="AA123" s="125"/>
      <c r="AB123" s="125"/>
      <c r="AC123" s="278"/>
      <c r="AD123" s="278"/>
      <c r="AE123" s="279"/>
      <c r="AF123" s="278"/>
      <c r="AG123" s="278"/>
      <c r="AH123" s="278"/>
      <c r="AI123" s="278"/>
      <c r="AJ123" s="125"/>
      <c r="AK123" s="125"/>
      <c r="AL123" s="125"/>
      <c r="AM123" s="125"/>
      <c r="AN123" s="125"/>
      <c r="AO123" s="125"/>
      <c r="AP123" s="125"/>
      <c r="AQ123" s="278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256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U123" s="141"/>
      <c r="CX123" s="225"/>
      <c r="CY123" s="225"/>
      <c r="CZ123" s="225"/>
      <c r="DA123" s="225"/>
      <c r="DB123" s="141"/>
      <c r="DC123" s="141"/>
      <c r="DD123" s="141"/>
      <c r="DE123" s="141"/>
      <c r="DF123" s="141"/>
      <c r="DG123" s="141"/>
      <c r="DH123" s="141"/>
      <c r="DI123" s="141"/>
      <c r="DJ123" s="141"/>
      <c r="DK123" s="141"/>
      <c r="DL123" s="141"/>
      <c r="DM123" s="141"/>
      <c r="DN123" s="141"/>
      <c r="DO123" s="141"/>
      <c r="DP123" s="141"/>
      <c r="DQ123" s="141"/>
      <c r="DR123" s="141"/>
      <c r="DS123" s="141"/>
      <c r="DT123" s="141"/>
      <c r="DU123" s="141"/>
      <c r="DV123" s="141"/>
      <c r="DW123" s="141"/>
      <c r="DX123" s="141"/>
      <c r="DY123" s="141"/>
      <c r="DZ123" s="141"/>
      <c r="EA123" s="141"/>
      <c r="EB123" s="141"/>
      <c r="EC123" s="141"/>
      <c r="ED123" s="342"/>
      <c r="EE123" s="342"/>
    </row>
    <row r="124" spans="1:135" s="52" customFormat="1" ht="13.5" hidden="1" customHeight="1" outlineLevel="1" x14ac:dyDescent="0.2">
      <c r="A124" s="141"/>
      <c r="B124" s="171"/>
      <c r="C124" s="141"/>
      <c r="D124" s="143"/>
      <c r="E124" s="142"/>
      <c r="F124" s="141"/>
      <c r="G124" s="144"/>
      <c r="H124" s="142"/>
      <c r="I124" s="142"/>
      <c r="J124" s="125"/>
      <c r="K124" s="125"/>
      <c r="L124" s="125"/>
      <c r="M124" s="125"/>
      <c r="N124" s="125"/>
      <c r="O124" s="125"/>
      <c r="P124" s="125"/>
      <c r="Q124" s="323"/>
      <c r="R124" s="125"/>
      <c r="S124" s="125"/>
      <c r="T124" s="145"/>
      <c r="U124" s="145"/>
      <c r="V124" s="145"/>
      <c r="W124" s="125"/>
      <c r="X124" s="278"/>
      <c r="Y124" s="278"/>
      <c r="Z124" s="125"/>
      <c r="AA124" s="125"/>
      <c r="AB124" s="125"/>
      <c r="AC124" s="278"/>
      <c r="AD124" s="278"/>
      <c r="AE124" s="279"/>
      <c r="AF124" s="278"/>
      <c r="AG124" s="278"/>
      <c r="AH124" s="278"/>
      <c r="AI124" s="278"/>
      <c r="AJ124" s="125"/>
      <c r="AK124" s="125"/>
      <c r="AL124" s="125"/>
      <c r="AM124" s="125"/>
      <c r="AN124" s="125"/>
      <c r="AO124" s="125"/>
      <c r="AP124" s="125"/>
      <c r="AQ124" s="278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256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U124" s="141"/>
      <c r="CX124" s="225"/>
      <c r="CY124" s="225"/>
      <c r="CZ124" s="225"/>
      <c r="DA124" s="225"/>
      <c r="DB124" s="141"/>
      <c r="DC124" s="141"/>
      <c r="DD124" s="141"/>
      <c r="DE124" s="141"/>
      <c r="DF124" s="141"/>
      <c r="DG124" s="141"/>
      <c r="DH124" s="141"/>
      <c r="DI124" s="141"/>
      <c r="DJ124" s="141"/>
      <c r="DK124" s="141"/>
      <c r="DL124" s="141"/>
      <c r="DM124" s="141"/>
      <c r="DN124" s="141"/>
      <c r="DO124" s="141"/>
      <c r="DP124" s="141"/>
      <c r="DQ124" s="141"/>
      <c r="DR124" s="141"/>
      <c r="DS124" s="141"/>
      <c r="DT124" s="141"/>
      <c r="DU124" s="141"/>
      <c r="DV124" s="141"/>
      <c r="DW124" s="141"/>
      <c r="DX124" s="141"/>
      <c r="DY124" s="141"/>
      <c r="DZ124" s="141"/>
      <c r="EA124" s="141"/>
      <c r="EB124" s="141"/>
      <c r="EC124" s="141"/>
      <c r="ED124" s="342"/>
      <c r="EE124" s="342"/>
    </row>
    <row r="125" spans="1:135" s="52" customFormat="1" ht="13.5" hidden="1" customHeight="1" outlineLevel="1" x14ac:dyDescent="0.2">
      <c r="A125" s="141"/>
      <c r="B125" s="171"/>
      <c r="C125" s="141"/>
      <c r="D125" s="143"/>
      <c r="E125" s="142"/>
      <c r="F125" s="141"/>
      <c r="G125" s="144"/>
      <c r="H125" s="142"/>
      <c r="I125" s="142"/>
      <c r="J125" s="125"/>
      <c r="K125" s="125"/>
      <c r="L125" s="125"/>
      <c r="M125" s="125"/>
      <c r="N125" s="125"/>
      <c r="O125" s="125"/>
      <c r="P125" s="125"/>
      <c r="Q125" s="323"/>
      <c r="R125" s="125"/>
      <c r="S125" s="125"/>
      <c r="T125" s="145"/>
      <c r="U125" s="145"/>
      <c r="V125" s="145"/>
      <c r="W125" s="125"/>
      <c r="X125" s="278"/>
      <c r="Y125" s="278"/>
      <c r="Z125" s="125"/>
      <c r="AA125" s="125"/>
      <c r="AB125" s="125"/>
      <c r="AC125" s="278"/>
      <c r="AD125" s="278"/>
      <c r="AE125" s="279"/>
      <c r="AF125" s="278"/>
      <c r="AG125" s="278"/>
      <c r="AH125" s="278"/>
      <c r="AI125" s="278"/>
      <c r="AJ125" s="125"/>
      <c r="AK125" s="125"/>
      <c r="AL125" s="125"/>
      <c r="AM125" s="125"/>
      <c r="AN125" s="125"/>
      <c r="AO125" s="125"/>
      <c r="AP125" s="125"/>
      <c r="AQ125" s="278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256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U125" s="141"/>
      <c r="CX125" s="225"/>
      <c r="CY125" s="225"/>
      <c r="CZ125" s="225"/>
      <c r="DA125" s="225"/>
      <c r="DB125" s="141"/>
      <c r="DC125" s="141"/>
      <c r="DD125" s="141"/>
      <c r="DE125" s="141"/>
      <c r="DF125" s="141"/>
      <c r="DG125" s="141"/>
      <c r="DH125" s="141"/>
      <c r="DI125" s="141"/>
      <c r="DJ125" s="141"/>
      <c r="DK125" s="141"/>
      <c r="DL125" s="141"/>
      <c r="DM125" s="141"/>
      <c r="DN125" s="141"/>
      <c r="DO125" s="141"/>
      <c r="DP125" s="141"/>
      <c r="DQ125" s="141"/>
      <c r="DR125" s="141"/>
      <c r="DS125" s="141"/>
      <c r="DT125" s="141"/>
      <c r="DU125" s="141"/>
      <c r="DV125" s="141"/>
      <c r="DW125" s="141"/>
      <c r="DX125" s="141"/>
      <c r="DY125" s="141"/>
      <c r="DZ125" s="141"/>
      <c r="EA125" s="141"/>
      <c r="EB125" s="141"/>
      <c r="EC125" s="141"/>
      <c r="ED125" s="342"/>
      <c r="EE125" s="342"/>
    </row>
    <row r="126" spans="1:135" s="52" customFormat="1" ht="13.5" hidden="1" customHeight="1" outlineLevel="1" x14ac:dyDescent="0.2">
      <c r="A126" s="141"/>
      <c r="B126" s="171"/>
      <c r="C126" s="141"/>
      <c r="D126" s="143"/>
      <c r="E126" s="142"/>
      <c r="F126" s="141"/>
      <c r="G126" s="144"/>
      <c r="H126" s="142"/>
      <c r="I126" s="142"/>
      <c r="J126" s="125"/>
      <c r="K126" s="125"/>
      <c r="L126" s="125"/>
      <c r="M126" s="125"/>
      <c r="N126" s="125"/>
      <c r="O126" s="125"/>
      <c r="P126" s="125"/>
      <c r="Q126" s="323"/>
      <c r="R126" s="125"/>
      <c r="S126" s="125"/>
      <c r="T126" s="145"/>
      <c r="U126" s="145"/>
      <c r="V126" s="145"/>
      <c r="W126" s="125"/>
      <c r="X126" s="278"/>
      <c r="Y126" s="278"/>
      <c r="Z126" s="125"/>
      <c r="AA126" s="125"/>
      <c r="AB126" s="125"/>
      <c r="AC126" s="278"/>
      <c r="AD126" s="278"/>
      <c r="AE126" s="279"/>
      <c r="AF126" s="278"/>
      <c r="AG126" s="278"/>
      <c r="AH126" s="278"/>
      <c r="AI126" s="278"/>
      <c r="AJ126" s="125"/>
      <c r="AK126" s="125"/>
      <c r="AL126" s="125"/>
      <c r="AM126" s="125"/>
      <c r="AN126" s="125"/>
      <c r="AO126" s="125"/>
      <c r="AP126" s="125"/>
      <c r="AQ126" s="278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256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U126" s="141"/>
      <c r="CX126" s="225"/>
      <c r="CY126" s="225"/>
      <c r="CZ126" s="225"/>
      <c r="DA126" s="225"/>
      <c r="DB126" s="141"/>
      <c r="DC126" s="141"/>
      <c r="DD126" s="141"/>
      <c r="DE126" s="141"/>
      <c r="DF126" s="141"/>
      <c r="DG126" s="141"/>
      <c r="DH126" s="141"/>
      <c r="DI126" s="141"/>
      <c r="DJ126" s="141"/>
      <c r="DK126" s="141"/>
      <c r="DL126" s="141"/>
      <c r="DM126" s="141"/>
      <c r="DN126" s="141"/>
      <c r="DO126" s="141"/>
      <c r="DP126" s="141"/>
      <c r="DQ126" s="141"/>
      <c r="DR126" s="141"/>
      <c r="DS126" s="141"/>
      <c r="DT126" s="141"/>
      <c r="DU126" s="141"/>
      <c r="DV126" s="141"/>
      <c r="DW126" s="141"/>
      <c r="DX126" s="141"/>
      <c r="DY126" s="141"/>
      <c r="DZ126" s="141"/>
      <c r="EA126" s="141"/>
      <c r="EB126" s="141"/>
      <c r="EC126" s="141"/>
      <c r="ED126" s="342"/>
      <c r="EE126" s="342"/>
    </row>
    <row r="127" spans="1:135" s="52" customFormat="1" ht="13.5" hidden="1" customHeight="1" outlineLevel="1" x14ac:dyDescent="0.2">
      <c r="A127" s="141"/>
      <c r="B127" s="171"/>
      <c r="C127" s="141"/>
      <c r="D127" s="143"/>
      <c r="E127" s="142"/>
      <c r="F127" s="141"/>
      <c r="G127" s="144"/>
      <c r="H127" s="142"/>
      <c r="I127" s="142"/>
      <c r="J127" s="125"/>
      <c r="K127" s="125"/>
      <c r="L127" s="125"/>
      <c r="M127" s="125"/>
      <c r="N127" s="125"/>
      <c r="O127" s="125"/>
      <c r="P127" s="125"/>
      <c r="Q127" s="323"/>
      <c r="R127" s="125"/>
      <c r="S127" s="125"/>
      <c r="T127" s="145"/>
      <c r="U127" s="145"/>
      <c r="V127" s="145"/>
      <c r="W127" s="125"/>
      <c r="X127" s="278"/>
      <c r="Y127" s="278"/>
      <c r="Z127" s="125"/>
      <c r="AA127" s="125"/>
      <c r="AB127" s="125"/>
      <c r="AC127" s="278"/>
      <c r="AD127" s="278"/>
      <c r="AE127" s="279"/>
      <c r="AF127" s="278"/>
      <c r="AG127" s="278"/>
      <c r="AH127" s="278"/>
      <c r="AI127" s="278"/>
      <c r="AJ127" s="125"/>
      <c r="AK127" s="125"/>
      <c r="AL127" s="125"/>
      <c r="AM127" s="125"/>
      <c r="AN127" s="125"/>
      <c r="AO127" s="125"/>
      <c r="AP127" s="125"/>
      <c r="AQ127" s="278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256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U127" s="141"/>
      <c r="CX127" s="225"/>
      <c r="CY127" s="225"/>
      <c r="CZ127" s="225"/>
      <c r="DA127" s="225"/>
      <c r="DB127" s="141"/>
      <c r="DC127" s="141"/>
      <c r="DD127" s="141"/>
      <c r="DE127" s="141"/>
      <c r="DF127" s="141"/>
      <c r="DG127" s="141"/>
      <c r="DH127" s="141"/>
      <c r="DI127" s="141"/>
      <c r="DJ127" s="141"/>
      <c r="DK127" s="141"/>
      <c r="DL127" s="141"/>
      <c r="DM127" s="141"/>
      <c r="DN127" s="141"/>
      <c r="DO127" s="141"/>
      <c r="DP127" s="141"/>
      <c r="DQ127" s="141"/>
      <c r="DR127" s="141"/>
      <c r="DS127" s="141"/>
      <c r="DT127" s="141"/>
      <c r="DU127" s="141"/>
      <c r="DV127" s="141"/>
      <c r="DW127" s="141"/>
      <c r="DX127" s="141"/>
      <c r="DY127" s="141"/>
      <c r="DZ127" s="141"/>
      <c r="EA127" s="141"/>
      <c r="EB127" s="141"/>
      <c r="EC127" s="141"/>
      <c r="ED127" s="342"/>
      <c r="EE127" s="342"/>
    </row>
    <row r="128" spans="1:135" s="52" customFormat="1" ht="13.5" hidden="1" customHeight="1" outlineLevel="1" x14ac:dyDescent="0.2">
      <c r="A128" s="141"/>
      <c r="B128" s="171"/>
      <c r="C128" s="141"/>
      <c r="D128" s="143"/>
      <c r="E128" s="142"/>
      <c r="F128" s="141"/>
      <c r="G128" s="144"/>
      <c r="H128" s="142"/>
      <c r="I128" s="142"/>
      <c r="J128" s="125"/>
      <c r="K128" s="125"/>
      <c r="L128" s="125"/>
      <c r="M128" s="125"/>
      <c r="N128" s="125"/>
      <c r="O128" s="125"/>
      <c r="P128" s="125"/>
      <c r="Q128" s="323"/>
      <c r="R128" s="125"/>
      <c r="S128" s="125"/>
      <c r="T128" s="145"/>
      <c r="U128" s="145"/>
      <c r="V128" s="145"/>
      <c r="W128" s="125"/>
      <c r="X128" s="278"/>
      <c r="Y128" s="278"/>
      <c r="Z128" s="125"/>
      <c r="AA128" s="125"/>
      <c r="AB128" s="125"/>
      <c r="AC128" s="278"/>
      <c r="AD128" s="278"/>
      <c r="AE128" s="279"/>
      <c r="AF128" s="278"/>
      <c r="AG128" s="278"/>
      <c r="AH128" s="278"/>
      <c r="AI128" s="278"/>
      <c r="AJ128" s="125"/>
      <c r="AK128" s="125"/>
      <c r="AL128" s="125"/>
      <c r="AM128" s="125"/>
      <c r="AN128" s="125"/>
      <c r="AO128" s="125"/>
      <c r="AP128" s="125"/>
      <c r="AQ128" s="278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256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U128" s="141"/>
      <c r="CX128" s="225"/>
      <c r="CY128" s="225"/>
      <c r="CZ128" s="225"/>
      <c r="DA128" s="225"/>
      <c r="DB128" s="141"/>
      <c r="DC128" s="141"/>
      <c r="DD128" s="141"/>
      <c r="DE128" s="141"/>
      <c r="DF128" s="141"/>
      <c r="DG128" s="141"/>
      <c r="DH128" s="141"/>
      <c r="DI128" s="141"/>
      <c r="DJ128" s="141"/>
      <c r="DK128" s="141"/>
      <c r="DL128" s="141"/>
      <c r="DM128" s="141"/>
      <c r="DN128" s="141"/>
      <c r="DO128" s="141"/>
      <c r="DP128" s="141"/>
      <c r="DQ128" s="141"/>
      <c r="DR128" s="141"/>
      <c r="DS128" s="141"/>
      <c r="DT128" s="141"/>
      <c r="DU128" s="141"/>
      <c r="DV128" s="141"/>
      <c r="DW128" s="141"/>
      <c r="DX128" s="141"/>
      <c r="DY128" s="141"/>
      <c r="DZ128" s="141"/>
      <c r="EA128" s="141"/>
      <c r="EB128" s="141"/>
      <c r="EC128" s="141"/>
      <c r="ED128" s="342"/>
      <c r="EE128" s="342"/>
    </row>
    <row r="129" spans="1:135" s="52" customFormat="1" ht="13.5" hidden="1" customHeight="1" outlineLevel="1" x14ac:dyDescent="0.2">
      <c r="A129" s="141"/>
      <c r="B129" s="171"/>
      <c r="C129" s="141"/>
      <c r="D129" s="143"/>
      <c r="E129" s="142"/>
      <c r="F129" s="141"/>
      <c r="G129" s="144"/>
      <c r="H129" s="142"/>
      <c r="I129" s="142"/>
      <c r="J129" s="125"/>
      <c r="K129" s="125"/>
      <c r="L129" s="125"/>
      <c r="M129" s="125"/>
      <c r="N129" s="125"/>
      <c r="O129" s="125"/>
      <c r="P129" s="125"/>
      <c r="Q129" s="323"/>
      <c r="R129" s="125"/>
      <c r="S129" s="125"/>
      <c r="T129" s="145"/>
      <c r="U129" s="145"/>
      <c r="V129" s="145"/>
      <c r="W129" s="125"/>
      <c r="X129" s="278"/>
      <c r="Y129" s="278"/>
      <c r="Z129" s="125"/>
      <c r="AA129" s="125"/>
      <c r="AB129" s="125"/>
      <c r="AC129" s="278"/>
      <c r="AD129" s="278"/>
      <c r="AE129" s="279"/>
      <c r="AF129" s="278"/>
      <c r="AG129" s="278"/>
      <c r="AH129" s="278"/>
      <c r="AI129" s="278"/>
      <c r="AJ129" s="125"/>
      <c r="AK129" s="125"/>
      <c r="AL129" s="125"/>
      <c r="AM129" s="125"/>
      <c r="AN129" s="125"/>
      <c r="AO129" s="125"/>
      <c r="AP129" s="125"/>
      <c r="AQ129" s="278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256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U129" s="141"/>
      <c r="CX129" s="225"/>
      <c r="CY129" s="225"/>
      <c r="CZ129" s="225"/>
      <c r="DA129" s="225"/>
      <c r="DB129" s="141"/>
      <c r="DC129" s="141"/>
      <c r="DD129" s="141"/>
      <c r="DE129" s="141"/>
      <c r="DF129" s="141"/>
      <c r="DG129" s="141"/>
      <c r="DH129" s="141"/>
      <c r="DI129" s="141"/>
      <c r="DJ129" s="141"/>
      <c r="DK129" s="141"/>
      <c r="DL129" s="141"/>
      <c r="DM129" s="141"/>
      <c r="DN129" s="141"/>
      <c r="DO129" s="141"/>
      <c r="DP129" s="141"/>
      <c r="DQ129" s="141"/>
      <c r="DR129" s="141"/>
      <c r="DS129" s="141"/>
      <c r="DT129" s="141"/>
      <c r="DU129" s="141"/>
      <c r="DV129" s="141"/>
      <c r="DW129" s="141"/>
      <c r="DX129" s="141"/>
      <c r="DY129" s="141"/>
      <c r="DZ129" s="141"/>
      <c r="EA129" s="141"/>
      <c r="EB129" s="141"/>
      <c r="EC129" s="141"/>
      <c r="ED129" s="342"/>
      <c r="EE129" s="342"/>
    </row>
    <row r="130" spans="1:135" s="52" customFormat="1" ht="13.5" hidden="1" customHeight="1" outlineLevel="1" x14ac:dyDescent="0.2">
      <c r="A130" s="141"/>
      <c r="B130" s="171"/>
      <c r="C130" s="141"/>
      <c r="D130" s="143"/>
      <c r="E130" s="142"/>
      <c r="F130" s="141"/>
      <c r="G130" s="144"/>
      <c r="H130" s="142"/>
      <c r="I130" s="142"/>
      <c r="J130" s="125"/>
      <c r="K130" s="125"/>
      <c r="L130" s="125"/>
      <c r="M130" s="125"/>
      <c r="N130" s="125"/>
      <c r="O130" s="125"/>
      <c r="P130" s="125"/>
      <c r="Q130" s="323"/>
      <c r="R130" s="125"/>
      <c r="S130" s="125"/>
      <c r="T130" s="145"/>
      <c r="U130" s="145"/>
      <c r="V130" s="145"/>
      <c r="W130" s="125"/>
      <c r="X130" s="278"/>
      <c r="Y130" s="278"/>
      <c r="Z130" s="125"/>
      <c r="AA130" s="125"/>
      <c r="AB130" s="125"/>
      <c r="AC130" s="278"/>
      <c r="AD130" s="278"/>
      <c r="AE130" s="279"/>
      <c r="AF130" s="278"/>
      <c r="AG130" s="278"/>
      <c r="AH130" s="278"/>
      <c r="AI130" s="278"/>
      <c r="AJ130" s="125"/>
      <c r="AK130" s="125"/>
      <c r="AL130" s="125"/>
      <c r="AM130" s="125"/>
      <c r="AN130" s="125"/>
      <c r="AO130" s="125"/>
      <c r="AP130" s="125"/>
      <c r="AQ130" s="278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256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U130" s="141"/>
      <c r="CX130" s="225"/>
      <c r="CY130" s="225"/>
      <c r="CZ130" s="225"/>
      <c r="DA130" s="225"/>
      <c r="DB130" s="141"/>
      <c r="DC130" s="141"/>
      <c r="DD130" s="141"/>
      <c r="DE130" s="141"/>
      <c r="DF130" s="141"/>
      <c r="DG130" s="141"/>
      <c r="DH130" s="141"/>
      <c r="DI130" s="141"/>
      <c r="DJ130" s="141"/>
      <c r="DK130" s="141"/>
      <c r="DL130" s="141"/>
      <c r="DM130" s="141"/>
      <c r="DN130" s="141"/>
      <c r="DO130" s="141"/>
      <c r="DP130" s="141"/>
      <c r="DQ130" s="141"/>
      <c r="DR130" s="141"/>
      <c r="DS130" s="141"/>
      <c r="DT130" s="141"/>
      <c r="DU130" s="141"/>
      <c r="DV130" s="141"/>
      <c r="DW130" s="141"/>
      <c r="DX130" s="141"/>
      <c r="DY130" s="141"/>
      <c r="DZ130" s="141"/>
      <c r="EA130" s="141"/>
      <c r="EB130" s="141"/>
      <c r="EC130" s="141"/>
      <c r="ED130" s="342"/>
      <c r="EE130" s="342"/>
    </row>
    <row r="131" spans="1:135" s="52" customFormat="1" ht="13.5" hidden="1" customHeight="1" outlineLevel="1" x14ac:dyDescent="0.2">
      <c r="A131" s="141"/>
      <c r="B131" s="171"/>
      <c r="C131" s="141"/>
      <c r="D131" s="143"/>
      <c r="E131" s="142"/>
      <c r="F131" s="141"/>
      <c r="G131" s="144"/>
      <c r="H131" s="142"/>
      <c r="I131" s="142"/>
      <c r="J131" s="125"/>
      <c r="K131" s="125"/>
      <c r="L131" s="125"/>
      <c r="M131" s="125"/>
      <c r="N131" s="125"/>
      <c r="O131" s="125"/>
      <c r="P131" s="125"/>
      <c r="Q131" s="323"/>
      <c r="R131" s="125"/>
      <c r="S131" s="125"/>
      <c r="T131" s="145"/>
      <c r="U131" s="145"/>
      <c r="V131" s="145"/>
      <c r="W131" s="125"/>
      <c r="X131" s="278"/>
      <c r="Y131" s="278"/>
      <c r="Z131" s="125"/>
      <c r="AA131" s="125"/>
      <c r="AB131" s="125"/>
      <c r="AC131" s="278"/>
      <c r="AD131" s="278"/>
      <c r="AE131" s="279"/>
      <c r="AF131" s="278"/>
      <c r="AG131" s="278"/>
      <c r="AH131" s="278"/>
      <c r="AI131" s="278"/>
      <c r="AJ131" s="125"/>
      <c r="AK131" s="125"/>
      <c r="AL131" s="125"/>
      <c r="AM131" s="125"/>
      <c r="AN131" s="125"/>
      <c r="AO131" s="125"/>
      <c r="AP131" s="125"/>
      <c r="AQ131" s="278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256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U131" s="141"/>
      <c r="CX131" s="225"/>
      <c r="CY131" s="225"/>
      <c r="CZ131" s="225"/>
      <c r="DA131" s="225"/>
      <c r="DB131" s="141"/>
      <c r="DC131" s="141"/>
      <c r="DD131" s="141"/>
      <c r="DE131" s="141"/>
      <c r="DF131" s="141"/>
      <c r="DG131" s="141"/>
      <c r="DH131" s="141"/>
      <c r="DI131" s="141"/>
      <c r="DJ131" s="141"/>
      <c r="DK131" s="141"/>
      <c r="DL131" s="141"/>
      <c r="DM131" s="141"/>
      <c r="DN131" s="141"/>
      <c r="DO131" s="141"/>
      <c r="DP131" s="141"/>
      <c r="DQ131" s="141"/>
      <c r="DR131" s="141"/>
      <c r="DS131" s="141"/>
      <c r="DT131" s="141"/>
      <c r="DU131" s="141"/>
      <c r="DV131" s="141"/>
      <c r="DW131" s="141"/>
      <c r="DX131" s="141"/>
      <c r="DY131" s="141"/>
      <c r="DZ131" s="141"/>
      <c r="EA131" s="141"/>
      <c r="EB131" s="141"/>
      <c r="EC131" s="141"/>
      <c r="ED131" s="342"/>
      <c r="EE131" s="342"/>
    </row>
    <row r="132" spans="1:135" s="52" customFormat="1" ht="13.5" hidden="1" customHeight="1" outlineLevel="1" x14ac:dyDescent="0.2">
      <c r="A132" s="141"/>
      <c r="B132" s="171"/>
      <c r="C132" s="141"/>
      <c r="D132" s="143"/>
      <c r="E132" s="142"/>
      <c r="F132" s="141"/>
      <c r="G132" s="144"/>
      <c r="H132" s="142"/>
      <c r="I132" s="142"/>
      <c r="J132" s="125"/>
      <c r="K132" s="125"/>
      <c r="L132" s="125"/>
      <c r="M132" s="125"/>
      <c r="N132" s="125"/>
      <c r="O132" s="125"/>
      <c r="P132" s="125"/>
      <c r="Q132" s="323"/>
      <c r="R132" s="125"/>
      <c r="S132" s="125"/>
      <c r="T132" s="145"/>
      <c r="U132" s="145"/>
      <c r="V132" s="145"/>
      <c r="W132" s="125"/>
      <c r="X132" s="278"/>
      <c r="Y132" s="278"/>
      <c r="Z132" s="125"/>
      <c r="AA132" s="125"/>
      <c r="AB132" s="125"/>
      <c r="AC132" s="278"/>
      <c r="AD132" s="278"/>
      <c r="AE132" s="279"/>
      <c r="AF132" s="278"/>
      <c r="AG132" s="278"/>
      <c r="AH132" s="278"/>
      <c r="AI132" s="278"/>
      <c r="AJ132" s="125"/>
      <c r="AK132" s="125"/>
      <c r="AL132" s="125"/>
      <c r="AM132" s="125"/>
      <c r="AN132" s="125"/>
      <c r="AO132" s="125"/>
      <c r="AP132" s="125"/>
      <c r="AQ132" s="278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256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U132" s="141"/>
      <c r="CX132" s="225"/>
      <c r="CY132" s="225"/>
      <c r="CZ132" s="225"/>
      <c r="DA132" s="225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1"/>
      <c r="DY132" s="141"/>
      <c r="DZ132" s="141"/>
      <c r="EA132" s="141"/>
      <c r="EB132" s="141"/>
      <c r="EC132" s="141"/>
      <c r="ED132" s="342"/>
      <c r="EE132" s="342"/>
    </row>
    <row r="133" spans="1:135" s="52" customFormat="1" ht="13.5" hidden="1" customHeight="1" outlineLevel="1" x14ac:dyDescent="0.2">
      <c r="A133" s="141"/>
      <c r="B133" s="171"/>
      <c r="C133" s="141"/>
      <c r="D133" s="143"/>
      <c r="E133" s="142"/>
      <c r="F133" s="141"/>
      <c r="G133" s="144"/>
      <c r="H133" s="142"/>
      <c r="I133" s="142"/>
      <c r="J133" s="125"/>
      <c r="K133" s="125"/>
      <c r="L133" s="125"/>
      <c r="M133" s="125"/>
      <c r="N133" s="125"/>
      <c r="O133" s="125"/>
      <c r="P133" s="125"/>
      <c r="Q133" s="323"/>
      <c r="R133" s="125"/>
      <c r="S133" s="125"/>
      <c r="T133" s="145"/>
      <c r="U133" s="145"/>
      <c r="V133" s="145"/>
      <c r="W133" s="125"/>
      <c r="X133" s="278"/>
      <c r="Y133" s="278"/>
      <c r="Z133" s="125"/>
      <c r="AA133" s="125"/>
      <c r="AB133" s="125"/>
      <c r="AC133" s="278"/>
      <c r="AD133" s="278"/>
      <c r="AE133" s="279"/>
      <c r="AF133" s="278"/>
      <c r="AG133" s="278"/>
      <c r="AH133" s="278"/>
      <c r="AI133" s="278"/>
      <c r="AJ133" s="125"/>
      <c r="AK133" s="125"/>
      <c r="AL133" s="125"/>
      <c r="AM133" s="125"/>
      <c r="AN133" s="125"/>
      <c r="AO133" s="125"/>
      <c r="AP133" s="125"/>
      <c r="AQ133" s="278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5"/>
      <c r="BF133" s="125"/>
      <c r="BG133" s="125"/>
      <c r="BH133" s="125"/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/>
      <c r="BY133" s="256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U133" s="141"/>
      <c r="CX133" s="225"/>
      <c r="CY133" s="225"/>
      <c r="CZ133" s="225"/>
      <c r="DA133" s="225"/>
      <c r="DB133" s="141"/>
      <c r="DC133" s="141"/>
      <c r="DD133" s="141"/>
      <c r="DE133" s="141"/>
      <c r="DF133" s="141"/>
      <c r="DG133" s="141"/>
      <c r="DH133" s="141"/>
      <c r="DI133" s="141"/>
      <c r="DJ133" s="141"/>
      <c r="DK133" s="141"/>
      <c r="DL133" s="141"/>
      <c r="DM133" s="141"/>
      <c r="DN133" s="141"/>
      <c r="DO133" s="141"/>
      <c r="DP133" s="141"/>
      <c r="DQ133" s="141"/>
      <c r="DR133" s="141"/>
      <c r="DS133" s="141"/>
      <c r="DT133" s="141"/>
      <c r="DU133" s="141"/>
      <c r="DV133" s="141"/>
      <c r="DW133" s="141"/>
      <c r="DX133" s="141"/>
      <c r="DY133" s="141"/>
      <c r="DZ133" s="141"/>
      <c r="EA133" s="141"/>
      <c r="EB133" s="141"/>
      <c r="EC133" s="141"/>
      <c r="ED133" s="342"/>
      <c r="EE133" s="342"/>
    </row>
    <row r="134" spans="1:135" s="52" customFormat="1" ht="13.5" hidden="1" customHeight="1" outlineLevel="1" x14ac:dyDescent="0.2">
      <c r="A134" s="141"/>
      <c r="B134" s="171"/>
      <c r="C134" s="141"/>
      <c r="D134" s="143"/>
      <c r="E134" s="142"/>
      <c r="F134" s="141"/>
      <c r="G134" s="144"/>
      <c r="H134" s="142"/>
      <c r="I134" s="142"/>
      <c r="J134" s="125"/>
      <c r="K134" s="125"/>
      <c r="L134" s="125"/>
      <c r="M134" s="125"/>
      <c r="N134" s="125"/>
      <c r="O134" s="125"/>
      <c r="P134" s="125"/>
      <c r="Q134" s="323"/>
      <c r="R134" s="125"/>
      <c r="S134" s="125"/>
      <c r="T134" s="145"/>
      <c r="U134" s="145"/>
      <c r="V134" s="145"/>
      <c r="W134" s="125"/>
      <c r="X134" s="278"/>
      <c r="Y134" s="278"/>
      <c r="Z134" s="125"/>
      <c r="AA134" s="125"/>
      <c r="AB134" s="125"/>
      <c r="AC134" s="278"/>
      <c r="AD134" s="278"/>
      <c r="AE134" s="279"/>
      <c r="AF134" s="278"/>
      <c r="AG134" s="278"/>
      <c r="AH134" s="278"/>
      <c r="AI134" s="278"/>
      <c r="AJ134" s="125"/>
      <c r="AK134" s="125"/>
      <c r="AL134" s="125"/>
      <c r="AM134" s="125"/>
      <c r="AN134" s="125"/>
      <c r="AO134" s="125"/>
      <c r="AP134" s="125"/>
      <c r="AQ134" s="278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256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U134" s="141"/>
      <c r="CX134" s="225"/>
      <c r="CY134" s="225"/>
      <c r="CZ134" s="225"/>
      <c r="DA134" s="225"/>
      <c r="DB134" s="141"/>
      <c r="DC134" s="141"/>
      <c r="DD134" s="141"/>
      <c r="DE134" s="141"/>
      <c r="DF134" s="141"/>
      <c r="DG134" s="141"/>
      <c r="DH134" s="141"/>
      <c r="DI134" s="141"/>
      <c r="DJ134" s="141"/>
      <c r="DK134" s="141"/>
      <c r="DL134" s="141"/>
      <c r="DM134" s="141"/>
      <c r="DN134" s="141"/>
      <c r="DO134" s="141"/>
      <c r="DP134" s="141"/>
      <c r="DQ134" s="141"/>
      <c r="DR134" s="141"/>
      <c r="DS134" s="141"/>
      <c r="DT134" s="141"/>
      <c r="DU134" s="141"/>
      <c r="DV134" s="141"/>
      <c r="DW134" s="141"/>
      <c r="DX134" s="141"/>
      <c r="DY134" s="141"/>
      <c r="DZ134" s="141"/>
      <c r="EA134" s="141"/>
      <c r="EB134" s="141"/>
      <c r="EC134" s="141"/>
      <c r="ED134" s="342"/>
      <c r="EE134" s="342"/>
    </row>
    <row r="135" spans="1:135" s="52" customFormat="1" ht="13.5" hidden="1" customHeight="1" outlineLevel="1" x14ac:dyDescent="0.2">
      <c r="A135" s="141"/>
      <c r="B135" s="171"/>
      <c r="C135" s="141"/>
      <c r="D135" s="143"/>
      <c r="E135" s="142"/>
      <c r="F135" s="141"/>
      <c r="G135" s="144"/>
      <c r="H135" s="142"/>
      <c r="I135" s="142"/>
      <c r="J135" s="125"/>
      <c r="K135" s="125"/>
      <c r="L135" s="125"/>
      <c r="M135" s="125"/>
      <c r="N135" s="125"/>
      <c r="O135" s="125"/>
      <c r="P135" s="125"/>
      <c r="Q135" s="323"/>
      <c r="R135" s="125"/>
      <c r="S135" s="125"/>
      <c r="T135" s="145"/>
      <c r="U135" s="145"/>
      <c r="V135" s="145"/>
      <c r="W135" s="125"/>
      <c r="X135" s="278"/>
      <c r="Y135" s="278"/>
      <c r="Z135" s="125"/>
      <c r="AA135" s="125"/>
      <c r="AB135" s="125"/>
      <c r="AC135" s="278"/>
      <c r="AD135" s="278"/>
      <c r="AE135" s="279"/>
      <c r="AF135" s="278"/>
      <c r="AG135" s="278"/>
      <c r="AH135" s="278"/>
      <c r="AI135" s="278"/>
      <c r="AJ135" s="125"/>
      <c r="AK135" s="125"/>
      <c r="AL135" s="125"/>
      <c r="AM135" s="125"/>
      <c r="AN135" s="125"/>
      <c r="AO135" s="125"/>
      <c r="AP135" s="125"/>
      <c r="AQ135" s="278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256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U135" s="141"/>
      <c r="CX135" s="225"/>
      <c r="CY135" s="225"/>
      <c r="CZ135" s="225"/>
      <c r="DA135" s="225"/>
      <c r="DB135" s="141"/>
      <c r="DC135" s="141"/>
      <c r="DD135" s="141"/>
      <c r="DE135" s="141"/>
      <c r="DF135" s="141"/>
      <c r="DG135" s="141"/>
      <c r="DH135" s="141"/>
      <c r="DI135" s="141"/>
      <c r="DJ135" s="141"/>
      <c r="DK135" s="141"/>
      <c r="DL135" s="141"/>
      <c r="DM135" s="141"/>
      <c r="DN135" s="141"/>
      <c r="DO135" s="141"/>
      <c r="DP135" s="141"/>
      <c r="DQ135" s="141"/>
      <c r="DR135" s="141"/>
      <c r="DS135" s="141"/>
      <c r="DT135" s="141"/>
      <c r="DU135" s="141"/>
      <c r="DV135" s="141"/>
      <c r="DW135" s="141"/>
      <c r="DX135" s="141"/>
      <c r="DY135" s="141"/>
      <c r="DZ135" s="141"/>
      <c r="EA135" s="141"/>
      <c r="EB135" s="141"/>
      <c r="EC135" s="141"/>
      <c r="ED135" s="342"/>
      <c r="EE135" s="342"/>
    </row>
    <row r="136" spans="1:135" s="52" customFormat="1" ht="13.5" hidden="1" customHeight="1" outlineLevel="1" x14ac:dyDescent="0.2">
      <c r="A136" s="141"/>
      <c r="B136" s="171"/>
      <c r="C136" s="141"/>
      <c r="D136" s="143"/>
      <c r="E136" s="142"/>
      <c r="F136" s="141"/>
      <c r="G136" s="144"/>
      <c r="H136" s="142"/>
      <c r="I136" s="142"/>
      <c r="J136" s="125"/>
      <c r="K136" s="125"/>
      <c r="L136" s="125"/>
      <c r="M136" s="125"/>
      <c r="N136" s="125"/>
      <c r="O136" s="125"/>
      <c r="P136" s="125"/>
      <c r="Q136" s="323"/>
      <c r="R136" s="125"/>
      <c r="S136" s="125"/>
      <c r="T136" s="145"/>
      <c r="U136" s="145"/>
      <c r="V136" s="145"/>
      <c r="W136" s="125"/>
      <c r="X136" s="278"/>
      <c r="Y136" s="278"/>
      <c r="Z136" s="125"/>
      <c r="AA136" s="125"/>
      <c r="AB136" s="125"/>
      <c r="AC136" s="278"/>
      <c r="AD136" s="278"/>
      <c r="AE136" s="279"/>
      <c r="AF136" s="278"/>
      <c r="AG136" s="278"/>
      <c r="AH136" s="278"/>
      <c r="AI136" s="278"/>
      <c r="AJ136" s="125"/>
      <c r="AK136" s="125"/>
      <c r="AL136" s="125"/>
      <c r="AM136" s="125"/>
      <c r="AN136" s="125"/>
      <c r="AO136" s="125"/>
      <c r="AP136" s="125"/>
      <c r="AQ136" s="278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256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U136" s="141"/>
      <c r="CX136" s="225"/>
      <c r="CY136" s="225"/>
      <c r="CZ136" s="225"/>
      <c r="DA136" s="225"/>
      <c r="DB136" s="141"/>
      <c r="DC136" s="141"/>
      <c r="DD136" s="141"/>
      <c r="DE136" s="141"/>
      <c r="DF136" s="141"/>
      <c r="DG136" s="141"/>
      <c r="DH136" s="141"/>
      <c r="DI136" s="141"/>
      <c r="DJ136" s="141"/>
      <c r="DK136" s="141"/>
      <c r="DL136" s="141"/>
      <c r="DM136" s="141"/>
      <c r="DN136" s="141"/>
      <c r="DO136" s="141"/>
      <c r="DP136" s="141"/>
      <c r="DQ136" s="141"/>
      <c r="DR136" s="141"/>
      <c r="DS136" s="141"/>
      <c r="DT136" s="141"/>
      <c r="DU136" s="141"/>
      <c r="DV136" s="141"/>
      <c r="DW136" s="141"/>
      <c r="DX136" s="141"/>
      <c r="DY136" s="141"/>
      <c r="DZ136" s="141"/>
      <c r="EA136" s="141"/>
      <c r="EB136" s="141"/>
      <c r="EC136" s="141"/>
      <c r="ED136" s="342"/>
      <c r="EE136" s="342"/>
    </row>
    <row r="137" spans="1:135" s="52" customFormat="1" ht="13.5" hidden="1" customHeight="1" outlineLevel="1" x14ac:dyDescent="0.2">
      <c r="A137" s="141"/>
      <c r="B137" s="171"/>
      <c r="C137" s="141"/>
      <c r="D137" s="143"/>
      <c r="E137" s="142"/>
      <c r="F137" s="141"/>
      <c r="G137" s="144"/>
      <c r="H137" s="142"/>
      <c r="I137" s="142"/>
      <c r="J137" s="125"/>
      <c r="K137" s="125"/>
      <c r="L137" s="125"/>
      <c r="M137" s="125"/>
      <c r="N137" s="125"/>
      <c r="O137" s="125"/>
      <c r="P137" s="125"/>
      <c r="Q137" s="323"/>
      <c r="R137" s="125"/>
      <c r="S137" s="125"/>
      <c r="T137" s="145"/>
      <c r="U137" s="145"/>
      <c r="V137" s="145"/>
      <c r="W137" s="125"/>
      <c r="X137" s="278"/>
      <c r="Y137" s="278"/>
      <c r="Z137" s="125"/>
      <c r="AA137" s="125"/>
      <c r="AB137" s="125"/>
      <c r="AC137" s="278"/>
      <c r="AD137" s="278"/>
      <c r="AE137" s="279"/>
      <c r="AF137" s="278"/>
      <c r="AG137" s="278"/>
      <c r="AH137" s="278"/>
      <c r="AI137" s="278"/>
      <c r="AJ137" s="125"/>
      <c r="AK137" s="125"/>
      <c r="AL137" s="125"/>
      <c r="AM137" s="125"/>
      <c r="AN137" s="125"/>
      <c r="AO137" s="125"/>
      <c r="AP137" s="125"/>
      <c r="AQ137" s="278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256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U137" s="141"/>
      <c r="CX137" s="225"/>
      <c r="CY137" s="225"/>
      <c r="CZ137" s="225"/>
      <c r="DA137" s="225"/>
      <c r="DB137" s="141"/>
      <c r="DC137" s="141"/>
      <c r="DD137" s="141"/>
      <c r="DE137" s="141"/>
      <c r="DF137" s="141"/>
      <c r="DG137" s="141"/>
      <c r="DH137" s="141"/>
      <c r="DI137" s="141"/>
      <c r="DJ137" s="141"/>
      <c r="DK137" s="141"/>
      <c r="DL137" s="141"/>
      <c r="DM137" s="141"/>
      <c r="DN137" s="141"/>
      <c r="DO137" s="141"/>
      <c r="DP137" s="141"/>
      <c r="DQ137" s="141"/>
      <c r="DR137" s="141"/>
      <c r="DS137" s="141"/>
      <c r="DT137" s="141"/>
      <c r="DU137" s="141"/>
      <c r="DV137" s="141"/>
      <c r="DW137" s="141"/>
      <c r="DX137" s="141"/>
      <c r="DY137" s="141"/>
      <c r="DZ137" s="141"/>
      <c r="EA137" s="141"/>
      <c r="EB137" s="141"/>
      <c r="EC137" s="141"/>
      <c r="ED137" s="342"/>
      <c r="EE137" s="342"/>
    </row>
    <row r="138" spans="1:135" s="52" customFormat="1" ht="13.5" hidden="1" customHeight="1" outlineLevel="1" x14ac:dyDescent="0.2">
      <c r="A138" s="141"/>
      <c r="B138" s="171"/>
      <c r="C138" s="141"/>
      <c r="D138" s="143"/>
      <c r="E138" s="142"/>
      <c r="F138" s="141"/>
      <c r="G138" s="144"/>
      <c r="H138" s="142"/>
      <c r="I138" s="142"/>
      <c r="J138" s="125"/>
      <c r="K138" s="125"/>
      <c r="L138" s="125"/>
      <c r="M138" s="125"/>
      <c r="N138" s="125"/>
      <c r="O138" s="125"/>
      <c r="P138" s="125"/>
      <c r="Q138" s="323"/>
      <c r="R138" s="125"/>
      <c r="S138" s="125"/>
      <c r="T138" s="145"/>
      <c r="U138" s="145"/>
      <c r="V138" s="145"/>
      <c r="W138" s="125"/>
      <c r="X138" s="278"/>
      <c r="Y138" s="278"/>
      <c r="Z138" s="125"/>
      <c r="AA138" s="125"/>
      <c r="AB138" s="125"/>
      <c r="AC138" s="278"/>
      <c r="AD138" s="278"/>
      <c r="AE138" s="279"/>
      <c r="AF138" s="278"/>
      <c r="AG138" s="278"/>
      <c r="AH138" s="278"/>
      <c r="AI138" s="278"/>
      <c r="AJ138" s="125"/>
      <c r="AK138" s="125"/>
      <c r="AL138" s="125"/>
      <c r="AM138" s="125"/>
      <c r="AN138" s="125"/>
      <c r="AO138" s="125"/>
      <c r="AP138" s="125"/>
      <c r="AQ138" s="278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256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U138" s="141"/>
      <c r="CX138" s="225"/>
      <c r="CY138" s="225"/>
      <c r="CZ138" s="225"/>
      <c r="DA138" s="225"/>
      <c r="DB138" s="141"/>
      <c r="DC138" s="141"/>
      <c r="DD138" s="141"/>
      <c r="DE138" s="141"/>
      <c r="DF138" s="141"/>
      <c r="DG138" s="141"/>
      <c r="DH138" s="141"/>
      <c r="DI138" s="141"/>
      <c r="DJ138" s="141"/>
      <c r="DK138" s="141"/>
      <c r="DL138" s="141"/>
      <c r="DM138" s="141"/>
      <c r="DN138" s="141"/>
      <c r="DO138" s="141"/>
      <c r="DP138" s="141"/>
      <c r="DQ138" s="141"/>
      <c r="DR138" s="141"/>
      <c r="DS138" s="141"/>
      <c r="DT138" s="141"/>
      <c r="DU138" s="141"/>
      <c r="DV138" s="141"/>
      <c r="DW138" s="141"/>
      <c r="DX138" s="141"/>
      <c r="DY138" s="141"/>
      <c r="DZ138" s="141"/>
      <c r="EA138" s="141"/>
      <c r="EB138" s="141"/>
      <c r="EC138" s="141"/>
      <c r="ED138" s="342"/>
      <c r="EE138" s="342"/>
    </row>
    <row r="139" spans="1:135" s="52" customFormat="1" ht="13.5" hidden="1" customHeight="1" outlineLevel="1" x14ac:dyDescent="0.2">
      <c r="A139" s="141"/>
      <c r="B139" s="171"/>
      <c r="C139" s="141"/>
      <c r="D139" s="143"/>
      <c r="E139" s="142"/>
      <c r="F139" s="141"/>
      <c r="G139" s="144"/>
      <c r="H139" s="142"/>
      <c r="I139" s="142"/>
      <c r="J139" s="125"/>
      <c r="K139" s="125"/>
      <c r="L139" s="125"/>
      <c r="M139" s="125"/>
      <c r="N139" s="125"/>
      <c r="O139" s="125"/>
      <c r="P139" s="125"/>
      <c r="Q139" s="323"/>
      <c r="R139" s="125"/>
      <c r="S139" s="125"/>
      <c r="T139" s="145"/>
      <c r="U139" s="145"/>
      <c r="V139" s="145"/>
      <c r="W139" s="125"/>
      <c r="X139" s="278"/>
      <c r="Y139" s="278"/>
      <c r="Z139" s="125"/>
      <c r="AA139" s="125"/>
      <c r="AB139" s="125"/>
      <c r="AC139" s="278"/>
      <c r="AD139" s="278"/>
      <c r="AE139" s="279"/>
      <c r="AF139" s="278"/>
      <c r="AG139" s="278"/>
      <c r="AH139" s="278"/>
      <c r="AI139" s="278"/>
      <c r="AJ139" s="125"/>
      <c r="AK139" s="125"/>
      <c r="AL139" s="125"/>
      <c r="AM139" s="125"/>
      <c r="AN139" s="125"/>
      <c r="AO139" s="125"/>
      <c r="AP139" s="125"/>
      <c r="AQ139" s="278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256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U139" s="141"/>
      <c r="CX139" s="225"/>
      <c r="CY139" s="225"/>
      <c r="CZ139" s="225"/>
      <c r="DA139" s="225"/>
      <c r="DB139" s="141"/>
      <c r="DC139" s="141"/>
      <c r="DD139" s="141"/>
      <c r="DE139" s="141"/>
      <c r="DF139" s="141"/>
      <c r="DG139" s="141"/>
      <c r="DH139" s="141"/>
      <c r="DI139" s="141"/>
      <c r="DJ139" s="141"/>
      <c r="DK139" s="141"/>
      <c r="DL139" s="141"/>
      <c r="DM139" s="141"/>
      <c r="DN139" s="141"/>
      <c r="DO139" s="141"/>
      <c r="DP139" s="141"/>
      <c r="DQ139" s="141"/>
      <c r="DR139" s="141"/>
      <c r="DS139" s="141"/>
      <c r="DT139" s="141"/>
      <c r="DU139" s="141"/>
      <c r="DV139" s="141"/>
      <c r="DW139" s="141"/>
      <c r="DX139" s="141"/>
      <c r="DY139" s="141"/>
      <c r="DZ139" s="141"/>
      <c r="EA139" s="141"/>
      <c r="EB139" s="141"/>
      <c r="EC139" s="141"/>
      <c r="ED139" s="342"/>
      <c r="EE139" s="342"/>
    </row>
    <row r="140" spans="1:135" s="52" customFormat="1" ht="13.5" hidden="1" customHeight="1" outlineLevel="1" x14ac:dyDescent="0.2">
      <c r="A140" s="141"/>
      <c r="B140" s="171"/>
      <c r="C140" s="141"/>
      <c r="D140" s="143"/>
      <c r="E140" s="142"/>
      <c r="F140" s="141"/>
      <c r="G140" s="144"/>
      <c r="H140" s="142"/>
      <c r="I140" s="142"/>
      <c r="J140" s="125"/>
      <c r="K140" s="125"/>
      <c r="L140" s="125"/>
      <c r="M140" s="125"/>
      <c r="N140" s="125"/>
      <c r="O140" s="125"/>
      <c r="P140" s="125"/>
      <c r="Q140" s="323"/>
      <c r="R140" s="125"/>
      <c r="S140" s="125"/>
      <c r="T140" s="145"/>
      <c r="U140" s="145"/>
      <c r="V140" s="145"/>
      <c r="W140" s="125"/>
      <c r="X140" s="278"/>
      <c r="Y140" s="278"/>
      <c r="Z140" s="125"/>
      <c r="AA140" s="125"/>
      <c r="AB140" s="125"/>
      <c r="AC140" s="278"/>
      <c r="AD140" s="278"/>
      <c r="AE140" s="279"/>
      <c r="AF140" s="278"/>
      <c r="AG140" s="278"/>
      <c r="AH140" s="278"/>
      <c r="AI140" s="278"/>
      <c r="AJ140" s="125"/>
      <c r="AK140" s="125"/>
      <c r="AL140" s="125"/>
      <c r="AM140" s="125"/>
      <c r="AN140" s="125"/>
      <c r="AO140" s="125"/>
      <c r="AP140" s="125"/>
      <c r="AQ140" s="278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256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U140" s="141"/>
      <c r="CX140" s="225"/>
      <c r="CY140" s="225"/>
      <c r="CZ140" s="225"/>
      <c r="DA140" s="225"/>
      <c r="DB140" s="141"/>
      <c r="DC140" s="141"/>
      <c r="DD140" s="141"/>
      <c r="DE140" s="141"/>
      <c r="DF140" s="141"/>
      <c r="DG140" s="141"/>
      <c r="DH140" s="141"/>
      <c r="DI140" s="141"/>
      <c r="DJ140" s="141"/>
      <c r="DK140" s="141"/>
      <c r="DL140" s="141"/>
      <c r="DM140" s="141"/>
      <c r="DN140" s="141"/>
      <c r="DO140" s="141"/>
      <c r="DP140" s="141"/>
      <c r="DQ140" s="141"/>
      <c r="DR140" s="141"/>
      <c r="DS140" s="141"/>
      <c r="DT140" s="141"/>
      <c r="DU140" s="141"/>
      <c r="DV140" s="141"/>
      <c r="DW140" s="141"/>
      <c r="DX140" s="141"/>
      <c r="DY140" s="141"/>
      <c r="DZ140" s="141"/>
      <c r="EA140" s="141"/>
      <c r="EB140" s="141"/>
      <c r="EC140" s="141"/>
      <c r="ED140" s="342"/>
      <c r="EE140" s="342"/>
    </row>
    <row r="141" spans="1:135" s="52" customFormat="1" ht="13.5" hidden="1" customHeight="1" outlineLevel="1" x14ac:dyDescent="0.2">
      <c r="A141" s="141"/>
      <c r="B141" s="171"/>
      <c r="C141" s="141"/>
      <c r="D141" s="143"/>
      <c r="E141" s="142"/>
      <c r="F141" s="141"/>
      <c r="G141" s="144"/>
      <c r="H141" s="142"/>
      <c r="I141" s="142"/>
      <c r="J141" s="125"/>
      <c r="K141" s="125"/>
      <c r="L141" s="125"/>
      <c r="M141" s="125"/>
      <c r="N141" s="125"/>
      <c r="O141" s="125"/>
      <c r="P141" s="125"/>
      <c r="Q141" s="323"/>
      <c r="R141" s="125"/>
      <c r="S141" s="125"/>
      <c r="T141" s="145"/>
      <c r="U141" s="145"/>
      <c r="V141" s="145"/>
      <c r="W141" s="125"/>
      <c r="X141" s="278"/>
      <c r="Y141" s="278"/>
      <c r="Z141" s="125"/>
      <c r="AA141" s="125"/>
      <c r="AB141" s="125"/>
      <c r="AC141" s="278"/>
      <c r="AD141" s="278"/>
      <c r="AE141" s="279"/>
      <c r="AF141" s="278"/>
      <c r="AG141" s="278"/>
      <c r="AH141" s="278"/>
      <c r="AI141" s="278"/>
      <c r="AJ141" s="125"/>
      <c r="AK141" s="125"/>
      <c r="AL141" s="125"/>
      <c r="AM141" s="125"/>
      <c r="AN141" s="125"/>
      <c r="AO141" s="125"/>
      <c r="AP141" s="125"/>
      <c r="AQ141" s="278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/>
      <c r="BY141" s="256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U141" s="141"/>
      <c r="CX141" s="225"/>
      <c r="CY141" s="225"/>
      <c r="CZ141" s="225"/>
      <c r="DA141" s="225"/>
      <c r="DB141" s="141"/>
      <c r="DC141" s="141"/>
      <c r="DD141" s="141"/>
      <c r="DE141" s="141"/>
      <c r="DF141" s="141"/>
      <c r="DG141" s="141"/>
      <c r="DH141" s="141"/>
      <c r="DI141" s="141"/>
      <c r="DJ141" s="141"/>
      <c r="DK141" s="141"/>
      <c r="DL141" s="141"/>
      <c r="DM141" s="141"/>
      <c r="DN141" s="141"/>
      <c r="DO141" s="141"/>
      <c r="DP141" s="141"/>
      <c r="DQ141" s="141"/>
      <c r="DR141" s="141"/>
      <c r="DS141" s="141"/>
      <c r="DT141" s="141"/>
      <c r="DU141" s="141"/>
      <c r="DV141" s="141"/>
      <c r="DW141" s="141"/>
      <c r="DX141" s="141"/>
      <c r="DY141" s="141"/>
      <c r="DZ141" s="141"/>
      <c r="EA141" s="141"/>
      <c r="EB141" s="141"/>
      <c r="EC141" s="141"/>
      <c r="ED141" s="342"/>
      <c r="EE141" s="342"/>
    </row>
    <row r="142" spans="1:135" s="52" customFormat="1" ht="13.5" hidden="1" customHeight="1" outlineLevel="1" x14ac:dyDescent="0.2">
      <c r="A142" s="141"/>
      <c r="B142" s="171"/>
      <c r="C142" s="141"/>
      <c r="D142" s="143"/>
      <c r="E142" s="142"/>
      <c r="F142" s="141"/>
      <c r="G142" s="144"/>
      <c r="H142" s="142"/>
      <c r="I142" s="142"/>
      <c r="J142" s="125"/>
      <c r="K142" s="125"/>
      <c r="L142" s="125"/>
      <c r="M142" s="125"/>
      <c r="N142" s="125"/>
      <c r="O142" s="125"/>
      <c r="P142" s="125"/>
      <c r="Q142" s="323"/>
      <c r="R142" s="125"/>
      <c r="S142" s="125"/>
      <c r="T142" s="145"/>
      <c r="U142" s="145"/>
      <c r="V142" s="145"/>
      <c r="W142" s="125"/>
      <c r="X142" s="278"/>
      <c r="Y142" s="278"/>
      <c r="Z142" s="125"/>
      <c r="AA142" s="125"/>
      <c r="AB142" s="125"/>
      <c r="AC142" s="278"/>
      <c r="AD142" s="278"/>
      <c r="AE142" s="279"/>
      <c r="AF142" s="278"/>
      <c r="AG142" s="278"/>
      <c r="AH142" s="278"/>
      <c r="AI142" s="278"/>
      <c r="AJ142" s="125"/>
      <c r="AK142" s="125"/>
      <c r="AL142" s="125"/>
      <c r="AM142" s="125"/>
      <c r="AN142" s="125"/>
      <c r="AO142" s="125"/>
      <c r="AP142" s="125"/>
      <c r="AQ142" s="278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256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U142" s="141"/>
      <c r="CX142" s="225"/>
      <c r="CY142" s="225"/>
      <c r="CZ142" s="225"/>
      <c r="DA142" s="225"/>
      <c r="DB142" s="141"/>
      <c r="DC142" s="141"/>
      <c r="DD142" s="141"/>
      <c r="DE142" s="141"/>
      <c r="DF142" s="141"/>
      <c r="DG142" s="141"/>
      <c r="DH142" s="141"/>
      <c r="DI142" s="141"/>
      <c r="DJ142" s="141"/>
      <c r="DK142" s="141"/>
      <c r="DL142" s="141"/>
      <c r="DM142" s="141"/>
      <c r="DN142" s="141"/>
      <c r="DO142" s="141"/>
      <c r="DP142" s="141"/>
      <c r="DQ142" s="141"/>
      <c r="DR142" s="141"/>
      <c r="DS142" s="141"/>
      <c r="DT142" s="141"/>
      <c r="DU142" s="141"/>
      <c r="DV142" s="141"/>
      <c r="DW142" s="141"/>
      <c r="DX142" s="141"/>
      <c r="DY142" s="141"/>
      <c r="DZ142" s="141"/>
      <c r="EA142" s="141"/>
      <c r="EB142" s="141"/>
      <c r="EC142" s="141"/>
      <c r="ED142" s="342"/>
      <c r="EE142" s="342"/>
    </row>
    <row r="143" spans="1:135" s="52" customFormat="1" ht="13.5" hidden="1" customHeight="1" outlineLevel="1" x14ac:dyDescent="0.2">
      <c r="A143" s="141"/>
      <c r="B143" s="171"/>
      <c r="C143" s="141"/>
      <c r="D143" s="143"/>
      <c r="E143" s="142"/>
      <c r="F143" s="141"/>
      <c r="G143" s="144"/>
      <c r="H143" s="142"/>
      <c r="I143" s="142"/>
      <c r="J143" s="125"/>
      <c r="K143" s="125"/>
      <c r="L143" s="125"/>
      <c r="M143" s="125"/>
      <c r="N143" s="125"/>
      <c r="O143" s="125"/>
      <c r="P143" s="125"/>
      <c r="Q143" s="323"/>
      <c r="R143" s="125"/>
      <c r="S143" s="125"/>
      <c r="T143" s="145"/>
      <c r="U143" s="145"/>
      <c r="V143" s="145"/>
      <c r="W143" s="125"/>
      <c r="X143" s="278"/>
      <c r="Y143" s="278"/>
      <c r="Z143" s="125"/>
      <c r="AA143" s="125"/>
      <c r="AB143" s="125"/>
      <c r="AC143" s="278"/>
      <c r="AD143" s="278"/>
      <c r="AE143" s="279"/>
      <c r="AF143" s="278"/>
      <c r="AG143" s="278"/>
      <c r="AH143" s="278"/>
      <c r="AI143" s="278"/>
      <c r="AJ143" s="125"/>
      <c r="AK143" s="125"/>
      <c r="AL143" s="125"/>
      <c r="AM143" s="125"/>
      <c r="AN143" s="125"/>
      <c r="AO143" s="125"/>
      <c r="AP143" s="125"/>
      <c r="AQ143" s="278"/>
      <c r="AR143" s="125"/>
      <c r="AS143" s="12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/>
      <c r="BU143" s="125"/>
      <c r="BV143" s="125"/>
      <c r="BW143" s="125"/>
      <c r="BX143" s="125"/>
      <c r="BY143" s="256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U143" s="141"/>
      <c r="CX143" s="225"/>
      <c r="CY143" s="225"/>
      <c r="CZ143" s="225"/>
      <c r="DA143" s="225"/>
      <c r="DB143" s="141"/>
      <c r="DC143" s="141"/>
      <c r="DD143" s="141"/>
      <c r="DE143" s="141"/>
      <c r="DF143" s="141"/>
      <c r="DG143" s="141"/>
      <c r="DH143" s="141"/>
      <c r="DI143" s="141"/>
      <c r="DJ143" s="141"/>
      <c r="DK143" s="141"/>
      <c r="DL143" s="141"/>
      <c r="DM143" s="141"/>
      <c r="DN143" s="141"/>
      <c r="DO143" s="141"/>
      <c r="DP143" s="141"/>
      <c r="DQ143" s="141"/>
      <c r="DR143" s="141"/>
      <c r="DS143" s="141"/>
      <c r="DT143" s="141"/>
      <c r="DU143" s="141"/>
      <c r="DV143" s="141"/>
      <c r="DW143" s="141"/>
      <c r="DX143" s="141"/>
      <c r="DY143" s="141"/>
      <c r="DZ143" s="141"/>
      <c r="EA143" s="141"/>
      <c r="EB143" s="141"/>
      <c r="EC143" s="141"/>
      <c r="ED143" s="342"/>
      <c r="EE143" s="342"/>
    </row>
    <row r="144" spans="1:135" s="52" customFormat="1" ht="13.5" hidden="1" customHeight="1" outlineLevel="1" x14ac:dyDescent="0.2">
      <c r="A144" s="141"/>
      <c r="B144" s="171"/>
      <c r="C144" s="141"/>
      <c r="D144" s="143"/>
      <c r="E144" s="142"/>
      <c r="F144" s="141"/>
      <c r="G144" s="144"/>
      <c r="H144" s="142"/>
      <c r="I144" s="142"/>
      <c r="J144" s="125"/>
      <c r="K144" s="125"/>
      <c r="L144" s="125"/>
      <c r="M144" s="125"/>
      <c r="N144" s="125"/>
      <c r="O144" s="125"/>
      <c r="P144" s="125"/>
      <c r="Q144" s="323"/>
      <c r="R144" s="125"/>
      <c r="S144" s="125"/>
      <c r="T144" s="145"/>
      <c r="U144" s="145"/>
      <c r="V144" s="145"/>
      <c r="W144" s="125"/>
      <c r="X144" s="278"/>
      <c r="Y144" s="278"/>
      <c r="Z144" s="125"/>
      <c r="AA144" s="125"/>
      <c r="AB144" s="125"/>
      <c r="AC144" s="278"/>
      <c r="AD144" s="278"/>
      <c r="AE144" s="279"/>
      <c r="AF144" s="278"/>
      <c r="AG144" s="278"/>
      <c r="AH144" s="278"/>
      <c r="AI144" s="278"/>
      <c r="AJ144" s="125"/>
      <c r="AK144" s="125"/>
      <c r="AL144" s="125"/>
      <c r="AM144" s="125"/>
      <c r="AN144" s="125"/>
      <c r="AO144" s="125"/>
      <c r="AP144" s="125"/>
      <c r="AQ144" s="278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/>
      <c r="BW144" s="125"/>
      <c r="BX144" s="125"/>
      <c r="BY144" s="256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U144" s="141"/>
      <c r="CX144" s="225"/>
      <c r="CY144" s="225"/>
      <c r="CZ144" s="225"/>
      <c r="DA144" s="225"/>
      <c r="DB144" s="141"/>
      <c r="DC144" s="141"/>
      <c r="DD144" s="141"/>
      <c r="DE144" s="141"/>
      <c r="DF144" s="141"/>
      <c r="DG144" s="141"/>
      <c r="DH144" s="141"/>
      <c r="DI144" s="141"/>
      <c r="DJ144" s="141"/>
      <c r="DK144" s="141"/>
      <c r="DL144" s="141"/>
      <c r="DM144" s="141"/>
      <c r="DN144" s="141"/>
      <c r="DO144" s="141"/>
      <c r="DP144" s="141"/>
      <c r="DQ144" s="141"/>
      <c r="DR144" s="141"/>
      <c r="DS144" s="141"/>
      <c r="DT144" s="141"/>
      <c r="DU144" s="141"/>
      <c r="DV144" s="141"/>
      <c r="DW144" s="141"/>
      <c r="DX144" s="141"/>
      <c r="DY144" s="141"/>
      <c r="DZ144" s="141"/>
      <c r="EA144" s="141"/>
      <c r="EB144" s="141"/>
      <c r="EC144" s="141"/>
      <c r="ED144" s="342"/>
      <c r="EE144" s="342"/>
    </row>
    <row r="145" spans="1:135" s="52" customFormat="1" ht="13.5" hidden="1" customHeight="1" outlineLevel="1" x14ac:dyDescent="0.2">
      <c r="A145" s="141"/>
      <c r="B145" s="171"/>
      <c r="C145" s="141"/>
      <c r="D145" s="143"/>
      <c r="E145" s="142"/>
      <c r="F145" s="141"/>
      <c r="G145" s="144"/>
      <c r="H145" s="142"/>
      <c r="I145" s="142"/>
      <c r="J145" s="125"/>
      <c r="K145" s="125"/>
      <c r="L145" s="125"/>
      <c r="M145" s="125"/>
      <c r="N145" s="125"/>
      <c r="O145" s="125"/>
      <c r="P145" s="125"/>
      <c r="Q145" s="323"/>
      <c r="R145" s="125"/>
      <c r="S145" s="125"/>
      <c r="T145" s="145"/>
      <c r="U145" s="145"/>
      <c r="V145" s="145"/>
      <c r="W145" s="125"/>
      <c r="X145" s="278"/>
      <c r="Y145" s="278"/>
      <c r="Z145" s="125"/>
      <c r="AA145" s="125"/>
      <c r="AB145" s="125"/>
      <c r="AC145" s="278"/>
      <c r="AD145" s="278"/>
      <c r="AE145" s="279"/>
      <c r="AF145" s="278"/>
      <c r="AG145" s="278"/>
      <c r="AH145" s="278"/>
      <c r="AI145" s="278"/>
      <c r="AJ145" s="125"/>
      <c r="AK145" s="125"/>
      <c r="AL145" s="125"/>
      <c r="AM145" s="125"/>
      <c r="AN145" s="125"/>
      <c r="AO145" s="125"/>
      <c r="AP145" s="125"/>
      <c r="AQ145" s="278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256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U145" s="141"/>
      <c r="CX145" s="225"/>
      <c r="CY145" s="225"/>
      <c r="CZ145" s="225"/>
      <c r="DA145" s="225"/>
      <c r="DB145" s="141"/>
      <c r="DC145" s="141"/>
      <c r="DD145" s="141"/>
      <c r="DE145" s="141"/>
      <c r="DF145" s="141"/>
      <c r="DG145" s="141"/>
      <c r="DH145" s="141"/>
      <c r="DI145" s="141"/>
      <c r="DJ145" s="141"/>
      <c r="DK145" s="141"/>
      <c r="DL145" s="141"/>
      <c r="DM145" s="141"/>
      <c r="DN145" s="141"/>
      <c r="DO145" s="141"/>
      <c r="DP145" s="141"/>
      <c r="DQ145" s="141"/>
      <c r="DR145" s="141"/>
      <c r="DS145" s="141"/>
      <c r="DT145" s="141"/>
      <c r="DU145" s="141"/>
      <c r="DV145" s="141"/>
      <c r="DW145" s="141"/>
      <c r="DX145" s="141"/>
      <c r="DY145" s="141"/>
      <c r="DZ145" s="141"/>
      <c r="EA145" s="141"/>
      <c r="EB145" s="141"/>
      <c r="EC145" s="141"/>
      <c r="ED145" s="342"/>
      <c r="EE145" s="342"/>
    </row>
    <row r="146" spans="1:135" s="52" customFormat="1" ht="13.5" hidden="1" customHeight="1" outlineLevel="1" x14ac:dyDescent="0.2">
      <c r="A146" s="141"/>
      <c r="B146" s="171"/>
      <c r="C146" s="141"/>
      <c r="D146" s="143"/>
      <c r="E146" s="142"/>
      <c r="F146" s="141"/>
      <c r="G146" s="144"/>
      <c r="H146" s="142"/>
      <c r="I146" s="142"/>
      <c r="J146" s="125"/>
      <c r="K146" s="125"/>
      <c r="L146" s="125"/>
      <c r="M146" s="125"/>
      <c r="N146" s="125"/>
      <c r="O146" s="125"/>
      <c r="P146" s="125"/>
      <c r="Q146" s="323"/>
      <c r="R146" s="125"/>
      <c r="S146" s="125"/>
      <c r="T146" s="145"/>
      <c r="U146" s="145"/>
      <c r="V146" s="145"/>
      <c r="W146" s="125"/>
      <c r="X146" s="278"/>
      <c r="Y146" s="278"/>
      <c r="Z146" s="125"/>
      <c r="AA146" s="125"/>
      <c r="AB146" s="125"/>
      <c r="AC146" s="278"/>
      <c r="AD146" s="278"/>
      <c r="AE146" s="279"/>
      <c r="AF146" s="278"/>
      <c r="AG146" s="278"/>
      <c r="AH146" s="278"/>
      <c r="AI146" s="278"/>
      <c r="AJ146" s="125"/>
      <c r="AK146" s="125"/>
      <c r="AL146" s="125"/>
      <c r="AM146" s="125"/>
      <c r="AN146" s="125"/>
      <c r="AO146" s="125"/>
      <c r="AP146" s="125"/>
      <c r="AQ146" s="278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  <c r="BS146" s="125"/>
      <c r="BT146" s="125"/>
      <c r="BU146" s="125"/>
      <c r="BV146" s="125"/>
      <c r="BW146" s="125"/>
      <c r="BX146" s="125"/>
      <c r="BY146" s="256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U146" s="141"/>
      <c r="CX146" s="225"/>
      <c r="CY146" s="225"/>
      <c r="CZ146" s="225"/>
      <c r="DA146" s="225"/>
      <c r="DB146" s="141"/>
      <c r="DC146" s="141"/>
      <c r="DD146" s="141"/>
      <c r="DE146" s="141"/>
      <c r="DF146" s="141"/>
      <c r="DG146" s="141"/>
      <c r="DH146" s="141"/>
      <c r="DI146" s="141"/>
      <c r="DJ146" s="141"/>
      <c r="DK146" s="141"/>
      <c r="DL146" s="141"/>
      <c r="DM146" s="141"/>
      <c r="DN146" s="141"/>
      <c r="DO146" s="141"/>
      <c r="DP146" s="141"/>
      <c r="DQ146" s="141"/>
      <c r="DR146" s="141"/>
      <c r="DS146" s="141"/>
      <c r="DT146" s="141"/>
      <c r="DU146" s="141"/>
      <c r="DV146" s="141"/>
      <c r="DW146" s="141"/>
      <c r="DX146" s="141"/>
      <c r="DY146" s="141"/>
      <c r="DZ146" s="141"/>
      <c r="EA146" s="141"/>
      <c r="EB146" s="141"/>
      <c r="EC146" s="141"/>
      <c r="ED146" s="342"/>
      <c r="EE146" s="342"/>
    </row>
    <row r="147" spans="1:135" s="52" customFormat="1" ht="13.5" hidden="1" customHeight="1" outlineLevel="1" x14ac:dyDescent="0.2">
      <c r="A147" s="141"/>
      <c r="B147" s="171"/>
      <c r="C147" s="141"/>
      <c r="D147" s="143"/>
      <c r="E147" s="142"/>
      <c r="F147" s="141"/>
      <c r="G147" s="144"/>
      <c r="H147" s="142"/>
      <c r="I147" s="142"/>
      <c r="J147" s="125"/>
      <c r="K147" s="125"/>
      <c r="L147" s="125"/>
      <c r="M147" s="125"/>
      <c r="N147" s="125"/>
      <c r="O147" s="125"/>
      <c r="P147" s="125"/>
      <c r="Q147" s="323"/>
      <c r="R147" s="125"/>
      <c r="S147" s="125"/>
      <c r="T147" s="145"/>
      <c r="U147" s="145"/>
      <c r="V147" s="145"/>
      <c r="W147" s="125"/>
      <c r="X147" s="278"/>
      <c r="Y147" s="278"/>
      <c r="Z147" s="125"/>
      <c r="AA147" s="125"/>
      <c r="AB147" s="125"/>
      <c r="AC147" s="278"/>
      <c r="AD147" s="278"/>
      <c r="AE147" s="279"/>
      <c r="AF147" s="278"/>
      <c r="AG147" s="278"/>
      <c r="AH147" s="278"/>
      <c r="AI147" s="278"/>
      <c r="AJ147" s="125"/>
      <c r="AK147" s="125"/>
      <c r="AL147" s="125"/>
      <c r="AM147" s="125"/>
      <c r="AN147" s="125"/>
      <c r="AO147" s="125"/>
      <c r="AP147" s="125"/>
      <c r="AQ147" s="278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/>
      <c r="BX147" s="125"/>
      <c r="BY147" s="256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U147" s="141"/>
      <c r="CX147" s="225"/>
      <c r="CY147" s="225"/>
      <c r="CZ147" s="225"/>
      <c r="DA147" s="225"/>
      <c r="DB147" s="141"/>
      <c r="DC147" s="141"/>
      <c r="DD147" s="141"/>
      <c r="DE147" s="141"/>
      <c r="DF147" s="141"/>
      <c r="DG147" s="141"/>
      <c r="DH147" s="141"/>
      <c r="DI147" s="141"/>
      <c r="DJ147" s="141"/>
      <c r="DK147" s="141"/>
      <c r="DL147" s="141"/>
      <c r="DM147" s="141"/>
      <c r="DN147" s="141"/>
      <c r="DO147" s="141"/>
      <c r="DP147" s="141"/>
      <c r="DQ147" s="141"/>
      <c r="DR147" s="141"/>
      <c r="DS147" s="141"/>
      <c r="DT147" s="141"/>
      <c r="DU147" s="141"/>
      <c r="DV147" s="141"/>
      <c r="DW147" s="141"/>
      <c r="DX147" s="141"/>
      <c r="DY147" s="141"/>
      <c r="DZ147" s="141"/>
      <c r="EA147" s="141"/>
      <c r="EB147" s="141"/>
      <c r="EC147" s="141"/>
      <c r="ED147" s="342"/>
      <c r="EE147" s="342"/>
    </row>
    <row r="148" spans="1:135" s="52" customFormat="1" ht="13.5" hidden="1" customHeight="1" outlineLevel="1" x14ac:dyDescent="0.2">
      <c r="A148" s="141"/>
      <c r="B148" s="171"/>
      <c r="C148" s="141"/>
      <c r="D148" s="143"/>
      <c r="E148" s="142"/>
      <c r="F148" s="141"/>
      <c r="G148" s="144"/>
      <c r="H148" s="142"/>
      <c r="I148" s="142"/>
      <c r="J148" s="125"/>
      <c r="K148" s="125"/>
      <c r="L148" s="125"/>
      <c r="M148" s="125"/>
      <c r="N148" s="125"/>
      <c r="O148" s="125"/>
      <c r="P148" s="125"/>
      <c r="Q148" s="323"/>
      <c r="R148" s="125"/>
      <c r="S148" s="125"/>
      <c r="T148" s="145"/>
      <c r="U148" s="145"/>
      <c r="V148" s="145"/>
      <c r="W148" s="125"/>
      <c r="X148" s="278"/>
      <c r="Y148" s="278"/>
      <c r="Z148" s="125"/>
      <c r="AA148" s="125"/>
      <c r="AB148" s="125"/>
      <c r="AC148" s="278"/>
      <c r="AD148" s="278"/>
      <c r="AE148" s="279"/>
      <c r="AF148" s="278"/>
      <c r="AG148" s="278"/>
      <c r="AH148" s="278"/>
      <c r="AI148" s="278"/>
      <c r="AJ148" s="125"/>
      <c r="AK148" s="125"/>
      <c r="AL148" s="125"/>
      <c r="AM148" s="125"/>
      <c r="AN148" s="125"/>
      <c r="AO148" s="125"/>
      <c r="AP148" s="125"/>
      <c r="AQ148" s="278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  <c r="BS148" s="125"/>
      <c r="BT148" s="125"/>
      <c r="BU148" s="125"/>
      <c r="BV148" s="125"/>
      <c r="BW148" s="125"/>
      <c r="BX148" s="125"/>
      <c r="BY148" s="256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U148" s="141"/>
      <c r="CX148" s="225"/>
      <c r="CY148" s="225"/>
      <c r="CZ148" s="225"/>
      <c r="DA148" s="225"/>
      <c r="DB148" s="141"/>
      <c r="DC148" s="141"/>
      <c r="DD148" s="141"/>
      <c r="DE148" s="141"/>
      <c r="DF148" s="141"/>
      <c r="DG148" s="141"/>
      <c r="DH148" s="141"/>
      <c r="DI148" s="141"/>
      <c r="DJ148" s="141"/>
      <c r="DK148" s="141"/>
      <c r="DL148" s="141"/>
      <c r="DM148" s="141"/>
      <c r="DN148" s="141"/>
      <c r="DO148" s="141"/>
      <c r="DP148" s="141"/>
      <c r="DQ148" s="141"/>
      <c r="DR148" s="141"/>
      <c r="DS148" s="141"/>
      <c r="DT148" s="141"/>
      <c r="DU148" s="141"/>
      <c r="DV148" s="141"/>
      <c r="DW148" s="141"/>
      <c r="DX148" s="141"/>
      <c r="DY148" s="141"/>
      <c r="DZ148" s="141"/>
      <c r="EA148" s="141"/>
      <c r="EB148" s="141"/>
      <c r="EC148" s="141"/>
      <c r="ED148" s="342"/>
      <c r="EE148" s="342"/>
    </row>
    <row r="149" spans="1:135" s="52" customFormat="1" ht="13.5" hidden="1" customHeight="1" outlineLevel="1" x14ac:dyDescent="0.2">
      <c r="A149" s="141"/>
      <c r="B149" s="171"/>
      <c r="C149" s="141"/>
      <c r="D149" s="143"/>
      <c r="E149" s="142"/>
      <c r="F149" s="141"/>
      <c r="G149" s="144"/>
      <c r="H149" s="142"/>
      <c r="I149" s="142"/>
      <c r="J149" s="125"/>
      <c r="K149" s="125"/>
      <c r="L149" s="125"/>
      <c r="M149" s="125"/>
      <c r="N149" s="125"/>
      <c r="O149" s="125"/>
      <c r="P149" s="125"/>
      <c r="Q149" s="323"/>
      <c r="R149" s="125"/>
      <c r="S149" s="125"/>
      <c r="T149" s="145"/>
      <c r="U149" s="145"/>
      <c r="V149" s="145"/>
      <c r="W149" s="125"/>
      <c r="X149" s="278"/>
      <c r="Y149" s="278"/>
      <c r="Z149" s="125"/>
      <c r="AA149" s="125"/>
      <c r="AB149" s="125"/>
      <c r="AC149" s="278"/>
      <c r="AD149" s="278"/>
      <c r="AE149" s="279"/>
      <c r="AF149" s="278"/>
      <c r="AG149" s="278"/>
      <c r="AH149" s="278"/>
      <c r="AI149" s="278"/>
      <c r="AJ149" s="125"/>
      <c r="AK149" s="125"/>
      <c r="AL149" s="125"/>
      <c r="AM149" s="125"/>
      <c r="AN149" s="125"/>
      <c r="AO149" s="125"/>
      <c r="AP149" s="125"/>
      <c r="AQ149" s="278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  <c r="BS149" s="125"/>
      <c r="BT149" s="125"/>
      <c r="BU149" s="125"/>
      <c r="BV149" s="125"/>
      <c r="BW149" s="125"/>
      <c r="BX149" s="125"/>
      <c r="BY149" s="256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U149" s="141"/>
      <c r="CX149" s="225"/>
      <c r="CY149" s="225"/>
      <c r="CZ149" s="225"/>
      <c r="DA149" s="225"/>
      <c r="DB149" s="141"/>
      <c r="DC149" s="141"/>
      <c r="DD149" s="141"/>
      <c r="DE149" s="141"/>
      <c r="DF149" s="141"/>
      <c r="DG149" s="141"/>
      <c r="DH149" s="141"/>
      <c r="DI149" s="141"/>
      <c r="DJ149" s="141"/>
      <c r="DK149" s="141"/>
      <c r="DL149" s="141"/>
      <c r="DM149" s="141"/>
      <c r="DN149" s="141"/>
      <c r="DO149" s="141"/>
      <c r="DP149" s="141"/>
      <c r="DQ149" s="141"/>
      <c r="DR149" s="141"/>
      <c r="DS149" s="141"/>
      <c r="DT149" s="141"/>
      <c r="DU149" s="141"/>
      <c r="DV149" s="141"/>
      <c r="DW149" s="141"/>
      <c r="DX149" s="141"/>
      <c r="DY149" s="141"/>
      <c r="DZ149" s="141"/>
      <c r="EA149" s="141"/>
      <c r="EB149" s="141"/>
      <c r="EC149" s="141"/>
      <c r="ED149" s="342"/>
      <c r="EE149" s="342"/>
    </row>
    <row r="150" spans="1:135" s="52" customFormat="1" ht="13.5" hidden="1" customHeight="1" outlineLevel="1" x14ac:dyDescent="0.2">
      <c r="A150" s="141"/>
      <c r="B150" s="171"/>
      <c r="C150" s="141"/>
      <c r="D150" s="143"/>
      <c r="E150" s="142"/>
      <c r="F150" s="141"/>
      <c r="G150" s="144"/>
      <c r="H150" s="142"/>
      <c r="I150" s="142"/>
      <c r="J150" s="125"/>
      <c r="K150" s="125"/>
      <c r="L150" s="125"/>
      <c r="M150" s="125"/>
      <c r="N150" s="125"/>
      <c r="O150" s="125"/>
      <c r="P150" s="125"/>
      <c r="Q150" s="323"/>
      <c r="R150" s="125"/>
      <c r="S150" s="125"/>
      <c r="T150" s="145"/>
      <c r="U150" s="145"/>
      <c r="V150" s="145"/>
      <c r="W150" s="125"/>
      <c r="X150" s="278"/>
      <c r="Y150" s="278"/>
      <c r="Z150" s="125"/>
      <c r="AA150" s="125"/>
      <c r="AB150" s="125"/>
      <c r="AC150" s="278"/>
      <c r="AD150" s="278"/>
      <c r="AE150" s="279"/>
      <c r="AF150" s="278"/>
      <c r="AG150" s="278"/>
      <c r="AH150" s="278"/>
      <c r="AI150" s="278"/>
      <c r="AJ150" s="125"/>
      <c r="AK150" s="125"/>
      <c r="AL150" s="125"/>
      <c r="AM150" s="125"/>
      <c r="AN150" s="125"/>
      <c r="AO150" s="125"/>
      <c r="AP150" s="125"/>
      <c r="AQ150" s="278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  <c r="BS150" s="125"/>
      <c r="BT150" s="125"/>
      <c r="BU150" s="125"/>
      <c r="BV150" s="125"/>
      <c r="BW150" s="125"/>
      <c r="BX150" s="125"/>
      <c r="BY150" s="256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U150" s="141"/>
      <c r="CX150" s="225"/>
      <c r="CY150" s="225"/>
      <c r="CZ150" s="225"/>
      <c r="DA150" s="225"/>
      <c r="DB150" s="141"/>
      <c r="DC150" s="141"/>
      <c r="DD150" s="141"/>
      <c r="DE150" s="141"/>
      <c r="DF150" s="141"/>
      <c r="DG150" s="141"/>
      <c r="DH150" s="141"/>
      <c r="DI150" s="141"/>
      <c r="DJ150" s="141"/>
      <c r="DK150" s="141"/>
      <c r="DL150" s="141"/>
      <c r="DM150" s="141"/>
      <c r="DN150" s="141"/>
      <c r="DO150" s="141"/>
      <c r="DP150" s="141"/>
      <c r="DQ150" s="141"/>
      <c r="DR150" s="141"/>
      <c r="DS150" s="141"/>
      <c r="DT150" s="141"/>
      <c r="DU150" s="141"/>
      <c r="DV150" s="141"/>
      <c r="DW150" s="141"/>
      <c r="DX150" s="141"/>
      <c r="DY150" s="141"/>
      <c r="DZ150" s="141"/>
      <c r="EA150" s="141"/>
      <c r="EB150" s="141"/>
      <c r="EC150" s="141"/>
      <c r="ED150" s="342"/>
      <c r="EE150" s="342"/>
    </row>
    <row r="151" spans="1:135" s="52" customFormat="1" ht="13.5" hidden="1" customHeight="1" outlineLevel="1" x14ac:dyDescent="0.2">
      <c r="A151" s="141"/>
      <c r="B151" s="171"/>
      <c r="C151" s="141"/>
      <c r="D151" s="143"/>
      <c r="E151" s="142"/>
      <c r="F151" s="141"/>
      <c r="G151" s="144"/>
      <c r="H151" s="142"/>
      <c r="I151" s="142"/>
      <c r="J151" s="125"/>
      <c r="K151" s="125"/>
      <c r="L151" s="125"/>
      <c r="M151" s="125"/>
      <c r="N151" s="125"/>
      <c r="O151" s="125"/>
      <c r="P151" s="125"/>
      <c r="Q151" s="323"/>
      <c r="R151" s="125"/>
      <c r="S151" s="125"/>
      <c r="T151" s="145"/>
      <c r="U151" s="145"/>
      <c r="V151" s="145"/>
      <c r="W151" s="125"/>
      <c r="X151" s="278"/>
      <c r="Y151" s="278"/>
      <c r="Z151" s="125"/>
      <c r="AA151" s="125"/>
      <c r="AB151" s="125"/>
      <c r="AC151" s="278"/>
      <c r="AD151" s="278"/>
      <c r="AE151" s="279"/>
      <c r="AF151" s="278"/>
      <c r="AG151" s="278"/>
      <c r="AH151" s="278"/>
      <c r="AI151" s="278"/>
      <c r="AJ151" s="125"/>
      <c r="AK151" s="125"/>
      <c r="AL151" s="125"/>
      <c r="AM151" s="125"/>
      <c r="AN151" s="125"/>
      <c r="AO151" s="125"/>
      <c r="AP151" s="125"/>
      <c r="AQ151" s="278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256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U151" s="141"/>
      <c r="CX151" s="225"/>
      <c r="CY151" s="225"/>
      <c r="CZ151" s="225"/>
      <c r="DA151" s="225"/>
      <c r="DB151" s="141"/>
      <c r="DC151" s="141"/>
      <c r="DD151" s="141"/>
      <c r="DE151" s="141"/>
      <c r="DF151" s="141"/>
      <c r="DG151" s="141"/>
      <c r="DH151" s="141"/>
      <c r="DI151" s="141"/>
      <c r="DJ151" s="141"/>
      <c r="DK151" s="141"/>
      <c r="DL151" s="141"/>
      <c r="DM151" s="141"/>
      <c r="DN151" s="141"/>
      <c r="DO151" s="141"/>
      <c r="DP151" s="141"/>
      <c r="DQ151" s="141"/>
      <c r="DR151" s="141"/>
      <c r="DS151" s="141"/>
      <c r="DT151" s="141"/>
      <c r="DU151" s="141"/>
      <c r="DV151" s="141"/>
      <c r="DW151" s="141"/>
      <c r="DX151" s="141"/>
      <c r="DY151" s="141"/>
      <c r="DZ151" s="141"/>
      <c r="EA151" s="141"/>
      <c r="EB151" s="141"/>
      <c r="EC151" s="141"/>
      <c r="ED151" s="342"/>
      <c r="EE151" s="342"/>
    </row>
    <row r="152" spans="1:135" s="52" customFormat="1" ht="13.5" hidden="1" customHeight="1" outlineLevel="1" x14ac:dyDescent="0.2">
      <c r="A152" s="141"/>
      <c r="B152" s="171"/>
      <c r="C152" s="141"/>
      <c r="D152" s="143"/>
      <c r="E152" s="142"/>
      <c r="F152" s="141"/>
      <c r="G152" s="144"/>
      <c r="H152" s="142"/>
      <c r="I152" s="142"/>
      <c r="J152" s="125"/>
      <c r="K152" s="125"/>
      <c r="L152" s="125"/>
      <c r="M152" s="125"/>
      <c r="N152" s="125"/>
      <c r="O152" s="125"/>
      <c r="P152" s="125"/>
      <c r="Q152" s="323"/>
      <c r="R152" s="125"/>
      <c r="S152" s="125"/>
      <c r="T152" s="145"/>
      <c r="U152" s="145"/>
      <c r="V152" s="145"/>
      <c r="W152" s="125"/>
      <c r="X152" s="278"/>
      <c r="Y152" s="278"/>
      <c r="Z152" s="125"/>
      <c r="AA152" s="125"/>
      <c r="AB152" s="125"/>
      <c r="AC152" s="278"/>
      <c r="AD152" s="278"/>
      <c r="AE152" s="279"/>
      <c r="AF152" s="278"/>
      <c r="AG152" s="278"/>
      <c r="AH152" s="278"/>
      <c r="AI152" s="278"/>
      <c r="AJ152" s="125"/>
      <c r="AK152" s="125"/>
      <c r="AL152" s="125"/>
      <c r="AM152" s="125"/>
      <c r="AN152" s="125"/>
      <c r="AO152" s="125"/>
      <c r="AP152" s="125"/>
      <c r="AQ152" s="278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/>
      <c r="BK152" s="125"/>
      <c r="BL152" s="125"/>
      <c r="BM152" s="125"/>
      <c r="BN152" s="125"/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/>
      <c r="BY152" s="256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U152" s="141"/>
      <c r="CX152" s="225"/>
      <c r="CY152" s="225"/>
      <c r="CZ152" s="225"/>
      <c r="DA152" s="225"/>
      <c r="DB152" s="141"/>
      <c r="DC152" s="141"/>
      <c r="DD152" s="141"/>
      <c r="DE152" s="141"/>
      <c r="DF152" s="141"/>
      <c r="DG152" s="141"/>
      <c r="DH152" s="141"/>
      <c r="DI152" s="141"/>
      <c r="DJ152" s="141"/>
      <c r="DK152" s="141"/>
      <c r="DL152" s="141"/>
      <c r="DM152" s="141"/>
      <c r="DN152" s="141"/>
      <c r="DO152" s="141"/>
      <c r="DP152" s="141"/>
      <c r="DQ152" s="141"/>
      <c r="DR152" s="141"/>
      <c r="DS152" s="141"/>
      <c r="DT152" s="141"/>
      <c r="DU152" s="141"/>
      <c r="DV152" s="141"/>
      <c r="DW152" s="141"/>
      <c r="DX152" s="141"/>
      <c r="DY152" s="141"/>
      <c r="DZ152" s="141"/>
      <c r="EA152" s="141"/>
      <c r="EB152" s="141"/>
      <c r="EC152" s="141"/>
      <c r="ED152" s="342"/>
      <c r="EE152" s="342"/>
    </row>
    <row r="153" spans="1:135" s="52" customFormat="1" ht="13.5" hidden="1" customHeight="1" outlineLevel="1" x14ac:dyDescent="0.2">
      <c r="A153" s="141"/>
      <c r="B153" s="171"/>
      <c r="C153" s="141"/>
      <c r="D153" s="143"/>
      <c r="E153" s="142"/>
      <c r="F153" s="141"/>
      <c r="G153" s="144"/>
      <c r="H153" s="142"/>
      <c r="I153" s="142"/>
      <c r="J153" s="125"/>
      <c r="K153" s="125"/>
      <c r="L153" s="125"/>
      <c r="M153" s="125"/>
      <c r="N153" s="125"/>
      <c r="O153" s="125"/>
      <c r="P153" s="125"/>
      <c r="Q153" s="323"/>
      <c r="R153" s="125"/>
      <c r="S153" s="125"/>
      <c r="T153" s="145"/>
      <c r="U153" s="145"/>
      <c r="V153" s="145"/>
      <c r="W153" s="125"/>
      <c r="X153" s="278"/>
      <c r="Y153" s="278"/>
      <c r="Z153" s="125"/>
      <c r="AA153" s="125"/>
      <c r="AB153" s="125"/>
      <c r="AC153" s="278"/>
      <c r="AD153" s="278"/>
      <c r="AE153" s="279"/>
      <c r="AF153" s="278"/>
      <c r="AG153" s="278"/>
      <c r="AH153" s="278"/>
      <c r="AI153" s="278"/>
      <c r="AJ153" s="125"/>
      <c r="AK153" s="125"/>
      <c r="AL153" s="125"/>
      <c r="AM153" s="125"/>
      <c r="AN153" s="125"/>
      <c r="AO153" s="125"/>
      <c r="AP153" s="125"/>
      <c r="AQ153" s="278"/>
      <c r="AR153" s="125"/>
      <c r="AS153" s="125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5"/>
      <c r="BF153" s="125"/>
      <c r="BG153" s="125"/>
      <c r="BH153" s="125"/>
      <c r="BI153" s="125"/>
      <c r="BJ153" s="125"/>
      <c r="BK153" s="125"/>
      <c r="BL153" s="125"/>
      <c r="BM153" s="125"/>
      <c r="BN153" s="125"/>
      <c r="BO153" s="125"/>
      <c r="BP153" s="125"/>
      <c r="BQ153" s="125"/>
      <c r="BR153" s="125"/>
      <c r="BS153" s="125"/>
      <c r="BT153" s="125"/>
      <c r="BU153" s="125"/>
      <c r="BV153" s="125"/>
      <c r="BW153" s="125"/>
      <c r="BX153" s="125"/>
      <c r="BY153" s="256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U153" s="141"/>
      <c r="CX153" s="225"/>
      <c r="CY153" s="225"/>
      <c r="CZ153" s="225"/>
      <c r="DA153" s="225"/>
      <c r="DB153" s="141"/>
      <c r="DC153" s="141"/>
      <c r="DD153" s="141"/>
      <c r="DE153" s="141"/>
      <c r="DF153" s="141"/>
      <c r="DG153" s="141"/>
      <c r="DH153" s="141"/>
      <c r="DI153" s="141"/>
      <c r="DJ153" s="141"/>
      <c r="DK153" s="141"/>
      <c r="DL153" s="141"/>
      <c r="DM153" s="141"/>
      <c r="DN153" s="141"/>
      <c r="DO153" s="141"/>
      <c r="DP153" s="141"/>
      <c r="DQ153" s="141"/>
      <c r="DR153" s="141"/>
      <c r="DS153" s="141"/>
      <c r="DT153" s="141"/>
      <c r="DU153" s="141"/>
      <c r="DV153" s="141"/>
      <c r="DW153" s="141"/>
      <c r="DX153" s="141"/>
      <c r="DY153" s="141"/>
      <c r="DZ153" s="141"/>
      <c r="EA153" s="141"/>
      <c r="EB153" s="141"/>
      <c r="EC153" s="141"/>
      <c r="ED153" s="342"/>
      <c r="EE153" s="342"/>
    </row>
    <row r="154" spans="1:135" s="52" customFormat="1" ht="13.5" hidden="1" customHeight="1" outlineLevel="1" x14ac:dyDescent="0.2">
      <c r="A154" s="141"/>
      <c r="B154" s="171"/>
      <c r="C154" s="141"/>
      <c r="D154" s="143"/>
      <c r="E154" s="142"/>
      <c r="F154" s="141"/>
      <c r="G154" s="144"/>
      <c r="H154" s="142"/>
      <c r="I154" s="142"/>
      <c r="J154" s="125"/>
      <c r="K154" s="125"/>
      <c r="L154" s="125"/>
      <c r="M154" s="125"/>
      <c r="N154" s="125"/>
      <c r="O154" s="125"/>
      <c r="P154" s="125"/>
      <c r="Q154" s="323"/>
      <c r="R154" s="125"/>
      <c r="S154" s="125"/>
      <c r="T154" s="145"/>
      <c r="U154" s="145"/>
      <c r="V154" s="145"/>
      <c r="W154" s="125"/>
      <c r="X154" s="278"/>
      <c r="Y154" s="278"/>
      <c r="Z154" s="125"/>
      <c r="AA154" s="125"/>
      <c r="AB154" s="125"/>
      <c r="AC154" s="278"/>
      <c r="AD154" s="278"/>
      <c r="AE154" s="279"/>
      <c r="AF154" s="278"/>
      <c r="AG154" s="278"/>
      <c r="AH154" s="278"/>
      <c r="AI154" s="278"/>
      <c r="AJ154" s="125"/>
      <c r="AK154" s="125"/>
      <c r="AL154" s="125"/>
      <c r="AM154" s="125"/>
      <c r="AN154" s="125"/>
      <c r="AO154" s="125"/>
      <c r="AP154" s="125"/>
      <c r="AQ154" s="278"/>
      <c r="AR154" s="125"/>
      <c r="AS154" s="125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5"/>
      <c r="BF154" s="125"/>
      <c r="BG154" s="125"/>
      <c r="BH154" s="125"/>
      <c r="BI154" s="125"/>
      <c r="BJ154" s="125"/>
      <c r="BK154" s="125"/>
      <c r="BL154" s="125"/>
      <c r="BM154" s="125"/>
      <c r="BN154" s="125"/>
      <c r="BO154" s="125"/>
      <c r="BP154" s="125"/>
      <c r="BQ154" s="125"/>
      <c r="BR154" s="125"/>
      <c r="BS154" s="125"/>
      <c r="BT154" s="125"/>
      <c r="BU154" s="125"/>
      <c r="BV154" s="125"/>
      <c r="BW154" s="125"/>
      <c r="BX154" s="125"/>
      <c r="BY154" s="256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U154" s="141"/>
      <c r="CX154" s="225"/>
      <c r="CY154" s="225"/>
      <c r="CZ154" s="225"/>
      <c r="DA154" s="225"/>
      <c r="DB154" s="141"/>
      <c r="DC154" s="141"/>
      <c r="DD154" s="141"/>
      <c r="DE154" s="141"/>
      <c r="DF154" s="141"/>
      <c r="DG154" s="141"/>
      <c r="DH154" s="141"/>
      <c r="DI154" s="141"/>
      <c r="DJ154" s="141"/>
      <c r="DK154" s="141"/>
      <c r="DL154" s="141"/>
      <c r="DM154" s="141"/>
      <c r="DN154" s="141"/>
      <c r="DO154" s="141"/>
      <c r="DP154" s="141"/>
      <c r="DQ154" s="141"/>
      <c r="DR154" s="141"/>
      <c r="DS154" s="141"/>
      <c r="DT154" s="141"/>
      <c r="DU154" s="141"/>
      <c r="DV154" s="141"/>
      <c r="DW154" s="141"/>
      <c r="DX154" s="141"/>
      <c r="DY154" s="141"/>
      <c r="DZ154" s="141"/>
      <c r="EA154" s="141"/>
      <c r="EB154" s="141"/>
      <c r="EC154" s="141"/>
      <c r="ED154" s="342"/>
      <c r="EE154" s="342"/>
    </row>
    <row r="155" spans="1:135" s="52" customFormat="1" ht="13.5" hidden="1" customHeight="1" outlineLevel="1" x14ac:dyDescent="0.2">
      <c r="A155" s="141"/>
      <c r="B155" s="171"/>
      <c r="C155" s="141"/>
      <c r="D155" s="143"/>
      <c r="E155" s="142"/>
      <c r="F155" s="141"/>
      <c r="G155" s="144"/>
      <c r="H155" s="142"/>
      <c r="I155" s="142"/>
      <c r="J155" s="125"/>
      <c r="K155" s="125"/>
      <c r="L155" s="125"/>
      <c r="M155" s="125"/>
      <c r="N155" s="125"/>
      <c r="O155" s="125"/>
      <c r="P155" s="125"/>
      <c r="Q155" s="323"/>
      <c r="R155" s="125"/>
      <c r="S155" s="125"/>
      <c r="T155" s="145"/>
      <c r="U155" s="145"/>
      <c r="V155" s="145"/>
      <c r="W155" s="125"/>
      <c r="X155" s="278"/>
      <c r="Y155" s="278"/>
      <c r="Z155" s="125"/>
      <c r="AA155" s="125"/>
      <c r="AB155" s="125"/>
      <c r="AC155" s="278"/>
      <c r="AD155" s="278"/>
      <c r="AE155" s="279"/>
      <c r="AF155" s="278"/>
      <c r="AG155" s="278"/>
      <c r="AH155" s="278"/>
      <c r="AI155" s="278"/>
      <c r="AJ155" s="125"/>
      <c r="AK155" s="125"/>
      <c r="AL155" s="125"/>
      <c r="AM155" s="125"/>
      <c r="AN155" s="125"/>
      <c r="AO155" s="125"/>
      <c r="AP155" s="125"/>
      <c r="AQ155" s="278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/>
      <c r="BW155" s="125"/>
      <c r="BX155" s="125"/>
      <c r="BY155" s="256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U155" s="141"/>
      <c r="CX155" s="225"/>
      <c r="CY155" s="225"/>
      <c r="CZ155" s="225"/>
      <c r="DA155" s="225"/>
      <c r="DB155" s="141"/>
      <c r="DC155" s="141"/>
      <c r="DD155" s="141"/>
      <c r="DE155" s="141"/>
      <c r="DF155" s="141"/>
      <c r="DG155" s="141"/>
      <c r="DH155" s="141"/>
      <c r="DI155" s="141"/>
      <c r="DJ155" s="141"/>
      <c r="DK155" s="141"/>
      <c r="DL155" s="141"/>
      <c r="DM155" s="141"/>
      <c r="DN155" s="141"/>
      <c r="DO155" s="141"/>
      <c r="DP155" s="141"/>
      <c r="DQ155" s="141"/>
      <c r="DR155" s="141"/>
      <c r="DS155" s="141"/>
      <c r="DT155" s="141"/>
      <c r="DU155" s="141"/>
      <c r="DV155" s="141"/>
      <c r="DW155" s="141"/>
      <c r="DX155" s="141"/>
      <c r="DY155" s="141"/>
      <c r="DZ155" s="141"/>
      <c r="EA155" s="141"/>
      <c r="EB155" s="141"/>
      <c r="EC155" s="141"/>
      <c r="ED155" s="342"/>
      <c r="EE155" s="342"/>
    </row>
    <row r="156" spans="1:135" s="52" customFormat="1" ht="13.5" hidden="1" customHeight="1" outlineLevel="1" x14ac:dyDescent="0.2">
      <c r="A156" s="141"/>
      <c r="B156" s="171"/>
      <c r="C156" s="141"/>
      <c r="D156" s="143"/>
      <c r="E156" s="142"/>
      <c r="F156" s="141"/>
      <c r="G156" s="144"/>
      <c r="H156" s="142"/>
      <c r="I156" s="142"/>
      <c r="J156" s="125"/>
      <c r="K156" s="125"/>
      <c r="L156" s="125"/>
      <c r="M156" s="125"/>
      <c r="N156" s="125"/>
      <c r="O156" s="125"/>
      <c r="P156" s="125"/>
      <c r="Q156" s="323"/>
      <c r="R156" s="125"/>
      <c r="S156" s="125"/>
      <c r="T156" s="145"/>
      <c r="U156" s="145"/>
      <c r="V156" s="145"/>
      <c r="W156" s="125"/>
      <c r="X156" s="278"/>
      <c r="Y156" s="278"/>
      <c r="Z156" s="125"/>
      <c r="AA156" s="125"/>
      <c r="AB156" s="125"/>
      <c r="AC156" s="278"/>
      <c r="AD156" s="278"/>
      <c r="AE156" s="279"/>
      <c r="AF156" s="278"/>
      <c r="AG156" s="278"/>
      <c r="AH156" s="278"/>
      <c r="AI156" s="278"/>
      <c r="AJ156" s="125"/>
      <c r="AK156" s="125"/>
      <c r="AL156" s="125"/>
      <c r="AM156" s="125"/>
      <c r="AN156" s="125"/>
      <c r="AO156" s="125"/>
      <c r="AP156" s="125"/>
      <c r="AQ156" s="278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  <c r="BU156" s="125"/>
      <c r="BV156" s="125"/>
      <c r="BW156" s="125"/>
      <c r="BX156" s="125"/>
      <c r="BY156" s="256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U156" s="141"/>
      <c r="CX156" s="225"/>
      <c r="CY156" s="225"/>
      <c r="CZ156" s="225"/>
      <c r="DA156" s="225"/>
      <c r="DB156" s="141"/>
      <c r="DC156" s="141"/>
      <c r="DD156" s="141"/>
      <c r="DE156" s="141"/>
      <c r="DF156" s="141"/>
      <c r="DG156" s="141"/>
      <c r="DH156" s="141"/>
      <c r="DI156" s="141"/>
      <c r="DJ156" s="141"/>
      <c r="DK156" s="141"/>
      <c r="DL156" s="141"/>
      <c r="DM156" s="141"/>
      <c r="DN156" s="141"/>
      <c r="DO156" s="141"/>
      <c r="DP156" s="141"/>
      <c r="DQ156" s="141"/>
      <c r="DR156" s="141"/>
      <c r="DS156" s="141"/>
      <c r="DT156" s="141"/>
      <c r="DU156" s="141"/>
      <c r="DV156" s="141"/>
      <c r="DW156" s="141"/>
      <c r="DX156" s="141"/>
      <c r="DY156" s="141"/>
      <c r="DZ156" s="141"/>
      <c r="EA156" s="141"/>
      <c r="EB156" s="141"/>
      <c r="EC156" s="141"/>
      <c r="ED156" s="342"/>
      <c r="EE156" s="342"/>
    </row>
    <row r="157" spans="1:135" s="52" customFormat="1" ht="13.5" hidden="1" customHeight="1" outlineLevel="1" x14ac:dyDescent="0.2">
      <c r="A157" s="141"/>
      <c r="B157" s="171"/>
      <c r="C157" s="141"/>
      <c r="D157" s="143"/>
      <c r="E157" s="142"/>
      <c r="F157" s="141"/>
      <c r="G157" s="144"/>
      <c r="H157" s="142"/>
      <c r="I157" s="142"/>
      <c r="J157" s="125"/>
      <c r="K157" s="125"/>
      <c r="L157" s="125"/>
      <c r="M157" s="125"/>
      <c r="N157" s="125"/>
      <c r="O157" s="125"/>
      <c r="P157" s="125"/>
      <c r="Q157" s="323"/>
      <c r="R157" s="125"/>
      <c r="S157" s="125"/>
      <c r="T157" s="145"/>
      <c r="U157" s="145"/>
      <c r="V157" s="145"/>
      <c r="W157" s="125"/>
      <c r="X157" s="278"/>
      <c r="Y157" s="278"/>
      <c r="Z157" s="125"/>
      <c r="AA157" s="125"/>
      <c r="AB157" s="125"/>
      <c r="AC157" s="278"/>
      <c r="AD157" s="278"/>
      <c r="AE157" s="279"/>
      <c r="AF157" s="278"/>
      <c r="AG157" s="278"/>
      <c r="AH157" s="278"/>
      <c r="AI157" s="278"/>
      <c r="AJ157" s="125"/>
      <c r="AK157" s="125"/>
      <c r="AL157" s="125"/>
      <c r="AM157" s="125"/>
      <c r="AN157" s="125"/>
      <c r="AO157" s="125"/>
      <c r="AP157" s="125"/>
      <c r="AQ157" s="278"/>
      <c r="AR157" s="125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  <c r="BU157" s="125"/>
      <c r="BV157" s="125"/>
      <c r="BW157" s="125"/>
      <c r="BX157" s="125"/>
      <c r="BY157" s="256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U157" s="141"/>
      <c r="CX157" s="225"/>
      <c r="CY157" s="225"/>
      <c r="CZ157" s="225"/>
      <c r="DA157" s="225"/>
      <c r="DB157" s="141"/>
      <c r="DC157" s="141"/>
      <c r="DD157" s="141"/>
      <c r="DE157" s="141"/>
      <c r="DF157" s="141"/>
      <c r="DG157" s="141"/>
      <c r="DH157" s="141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  <c r="DX157" s="141"/>
      <c r="DY157" s="141"/>
      <c r="DZ157" s="141"/>
      <c r="EA157" s="141"/>
      <c r="EB157" s="141"/>
      <c r="EC157" s="141"/>
      <c r="ED157" s="342"/>
      <c r="EE157" s="342"/>
    </row>
    <row r="158" spans="1:135" s="52" customFormat="1" ht="13.5" hidden="1" customHeight="1" outlineLevel="1" x14ac:dyDescent="0.2">
      <c r="A158" s="141"/>
      <c r="B158" s="171"/>
      <c r="C158" s="141"/>
      <c r="D158" s="143"/>
      <c r="E158" s="142"/>
      <c r="F158" s="141"/>
      <c r="G158" s="144"/>
      <c r="H158" s="142"/>
      <c r="I158" s="142"/>
      <c r="J158" s="125"/>
      <c r="K158" s="125"/>
      <c r="L158" s="125"/>
      <c r="M158" s="125"/>
      <c r="N158" s="125"/>
      <c r="O158" s="125"/>
      <c r="P158" s="125"/>
      <c r="Q158" s="323"/>
      <c r="R158" s="125"/>
      <c r="S158" s="125"/>
      <c r="T158" s="145"/>
      <c r="U158" s="145"/>
      <c r="V158" s="145"/>
      <c r="W158" s="125"/>
      <c r="X158" s="278"/>
      <c r="Y158" s="278"/>
      <c r="Z158" s="125"/>
      <c r="AA158" s="125"/>
      <c r="AB158" s="125"/>
      <c r="AC158" s="278"/>
      <c r="AD158" s="278"/>
      <c r="AE158" s="279"/>
      <c r="AF158" s="278"/>
      <c r="AG158" s="278"/>
      <c r="AH158" s="278"/>
      <c r="AI158" s="278"/>
      <c r="AJ158" s="125"/>
      <c r="AK158" s="125"/>
      <c r="AL158" s="125"/>
      <c r="AM158" s="125"/>
      <c r="AN158" s="125"/>
      <c r="AO158" s="125"/>
      <c r="AP158" s="125"/>
      <c r="AQ158" s="278"/>
      <c r="AR158" s="125"/>
      <c r="AS158" s="125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256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U158" s="141"/>
      <c r="CX158" s="225"/>
      <c r="CY158" s="225"/>
      <c r="CZ158" s="225"/>
      <c r="DA158" s="225"/>
      <c r="DB158" s="141"/>
      <c r="DC158" s="141"/>
      <c r="DD158" s="141"/>
      <c r="DE158" s="141"/>
      <c r="DF158" s="141"/>
      <c r="DG158" s="141"/>
      <c r="DH158" s="141"/>
      <c r="DI158" s="141"/>
      <c r="DJ158" s="141"/>
      <c r="DK158" s="141"/>
      <c r="DL158" s="141"/>
      <c r="DM158" s="141"/>
      <c r="DN158" s="141"/>
      <c r="DO158" s="141"/>
      <c r="DP158" s="141"/>
      <c r="DQ158" s="141"/>
      <c r="DR158" s="141"/>
      <c r="DS158" s="141"/>
      <c r="DT158" s="141"/>
      <c r="DU158" s="141"/>
      <c r="DV158" s="141"/>
      <c r="DW158" s="141"/>
      <c r="DX158" s="141"/>
      <c r="DY158" s="141"/>
      <c r="DZ158" s="141"/>
      <c r="EA158" s="141"/>
      <c r="EB158" s="141"/>
      <c r="EC158" s="141"/>
      <c r="ED158" s="342"/>
      <c r="EE158" s="342"/>
    </row>
    <row r="159" spans="1:135" s="52" customFormat="1" ht="13.5" hidden="1" customHeight="1" outlineLevel="1" x14ac:dyDescent="0.2">
      <c r="A159" s="141"/>
      <c r="B159" s="171"/>
      <c r="C159" s="141"/>
      <c r="D159" s="143"/>
      <c r="E159" s="142"/>
      <c r="F159" s="141"/>
      <c r="G159" s="144"/>
      <c r="H159" s="142"/>
      <c r="I159" s="142"/>
      <c r="J159" s="125"/>
      <c r="K159" s="125"/>
      <c r="L159" s="125"/>
      <c r="M159" s="125"/>
      <c r="N159" s="125"/>
      <c r="O159" s="125"/>
      <c r="P159" s="125"/>
      <c r="Q159" s="323"/>
      <c r="R159" s="125"/>
      <c r="S159" s="125"/>
      <c r="T159" s="145"/>
      <c r="U159" s="145"/>
      <c r="V159" s="145"/>
      <c r="W159" s="125"/>
      <c r="X159" s="278"/>
      <c r="Y159" s="278"/>
      <c r="Z159" s="125"/>
      <c r="AA159" s="125"/>
      <c r="AB159" s="125"/>
      <c r="AC159" s="278"/>
      <c r="AD159" s="278"/>
      <c r="AE159" s="279"/>
      <c r="AF159" s="278"/>
      <c r="AG159" s="278"/>
      <c r="AH159" s="278"/>
      <c r="AI159" s="278"/>
      <c r="AJ159" s="125"/>
      <c r="AK159" s="125"/>
      <c r="AL159" s="125"/>
      <c r="AM159" s="125"/>
      <c r="AN159" s="125"/>
      <c r="AO159" s="125"/>
      <c r="AP159" s="125"/>
      <c r="AQ159" s="278"/>
      <c r="AR159" s="125"/>
      <c r="AS159" s="125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5"/>
      <c r="BF159" s="125"/>
      <c r="BG159" s="125"/>
      <c r="BH159" s="125"/>
      <c r="BI159" s="125"/>
      <c r="BJ159" s="125"/>
      <c r="BK159" s="125"/>
      <c r="BL159" s="125"/>
      <c r="BM159" s="125"/>
      <c r="BN159" s="125"/>
      <c r="BO159" s="125"/>
      <c r="BP159" s="125"/>
      <c r="BQ159" s="125"/>
      <c r="BR159" s="125"/>
      <c r="BS159" s="125"/>
      <c r="BT159" s="125"/>
      <c r="BU159" s="125"/>
      <c r="BV159" s="125"/>
      <c r="BW159" s="125"/>
      <c r="BX159" s="125"/>
      <c r="BY159" s="256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U159" s="141"/>
      <c r="CX159" s="225"/>
      <c r="CY159" s="225"/>
      <c r="CZ159" s="225"/>
      <c r="DA159" s="225"/>
      <c r="DB159" s="141"/>
      <c r="DC159" s="141"/>
      <c r="DD159" s="141"/>
      <c r="DE159" s="141"/>
      <c r="DF159" s="141"/>
      <c r="DG159" s="141"/>
      <c r="DH159" s="141"/>
      <c r="DI159" s="141"/>
      <c r="DJ159" s="141"/>
      <c r="DK159" s="141"/>
      <c r="DL159" s="141"/>
      <c r="DM159" s="141"/>
      <c r="DN159" s="141"/>
      <c r="DO159" s="141"/>
      <c r="DP159" s="141"/>
      <c r="DQ159" s="141"/>
      <c r="DR159" s="141"/>
      <c r="DS159" s="141"/>
      <c r="DT159" s="141"/>
      <c r="DU159" s="141"/>
      <c r="DV159" s="141"/>
      <c r="DW159" s="141"/>
      <c r="DX159" s="141"/>
      <c r="DY159" s="141"/>
      <c r="DZ159" s="141"/>
      <c r="EA159" s="141"/>
      <c r="EB159" s="141"/>
      <c r="EC159" s="141"/>
      <c r="ED159" s="342"/>
      <c r="EE159" s="342"/>
    </row>
    <row r="160" spans="1:135" s="52" customFormat="1" ht="13.5" hidden="1" customHeight="1" outlineLevel="1" x14ac:dyDescent="0.2">
      <c r="A160" s="141"/>
      <c r="B160" s="171"/>
      <c r="C160" s="141"/>
      <c r="D160" s="143"/>
      <c r="E160" s="142"/>
      <c r="F160" s="141"/>
      <c r="G160" s="144"/>
      <c r="H160" s="142"/>
      <c r="I160" s="142"/>
      <c r="J160" s="125"/>
      <c r="K160" s="125"/>
      <c r="L160" s="125"/>
      <c r="M160" s="125"/>
      <c r="N160" s="125"/>
      <c r="O160" s="125"/>
      <c r="P160" s="125"/>
      <c r="Q160" s="323"/>
      <c r="R160" s="125"/>
      <c r="S160" s="125"/>
      <c r="T160" s="145"/>
      <c r="U160" s="145"/>
      <c r="V160" s="145"/>
      <c r="W160" s="125"/>
      <c r="X160" s="278"/>
      <c r="Y160" s="278"/>
      <c r="Z160" s="125"/>
      <c r="AA160" s="125"/>
      <c r="AB160" s="125"/>
      <c r="AC160" s="278"/>
      <c r="AD160" s="278"/>
      <c r="AE160" s="279"/>
      <c r="AF160" s="278"/>
      <c r="AG160" s="278"/>
      <c r="AH160" s="278"/>
      <c r="AI160" s="278"/>
      <c r="AJ160" s="125"/>
      <c r="AK160" s="125"/>
      <c r="AL160" s="125"/>
      <c r="AM160" s="125"/>
      <c r="AN160" s="125"/>
      <c r="AO160" s="125"/>
      <c r="AP160" s="125"/>
      <c r="AQ160" s="278"/>
      <c r="AR160" s="125"/>
      <c r="AS160" s="125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125"/>
      <c r="BK160" s="125"/>
      <c r="BL160" s="125"/>
      <c r="BM160" s="125"/>
      <c r="BN160" s="125"/>
      <c r="BO160" s="125"/>
      <c r="BP160" s="125"/>
      <c r="BQ160" s="125"/>
      <c r="BR160" s="125"/>
      <c r="BS160" s="125"/>
      <c r="BT160" s="125"/>
      <c r="BU160" s="125"/>
      <c r="BV160" s="125"/>
      <c r="BW160" s="125"/>
      <c r="BX160" s="125"/>
      <c r="BY160" s="256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U160" s="141"/>
      <c r="CX160" s="225"/>
      <c r="CY160" s="225"/>
      <c r="CZ160" s="225"/>
      <c r="DA160" s="225"/>
      <c r="DB160" s="141"/>
      <c r="DC160" s="141"/>
      <c r="DD160" s="141"/>
      <c r="DE160" s="141"/>
      <c r="DF160" s="141"/>
      <c r="DG160" s="141"/>
      <c r="DH160" s="141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  <c r="DX160" s="141"/>
      <c r="DY160" s="141"/>
      <c r="DZ160" s="141"/>
      <c r="EA160" s="141"/>
      <c r="EB160" s="141"/>
      <c r="EC160" s="141"/>
      <c r="ED160" s="342"/>
      <c r="EE160" s="342"/>
    </row>
    <row r="161" spans="1:135" s="52" customFormat="1" ht="13.5" hidden="1" customHeight="1" outlineLevel="1" x14ac:dyDescent="0.2">
      <c r="A161" s="141"/>
      <c r="B161" s="171"/>
      <c r="C161" s="141"/>
      <c r="D161" s="143"/>
      <c r="E161" s="142"/>
      <c r="F161" s="141"/>
      <c r="G161" s="144"/>
      <c r="H161" s="142"/>
      <c r="I161" s="142"/>
      <c r="J161" s="125"/>
      <c r="K161" s="125"/>
      <c r="L161" s="125"/>
      <c r="M161" s="125"/>
      <c r="N161" s="125"/>
      <c r="O161" s="125"/>
      <c r="P161" s="125"/>
      <c r="Q161" s="323"/>
      <c r="R161" s="125"/>
      <c r="S161" s="125"/>
      <c r="T161" s="145"/>
      <c r="U161" s="145"/>
      <c r="V161" s="145"/>
      <c r="W161" s="125"/>
      <c r="X161" s="278"/>
      <c r="Y161" s="278"/>
      <c r="Z161" s="125"/>
      <c r="AA161" s="125"/>
      <c r="AB161" s="125"/>
      <c r="AC161" s="278"/>
      <c r="AD161" s="278"/>
      <c r="AE161" s="279"/>
      <c r="AF161" s="278"/>
      <c r="AG161" s="278"/>
      <c r="AH161" s="278"/>
      <c r="AI161" s="278"/>
      <c r="AJ161" s="125"/>
      <c r="AK161" s="125"/>
      <c r="AL161" s="125"/>
      <c r="AM161" s="125"/>
      <c r="AN161" s="125"/>
      <c r="AO161" s="125"/>
      <c r="AP161" s="125"/>
      <c r="AQ161" s="278"/>
      <c r="AR161" s="125"/>
      <c r="AS161" s="125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5"/>
      <c r="BP161" s="125"/>
      <c r="BQ161" s="125"/>
      <c r="BR161" s="125"/>
      <c r="BS161" s="125"/>
      <c r="BT161" s="125"/>
      <c r="BU161" s="125"/>
      <c r="BV161" s="125"/>
      <c r="BW161" s="125"/>
      <c r="BX161" s="125"/>
      <c r="BY161" s="256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U161" s="141"/>
      <c r="CX161" s="225"/>
      <c r="CY161" s="225"/>
      <c r="CZ161" s="225"/>
      <c r="DA161" s="225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141"/>
      <c r="DM161" s="141"/>
      <c r="DN161" s="141"/>
      <c r="DO161" s="141"/>
      <c r="DP161" s="141"/>
      <c r="DQ161" s="141"/>
      <c r="DR161" s="141"/>
      <c r="DS161" s="141"/>
      <c r="DT161" s="141"/>
      <c r="DU161" s="141"/>
      <c r="DV161" s="141"/>
      <c r="DW161" s="141"/>
      <c r="DX161" s="141"/>
      <c r="DY161" s="141"/>
      <c r="DZ161" s="141"/>
      <c r="EA161" s="141"/>
      <c r="EB161" s="141"/>
      <c r="EC161" s="141"/>
      <c r="ED161" s="342"/>
      <c r="EE161" s="342"/>
    </row>
    <row r="162" spans="1:135" s="52" customFormat="1" ht="13.5" hidden="1" customHeight="1" outlineLevel="1" x14ac:dyDescent="0.2">
      <c r="A162" s="141"/>
      <c r="B162" s="171"/>
      <c r="C162" s="141"/>
      <c r="D162" s="143"/>
      <c r="E162" s="142"/>
      <c r="F162" s="141"/>
      <c r="G162" s="144"/>
      <c r="H162" s="142"/>
      <c r="I162" s="142"/>
      <c r="J162" s="125"/>
      <c r="K162" s="125"/>
      <c r="L162" s="125"/>
      <c r="M162" s="125"/>
      <c r="N162" s="125"/>
      <c r="O162" s="125"/>
      <c r="P162" s="125"/>
      <c r="Q162" s="323"/>
      <c r="R162" s="125"/>
      <c r="S162" s="125"/>
      <c r="T162" s="145"/>
      <c r="U162" s="145"/>
      <c r="V162" s="145"/>
      <c r="W162" s="125"/>
      <c r="X162" s="278"/>
      <c r="Y162" s="278"/>
      <c r="Z162" s="125"/>
      <c r="AA162" s="125"/>
      <c r="AB162" s="125"/>
      <c r="AC162" s="278"/>
      <c r="AD162" s="278"/>
      <c r="AE162" s="279"/>
      <c r="AF162" s="278"/>
      <c r="AG162" s="278"/>
      <c r="AH162" s="278"/>
      <c r="AI162" s="278"/>
      <c r="AJ162" s="125"/>
      <c r="AK162" s="125"/>
      <c r="AL162" s="125"/>
      <c r="AM162" s="125"/>
      <c r="AN162" s="125"/>
      <c r="AO162" s="125"/>
      <c r="AP162" s="125"/>
      <c r="AQ162" s="278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/>
      <c r="BY162" s="256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U162" s="141"/>
      <c r="CX162" s="225"/>
      <c r="CY162" s="225"/>
      <c r="CZ162" s="225"/>
      <c r="DA162" s="225"/>
      <c r="DB162" s="141"/>
      <c r="DC162" s="141"/>
      <c r="DD162" s="141"/>
      <c r="DE162" s="141"/>
      <c r="DF162" s="141"/>
      <c r="DG162" s="141"/>
      <c r="DH162" s="141"/>
      <c r="DI162" s="141"/>
      <c r="DJ162" s="141"/>
      <c r="DK162" s="141"/>
      <c r="DL162" s="141"/>
      <c r="DM162" s="141"/>
      <c r="DN162" s="141"/>
      <c r="DO162" s="141"/>
      <c r="DP162" s="141"/>
      <c r="DQ162" s="141"/>
      <c r="DR162" s="141"/>
      <c r="DS162" s="141"/>
      <c r="DT162" s="141"/>
      <c r="DU162" s="141"/>
      <c r="DV162" s="141"/>
      <c r="DW162" s="141"/>
      <c r="DX162" s="141"/>
      <c r="DY162" s="141"/>
      <c r="DZ162" s="141"/>
      <c r="EA162" s="141"/>
      <c r="EB162" s="141"/>
      <c r="EC162" s="141"/>
      <c r="ED162" s="342"/>
      <c r="EE162" s="342"/>
    </row>
    <row r="163" spans="1:135" s="52" customFormat="1" ht="13.5" hidden="1" customHeight="1" outlineLevel="1" x14ac:dyDescent="0.2">
      <c r="A163" s="141"/>
      <c r="B163" s="171"/>
      <c r="C163" s="141"/>
      <c r="D163" s="143"/>
      <c r="E163" s="142"/>
      <c r="F163" s="141"/>
      <c r="G163" s="144"/>
      <c r="H163" s="142"/>
      <c r="I163" s="142"/>
      <c r="J163" s="125"/>
      <c r="K163" s="125"/>
      <c r="L163" s="125"/>
      <c r="M163" s="125"/>
      <c r="N163" s="125"/>
      <c r="O163" s="125"/>
      <c r="P163" s="125"/>
      <c r="Q163" s="323"/>
      <c r="R163" s="125"/>
      <c r="S163" s="125"/>
      <c r="T163" s="145"/>
      <c r="U163" s="145"/>
      <c r="V163" s="145"/>
      <c r="W163" s="125"/>
      <c r="X163" s="278"/>
      <c r="Y163" s="278"/>
      <c r="Z163" s="125"/>
      <c r="AA163" s="125"/>
      <c r="AB163" s="125"/>
      <c r="AC163" s="278"/>
      <c r="AD163" s="278"/>
      <c r="AE163" s="279"/>
      <c r="AF163" s="278"/>
      <c r="AG163" s="278"/>
      <c r="AH163" s="278"/>
      <c r="AI163" s="278"/>
      <c r="AJ163" s="125"/>
      <c r="AK163" s="125"/>
      <c r="AL163" s="125"/>
      <c r="AM163" s="125"/>
      <c r="AN163" s="125"/>
      <c r="AO163" s="125"/>
      <c r="AP163" s="125"/>
      <c r="AQ163" s="278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125"/>
      <c r="BT163" s="125"/>
      <c r="BU163" s="125"/>
      <c r="BV163" s="125"/>
      <c r="BW163" s="125"/>
      <c r="BX163" s="125"/>
      <c r="BY163" s="256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U163" s="141"/>
      <c r="CX163" s="225"/>
      <c r="CY163" s="225"/>
      <c r="CZ163" s="225"/>
      <c r="DA163" s="225"/>
      <c r="DB163" s="141"/>
      <c r="DC163" s="141"/>
      <c r="DD163" s="141"/>
      <c r="DE163" s="141"/>
      <c r="DF163" s="141"/>
      <c r="DG163" s="141"/>
      <c r="DH163" s="141"/>
      <c r="DI163" s="141"/>
      <c r="DJ163" s="141"/>
      <c r="DK163" s="141"/>
      <c r="DL163" s="141"/>
      <c r="DM163" s="141"/>
      <c r="DN163" s="141"/>
      <c r="DO163" s="141"/>
      <c r="DP163" s="141"/>
      <c r="DQ163" s="141"/>
      <c r="DR163" s="141"/>
      <c r="DS163" s="141"/>
      <c r="DT163" s="141"/>
      <c r="DU163" s="141"/>
      <c r="DV163" s="141"/>
      <c r="DW163" s="141"/>
      <c r="DX163" s="141"/>
      <c r="DY163" s="141"/>
      <c r="DZ163" s="141"/>
      <c r="EA163" s="141"/>
      <c r="EB163" s="141"/>
      <c r="EC163" s="141"/>
      <c r="ED163" s="342"/>
      <c r="EE163" s="342"/>
    </row>
    <row r="164" spans="1:135" s="52" customFormat="1" ht="13.5" hidden="1" customHeight="1" outlineLevel="1" x14ac:dyDescent="0.2">
      <c r="A164" s="141"/>
      <c r="B164" s="171"/>
      <c r="C164" s="141"/>
      <c r="D164" s="143"/>
      <c r="E164" s="142"/>
      <c r="F164" s="141"/>
      <c r="G164" s="144"/>
      <c r="H164" s="142"/>
      <c r="I164" s="142"/>
      <c r="J164" s="125"/>
      <c r="K164" s="125"/>
      <c r="L164" s="125"/>
      <c r="M164" s="125"/>
      <c r="N164" s="125"/>
      <c r="O164" s="125"/>
      <c r="P164" s="125"/>
      <c r="Q164" s="323"/>
      <c r="R164" s="125"/>
      <c r="S164" s="125"/>
      <c r="T164" s="145"/>
      <c r="U164" s="145"/>
      <c r="V164" s="145"/>
      <c r="W164" s="125"/>
      <c r="X164" s="278"/>
      <c r="Y164" s="278"/>
      <c r="Z164" s="125"/>
      <c r="AA164" s="125"/>
      <c r="AB164" s="125"/>
      <c r="AC164" s="278"/>
      <c r="AD164" s="278"/>
      <c r="AE164" s="279"/>
      <c r="AF164" s="278"/>
      <c r="AG164" s="278"/>
      <c r="AH164" s="278"/>
      <c r="AI164" s="278"/>
      <c r="AJ164" s="125"/>
      <c r="AK164" s="125"/>
      <c r="AL164" s="125"/>
      <c r="AM164" s="125"/>
      <c r="AN164" s="125"/>
      <c r="AO164" s="125"/>
      <c r="AP164" s="125"/>
      <c r="AQ164" s="278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/>
      <c r="BW164" s="125"/>
      <c r="BX164" s="125"/>
      <c r="BY164" s="256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U164" s="141"/>
      <c r="CX164" s="225"/>
      <c r="CY164" s="225"/>
      <c r="CZ164" s="225"/>
      <c r="DA164" s="225"/>
      <c r="DB164" s="141"/>
      <c r="DC164" s="141"/>
      <c r="DD164" s="141"/>
      <c r="DE164" s="141"/>
      <c r="DF164" s="141"/>
      <c r="DG164" s="141"/>
      <c r="DH164" s="141"/>
      <c r="DI164" s="141"/>
      <c r="DJ164" s="141"/>
      <c r="DK164" s="141"/>
      <c r="DL164" s="141"/>
      <c r="DM164" s="141"/>
      <c r="DN164" s="141"/>
      <c r="DO164" s="141"/>
      <c r="DP164" s="141"/>
      <c r="DQ164" s="141"/>
      <c r="DR164" s="141"/>
      <c r="DS164" s="141"/>
      <c r="DT164" s="141"/>
      <c r="DU164" s="141"/>
      <c r="DV164" s="141"/>
      <c r="DW164" s="141"/>
      <c r="DX164" s="141"/>
      <c r="DY164" s="141"/>
      <c r="DZ164" s="141"/>
      <c r="EA164" s="141"/>
      <c r="EB164" s="141"/>
      <c r="EC164" s="141"/>
      <c r="ED164" s="342"/>
      <c r="EE164" s="342"/>
    </row>
    <row r="165" spans="1:135" s="52" customFormat="1" ht="13.5" hidden="1" customHeight="1" outlineLevel="1" x14ac:dyDescent="0.2">
      <c r="A165" s="141"/>
      <c r="B165" s="171"/>
      <c r="C165" s="141"/>
      <c r="D165" s="143"/>
      <c r="E165" s="142"/>
      <c r="F165" s="141"/>
      <c r="G165" s="144"/>
      <c r="H165" s="142"/>
      <c r="I165" s="142"/>
      <c r="J165" s="125"/>
      <c r="K165" s="125"/>
      <c r="L165" s="125"/>
      <c r="M165" s="125"/>
      <c r="N165" s="125"/>
      <c r="O165" s="125"/>
      <c r="P165" s="125"/>
      <c r="Q165" s="323"/>
      <c r="R165" s="125"/>
      <c r="S165" s="125"/>
      <c r="T165" s="145"/>
      <c r="U165" s="145"/>
      <c r="V165" s="145"/>
      <c r="W165" s="125"/>
      <c r="X165" s="278"/>
      <c r="Y165" s="278"/>
      <c r="Z165" s="125"/>
      <c r="AA165" s="125"/>
      <c r="AB165" s="125"/>
      <c r="AC165" s="278"/>
      <c r="AD165" s="278"/>
      <c r="AE165" s="279"/>
      <c r="AF165" s="278"/>
      <c r="AG165" s="278"/>
      <c r="AH165" s="278"/>
      <c r="AI165" s="278"/>
      <c r="AJ165" s="125"/>
      <c r="AK165" s="125"/>
      <c r="AL165" s="125"/>
      <c r="AM165" s="125"/>
      <c r="AN165" s="125"/>
      <c r="AO165" s="125"/>
      <c r="AP165" s="125"/>
      <c r="AQ165" s="278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256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U165" s="141"/>
      <c r="CX165" s="225"/>
      <c r="CY165" s="225"/>
      <c r="CZ165" s="225"/>
      <c r="DA165" s="225"/>
      <c r="DB165" s="141"/>
      <c r="DC165" s="141"/>
      <c r="DD165" s="141"/>
      <c r="DE165" s="141"/>
      <c r="DF165" s="141"/>
      <c r="DG165" s="141"/>
      <c r="DH165" s="141"/>
      <c r="DI165" s="141"/>
      <c r="DJ165" s="141"/>
      <c r="DK165" s="141"/>
      <c r="DL165" s="141"/>
      <c r="DM165" s="141"/>
      <c r="DN165" s="141"/>
      <c r="DO165" s="141"/>
      <c r="DP165" s="141"/>
      <c r="DQ165" s="141"/>
      <c r="DR165" s="141"/>
      <c r="DS165" s="141"/>
      <c r="DT165" s="141"/>
      <c r="DU165" s="141"/>
      <c r="DV165" s="141"/>
      <c r="DW165" s="141"/>
      <c r="DX165" s="141"/>
      <c r="DY165" s="141"/>
      <c r="DZ165" s="141"/>
      <c r="EA165" s="141"/>
      <c r="EB165" s="141"/>
      <c r="EC165" s="141"/>
      <c r="ED165" s="342"/>
      <c r="EE165" s="342"/>
    </row>
    <row r="166" spans="1:135" s="52" customFormat="1" ht="13.5" hidden="1" customHeight="1" outlineLevel="1" x14ac:dyDescent="0.2">
      <c r="A166" s="141"/>
      <c r="B166" s="171"/>
      <c r="C166" s="141"/>
      <c r="D166" s="143"/>
      <c r="E166" s="142"/>
      <c r="F166" s="141"/>
      <c r="G166" s="144"/>
      <c r="H166" s="142"/>
      <c r="I166" s="142"/>
      <c r="J166" s="125"/>
      <c r="K166" s="125"/>
      <c r="L166" s="125"/>
      <c r="M166" s="125"/>
      <c r="N166" s="125"/>
      <c r="O166" s="125"/>
      <c r="P166" s="125"/>
      <c r="Q166" s="323"/>
      <c r="R166" s="125"/>
      <c r="S166" s="125"/>
      <c r="T166" s="145"/>
      <c r="U166" s="145"/>
      <c r="V166" s="145"/>
      <c r="W166" s="125"/>
      <c r="X166" s="278"/>
      <c r="Y166" s="278"/>
      <c r="Z166" s="125"/>
      <c r="AA166" s="125"/>
      <c r="AB166" s="125"/>
      <c r="AC166" s="278"/>
      <c r="AD166" s="278"/>
      <c r="AE166" s="279"/>
      <c r="AF166" s="278"/>
      <c r="AG166" s="278"/>
      <c r="AH166" s="278"/>
      <c r="AI166" s="278"/>
      <c r="AJ166" s="125"/>
      <c r="AK166" s="125"/>
      <c r="AL166" s="125"/>
      <c r="AM166" s="125"/>
      <c r="AN166" s="125"/>
      <c r="AO166" s="125"/>
      <c r="AP166" s="125"/>
      <c r="AQ166" s="278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  <c r="BI166" s="125"/>
      <c r="BJ166" s="125"/>
      <c r="BK166" s="125"/>
      <c r="BL166" s="125"/>
      <c r="BM166" s="125"/>
      <c r="BN166" s="125"/>
      <c r="BO166" s="125"/>
      <c r="BP166" s="125"/>
      <c r="BQ166" s="125"/>
      <c r="BR166" s="125"/>
      <c r="BS166" s="125"/>
      <c r="BT166" s="125"/>
      <c r="BU166" s="125"/>
      <c r="BV166" s="125"/>
      <c r="BW166" s="125"/>
      <c r="BX166" s="125"/>
      <c r="BY166" s="256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U166" s="141"/>
      <c r="CX166" s="225"/>
      <c r="CY166" s="225"/>
      <c r="CZ166" s="225"/>
      <c r="DA166" s="225"/>
      <c r="DB166" s="141"/>
      <c r="DC166" s="141"/>
      <c r="DD166" s="141"/>
      <c r="DE166" s="141"/>
      <c r="DF166" s="141"/>
      <c r="DG166" s="141"/>
      <c r="DH166" s="141"/>
      <c r="DI166" s="141"/>
      <c r="DJ166" s="141"/>
      <c r="DK166" s="141"/>
      <c r="DL166" s="141"/>
      <c r="DM166" s="141"/>
      <c r="DN166" s="141"/>
      <c r="DO166" s="141"/>
      <c r="DP166" s="141"/>
      <c r="DQ166" s="141"/>
      <c r="DR166" s="141"/>
      <c r="DS166" s="141"/>
      <c r="DT166" s="141"/>
      <c r="DU166" s="141"/>
      <c r="DV166" s="141"/>
      <c r="DW166" s="141"/>
      <c r="DX166" s="141"/>
      <c r="DY166" s="141"/>
      <c r="DZ166" s="141"/>
      <c r="EA166" s="141"/>
      <c r="EB166" s="141"/>
      <c r="EC166" s="141"/>
      <c r="ED166" s="342"/>
      <c r="EE166" s="342"/>
    </row>
    <row r="167" spans="1:135" s="52" customFormat="1" ht="13.5" hidden="1" customHeight="1" outlineLevel="1" x14ac:dyDescent="0.2">
      <c r="A167" s="141"/>
      <c r="B167" s="171"/>
      <c r="C167" s="141"/>
      <c r="D167" s="143"/>
      <c r="E167" s="142"/>
      <c r="F167" s="141"/>
      <c r="G167" s="144"/>
      <c r="H167" s="142"/>
      <c r="I167" s="142"/>
      <c r="J167" s="125"/>
      <c r="K167" s="125"/>
      <c r="L167" s="125"/>
      <c r="M167" s="125"/>
      <c r="N167" s="125"/>
      <c r="O167" s="125"/>
      <c r="P167" s="125"/>
      <c r="Q167" s="323"/>
      <c r="R167" s="125"/>
      <c r="S167" s="125"/>
      <c r="T167" s="145"/>
      <c r="U167" s="145"/>
      <c r="V167" s="145"/>
      <c r="W167" s="125"/>
      <c r="X167" s="278"/>
      <c r="Y167" s="278"/>
      <c r="Z167" s="125"/>
      <c r="AA167" s="125"/>
      <c r="AB167" s="125"/>
      <c r="AC167" s="278"/>
      <c r="AD167" s="278"/>
      <c r="AE167" s="279"/>
      <c r="AF167" s="278"/>
      <c r="AG167" s="278"/>
      <c r="AH167" s="278"/>
      <c r="AI167" s="278"/>
      <c r="AJ167" s="125"/>
      <c r="AK167" s="125"/>
      <c r="AL167" s="125"/>
      <c r="AM167" s="125"/>
      <c r="AN167" s="125"/>
      <c r="AO167" s="125"/>
      <c r="AP167" s="125"/>
      <c r="AQ167" s="278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/>
      <c r="BW167" s="125"/>
      <c r="BX167" s="125"/>
      <c r="BY167" s="256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U167" s="141"/>
      <c r="CX167" s="225"/>
      <c r="CY167" s="225"/>
      <c r="CZ167" s="225"/>
      <c r="DA167" s="225"/>
      <c r="DB167" s="141"/>
      <c r="DC167" s="141"/>
      <c r="DD167" s="141"/>
      <c r="DE167" s="141"/>
      <c r="DF167" s="141"/>
      <c r="DG167" s="141"/>
      <c r="DH167" s="141"/>
      <c r="DI167" s="141"/>
      <c r="DJ167" s="141"/>
      <c r="DK167" s="141"/>
      <c r="DL167" s="141"/>
      <c r="DM167" s="141"/>
      <c r="DN167" s="141"/>
      <c r="DO167" s="141"/>
      <c r="DP167" s="141"/>
      <c r="DQ167" s="141"/>
      <c r="DR167" s="141"/>
      <c r="DS167" s="141"/>
      <c r="DT167" s="141"/>
      <c r="DU167" s="141"/>
      <c r="DV167" s="141"/>
      <c r="DW167" s="141"/>
      <c r="DX167" s="141"/>
      <c r="DY167" s="141"/>
      <c r="DZ167" s="141"/>
      <c r="EA167" s="141"/>
      <c r="EB167" s="141"/>
      <c r="EC167" s="141"/>
      <c r="ED167" s="342"/>
      <c r="EE167" s="342"/>
    </row>
    <row r="168" spans="1:135" s="52" customFormat="1" ht="13.5" hidden="1" customHeight="1" outlineLevel="1" x14ac:dyDescent="0.2">
      <c r="A168" s="141"/>
      <c r="B168" s="171"/>
      <c r="C168" s="141"/>
      <c r="D168" s="143"/>
      <c r="E168" s="142"/>
      <c r="F168" s="141"/>
      <c r="G168" s="144"/>
      <c r="H168" s="142"/>
      <c r="I168" s="142"/>
      <c r="J168" s="125"/>
      <c r="K168" s="125"/>
      <c r="L168" s="125"/>
      <c r="M168" s="125"/>
      <c r="N168" s="125"/>
      <c r="O168" s="125"/>
      <c r="P168" s="125"/>
      <c r="Q168" s="323"/>
      <c r="R168" s="125"/>
      <c r="S168" s="125"/>
      <c r="T168" s="145"/>
      <c r="U168" s="145"/>
      <c r="V168" s="145"/>
      <c r="W168" s="125"/>
      <c r="X168" s="278"/>
      <c r="Y168" s="278"/>
      <c r="Z168" s="125"/>
      <c r="AA168" s="125"/>
      <c r="AB168" s="125"/>
      <c r="AC168" s="278"/>
      <c r="AD168" s="278"/>
      <c r="AE168" s="279"/>
      <c r="AF168" s="278"/>
      <c r="AG168" s="278"/>
      <c r="AH168" s="278"/>
      <c r="AI168" s="278"/>
      <c r="AJ168" s="125"/>
      <c r="AK168" s="125"/>
      <c r="AL168" s="125"/>
      <c r="AM168" s="125"/>
      <c r="AN168" s="125"/>
      <c r="AO168" s="125"/>
      <c r="AP168" s="125"/>
      <c r="AQ168" s="278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  <c r="BI168" s="125"/>
      <c r="BJ168" s="125"/>
      <c r="BK168" s="125"/>
      <c r="BL168" s="125"/>
      <c r="BM168" s="125"/>
      <c r="BN168" s="125"/>
      <c r="BO168" s="125"/>
      <c r="BP168" s="125"/>
      <c r="BQ168" s="125"/>
      <c r="BR168" s="125"/>
      <c r="BS168" s="125"/>
      <c r="BT168" s="125"/>
      <c r="BU168" s="125"/>
      <c r="BV168" s="125"/>
      <c r="BW168" s="125"/>
      <c r="BX168" s="125"/>
      <c r="BY168" s="256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U168" s="141"/>
      <c r="CX168" s="225"/>
      <c r="CY168" s="225"/>
      <c r="CZ168" s="225"/>
      <c r="DA168" s="225"/>
      <c r="DB168" s="141"/>
      <c r="DC168" s="141"/>
      <c r="DD168" s="141"/>
      <c r="DE168" s="141"/>
      <c r="DF168" s="141"/>
      <c r="DG168" s="141"/>
      <c r="DH168" s="141"/>
      <c r="DI168" s="141"/>
      <c r="DJ168" s="141"/>
      <c r="DK168" s="141"/>
      <c r="DL168" s="141"/>
      <c r="DM168" s="141"/>
      <c r="DN168" s="141"/>
      <c r="DO168" s="141"/>
      <c r="DP168" s="141"/>
      <c r="DQ168" s="141"/>
      <c r="DR168" s="141"/>
      <c r="DS168" s="141"/>
      <c r="DT168" s="141"/>
      <c r="DU168" s="141"/>
      <c r="DV168" s="141"/>
      <c r="DW168" s="141"/>
      <c r="DX168" s="141"/>
      <c r="DY168" s="141"/>
      <c r="DZ168" s="141"/>
      <c r="EA168" s="141"/>
      <c r="EB168" s="141"/>
      <c r="EC168" s="141"/>
      <c r="ED168" s="342"/>
      <c r="EE168" s="342"/>
    </row>
    <row r="169" spans="1:135" s="52" customFormat="1" ht="13.5" hidden="1" customHeight="1" outlineLevel="1" x14ac:dyDescent="0.2">
      <c r="A169" s="141"/>
      <c r="B169" s="171"/>
      <c r="C169" s="141"/>
      <c r="D169" s="143"/>
      <c r="E169" s="142"/>
      <c r="F169" s="141"/>
      <c r="G169" s="144"/>
      <c r="H169" s="142"/>
      <c r="I169" s="142"/>
      <c r="J169" s="125"/>
      <c r="K169" s="125"/>
      <c r="L169" s="125"/>
      <c r="M169" s="125"/>
      <c r="N169" s="125"/>
      <c r="O169" s="125"/>
      <c r="P169" s="125"/>
      <c r="Q169" s="323"/>
      <c r="R169" s="125"/>
      <c r="S169" s="125"/>
      <c r="T169" s="145"/>
      <c r="U169" s="145"/>
      <c r="V169" s="145"/>
      <c r="W169" s="125"/>
      <c r="X169" s="278"/>
      <c r="Y169" s="278"/>
      <c r="Z169" s="125"/>
      <c r="AA169" s="125"/>
      <c r="AB169" s="125"/>
      <c r="AC169" s="278"/>
      <c r="AD169" s="278"/>
      <c r="AE169" s="279"/>
      <c r="AF169" s="278"/>
      <c r="AG169" s="278"/>
      <c r="AH169" s="278"/>
      <c r="AI169" s="278"/>
      <c r="AJ169" s="125"/>
      <c r="AK169" s="125"/>
      <c r="AL169" s="125"/>
      <c r="AM169" s="125"/>
      <c r="AN169" s="125"/>
      <c r="AO169" s="125"/>
      <c r="AP169" s="125"/>
      <c r="AQ169" s="278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/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256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U169" s="141"/>
      <c r="CX169" s="225"/>
      <c r="CY169" s="225"/>
      <c r="CZ169" s="225"/>
      <c r="DA169" s="225"/>
      <c r="DB169" s="141"/>
      <c r="DC169" s="141"/>
      <c r="DD169" s="141"/>
      <c r="DE169" s="141"/>
      <c r="DF169" s="141"/>
      <c r="DG169" s="141"/>
      <c r="DH169" s="141"/>
      <c r="DI169" s="141"/>
      <c r="DJ169" s="141"/>
      <c r="DK169" s="141"/>
      <c r="DL169" s="141"/>
      <c r="DM169" s="141"/>
      <c r="DN169" s="141"/>
      <c r="DO169" s="141"/>
      <c r="DP169" s="141"/>
      <c r="DQ169" s="141"/>
      <c r="DR169" s="141"/>
      <c r="DS169" s="141"/>
      <c r="DT169" s="141"/>
      <c r="DU169" s="141"/>
      <c r="DV169" s="141"/>
      <c r="DW169" s="141"/>
      <c r="DX169" s="141"/>
      <c r="DY169" s="141"/>
      <c r="DZ169" s="141"/>
      <c r="EA169" s="141"/>
      <c r="EB169" s="141"/>
      <c r="EC169" s="141"/>
      <c r="ED169" s="342"/>
      <c r="EE169" s="342"/>
    </row>
    <row r="170" spans="1:135" s="52" customFormat="1" ht="13.5" hidden="1" customHeight="1" outlineLevel="1" x14ac:dyDescent="0.2">
      <c r="A170" s="141"/>
      <c r="B170" s="171"/>
      <c r="C170" s="141"/>
      <c r="D170" s="143"/>
      <c r="E170" s="142"/>
      <c r="F170" s="141"/>
      <c r="G170" s="144"/>
      <c r="H170" s="142"/>
      <c r="I170" s="142"/>
      <c r="J170" s="125"/>
      <c r="K170" s="125"/>
      <c r="L170" s="125"/>
      <c r="M170" s="125"/>
      <c r="N170" s="125"/>
      <c r="O170" s="125"/>
      <c r="P170" s="125"/>
      <c r="Q170" s="323"/>
      <c r="R170" s="125"/>
      <c r="S170" s="125"/>
      <c r="T170" s="145"/>
      <c r="U170" s="145"/>
      <c r="V170" s="145"/>
      <c r="W170" s="125"/>
      <c r="X170" s="278"/>
      <c r="Y170" s="278"/>
      <c r="Z170" s="125"/>
      <c r="AA170" s="125"/>
      <c r="AB170" s="125"/>
      <c r="AC170" s="278"/>
      <c r="AD170" s="278"/>
      <c r="AE170" s="279"/>
      <c r="AF170" s="278"/>
      <c r="AG170" s="278"/>
      <c r="AH170" s="278"/>
      <c r="AI170" s="278"/>
      <c r="AJ170" s="125"/>
      <c r="AK170" s="125"/>
      <c r="AL170" s="125"/>
      <c r="AM170" s="125"/>
      <c r="AN170" s="125"/>
      <c r="AO170" s="125"/>
      <c r="AP170" s="125"/>
      <c r="AQ170" s="278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256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U170" s="141"/>
      <c r="CX170" s="225"/>
      <c r="CY170" s="225"/>
      <c r="CZ170" s="225"/>
      <c r="DA170" s="225"/>
      <c r="DB170" s="141"/>
      <c r="DC170" s="141"/>
      <c r="DD170" s="141"/>
      <c r="DE170" s="141"/>
      <c r="DF170" s="141"/>
      <c r="DG170" s="141"/>
      <c r="DH170" s="141"/>
      <c r="DI170" s="141"/>
      <c r="DJ170" s="141"/>
      <c r="DK170" s="141"/>
      <c r="DL170" s="141"/>
      <c r="DM170" s="141"/>
      <c r="DN170" s="141"/>
      <c r="DO170" s="141"/>
      <c r="DP170" s="141"/>
      <c r="DQ170" s="141"/>
      <c r="DR170" s="141"/>
      <c r="DS170" s="141"/>
      <c r="DT170" s="141"/>
      <c r="DU170" s="141"/>
      <c r="DV170" s="141"/>
      <c r="DW170" s="141"/>
      <c r="DX170" s="141"/>
      <c r="DY170" s="141"/>
      <c r="DZ170" s="141"/>
      <c r="EA170" s="141"/>
      <c r="EB170" s="141"/>
      <c r="EC170" s="141"/>
      <c r="ED170" s="342"/>
      <c r="EE170" s="342"/>
    </row>
    <row r="171" spans="1:135" s="52" customFormat="1" ht="13.5" hidden="1" customHeight="1" outlineLevel="1" x14ac:dyDescent="0.2">
      <c r="A171" s="141"/>
      <c r="B171" s="171"/>
      <c r="C171" s="141"/>
      <c r="D171" s="143"/>
      <c r="E171" s="142"/>
      <c r="F171" s="141"/>
      <c r="G171" s="144"/>
      <c r="H171" s="142"/>
      <c r="I171" s="142"/>
      <c r="J171" s="125"/>
      <c r="K171" s="125"/>
      <c r="L171" s="125"/>
      <c r="M171" s="125"/>
      <c r="N171" s="125"/>
      <c r="O171" s="125"/>
      <c r="P171" s="125"/>
      <c r="Q171" s="323"/>
      <c r="R171" s="125"/>
      <c r="S171" s="125"/>
      <c r="T171" s="145"/>
      <c r="U171" s="145"/>
      <c r="V171" s="145"/>
      <c r="W171" s="125"/>
      <c r="X171" s="278"/>
      <c r="Y171" s="278"/>
      <c r="Z171" s="125"/>
      <c r="AA171" s="125"/>
      <c r="AB171" s="125"/>
      <c r="AC171" s="278"/>
      <c r="AD171" s="278"/>
      <c r="AE171" s="279"/>
      <c r="AF171" s="278"/>
      <c r="AG171" s="278"/>
      <c r="AH171" s="278"/>
      <c r="AI171" s="278"/>
      <c r="AJ171" s="125"/>
      <c r="AK171" s="125"/>
      <c r="AL171" s="125"/>
      <c r="AM171" s="125"/>
      <c r="AN171" s="125"/>
      <c r="AO171" s="125"/>
      <c r="AP171" s="125"/>
      <c r="AQ171" s="278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256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U171" s="141"/>
      <c r="CX171" s="225"/>
      <c r="CY171" s="225"/>
      <c r="CZ171" s="225"/>
      <c r="DA171" s="225"/>
      <c r="DB171" s="141"/>
      <c r="DC171" s="141"/>
      <c r="DD171" s="141"/>
      <c r="DE171" s="141"/>
      <c r="DF171" s="141"/>
      <c r="DG171" s="141"/>
      <c r="DH171" s="141"/>
      <c r="DI171" s="141"/>
      <c r="DJ171" s="141"/>
      <c r="DK171" s="141"/>
      <c r="DL171" s="141"/>
      <c r="DM171" s="141"/>
      <c r="DN171" s="141"/>
      <c r="DO171" s="141"/>
      <c r="DP171" s="141"/>
      <c r="DQ171" s="141"/>
      <c r="DR171" s="141"/>
      <c r="DS171" s="141"/>
      <c r="DT171" s="141"/>
      <c r="DU171" s="141"/>
      <c r="DV171" s="141"/>
      <c r="DW171" s="141"/>
      <c r="DX171" s="141"/>
      <c r="DY171" s="141"/>
      <c r="DZ171" s="141"/>
      <c r="EA171" s="141"/>
      <c r="EB171" s="141"/>
      <c r="EC171" s="141"/>
      <c r="ED171" s="342"/>
      <c r="EE171" s="342"/>
    </row>
    <row r="172" spans="1:135" s="52" customFormat="1" ht="13.5" hidden="1" customHeight="1" outlineLevel="1" x14ac:dyDescent="0.2">
      <c r="A172" s="141"/>
      <c r="B172" s="171"/>
      <c r="C172" s="141"/>
      <c r="D172" s="143"/>
      <c r="E172" s="142"/>
      <c r="F172" s="141"/>
      <c r="G172" s="144"/>
      <c r="H172" s="142"/>
      <c r="I172" s="142"/>
      <c r="J172" s="125"/>
      <c r="K172" s="125"/>
      <c r="L172" s="125"/>
      <c r="M172" s="125"/>
      <c r="N172" s="125"/>
      <c r="O172" s="125"/>
      <c r="P172" s="125"/>
      <c r="Q172" s="323"/>
      <c r="R172" s="125"/>
      <c r="S172" s="125"/>
      <c r="T172" s="145"/>
      <c r="U172" s="145"/>
      <c r="V172" s="145"/>
      <c r="W172" s="125"/>
      <c r="X172" s="278"/>
      <c r="Y172" s="278"/>
      <c r="Z172" s="125"/>
      <c r="AA172" s="125"/>
      <c r="AB172" s="125"/>
      <c r="AC172" s="278"/>
      <c r="AD172" s="278"/>
      <c r="AE172" s="279"/>
      <c r="AF172" s="278"/>
      <c r="AG172" s="278"/>
      <c r="AH172" s="278"/>
      <c r="AI172" s="278"/>
      <c r="AJ172" s="125"/>
      <c r="AK172" s="125"/>
      <c r="AL172" s="125"/>
      <c r="AM172" s="125"/>
      <c r="AN172" s="125"/>
      <c r="AO172" s="125"/>
      <c r="AP172" s="125"/>
      <c r="AQ172" s="278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256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U172" s="141"/>
      <c r="CX172" s="225"/>
      <c r="CY172" s="225"/>
      <c r="CZ172" s="225"/>
      <c r="DA172" s="225"/>
      <c r="DB172" s="141"/>
      <c r="DC172" s="141"/>
      <c r="DD172" s="141"/>
      <c r="DE172" s="141"/>
      <c r="DF172" s="141"/>
      <c r="DG172" s="141"/>
      <c r="DH172" s="141"/>
      <c r="DI172" s="141"/>
      <c r="DJ172" s="141"/>
      <c r="DK172" s="141"/>
      <c r="DL172" s="141"/>
      <c r="DM172" s="141"/>
      <c r="DN172" s="141"/>
      <c r="DO172" s="141"/>
      <c r="DP172" s="141"/>
      <c r="DQ172" s="141"/>
      <c r="DR172" s="141"/>
      <c r="DS172" s="141"/>
      <c r="DT172" s="141"/>
      <c r="DU172" s="141"/>
      <c r="DV172" s="141"/>
      <c r="DW172" s="141"/>
      <c r="DX172" s="141"/>
      <c r="DY172" s="141"/>
      <c r="DZ172" s="141"/>
      <c r="EA172" s="141"/>
      <c r="EB172" s="141"/>
      <c r="EC172" s="141"/>
      <c r="ED172" s="342"/>
      <c r="EE172" s="342"/>
    </row>
    <row r="173" spans="1:135" s="52" customFormat="1" ht="13.5" hidden="1" customHeight="1" outlineLevel="1" x14ac:dyDescent="0.2">
      <c r="A173" s="141"/>
      <c r="B173" s="171"/>
      <c r="C173" s="141"/>
      <c r="D173" s="143"/>
      <c r="E173" s="142"/>
      <c r="F173" s="141"/>
      <c r="G173" s="144"/>
      <c r="H173" s="142"/>
      <c r="I173" s="142"/>
      <c r="J173" s="125"/>
      <c r="K173" s="125"/>
      <c r="L173" s="125"/>
      <c r="M173" s="125"/>
      <c r="N173" s="125"/>
      <c r="O173" s="125"/>
      <c r="P173" s="125"/>
      <c r="Q173" s="323"/>
      <c r="R173" s="125"/>
      <c r="S173" s="125"/>
      <c r="T173" s="145"/>
      <c r="U173" s="145"/>
      <c r="V173" s="145"/>
      <c r="W173" s="125"/>
      <c r="X173" s="278"/>
      <c r="Y173" s="278"/>
      <c r="Z173" s="125"/>
      <c r="AA173" s="125"/>
      <c r="AB173" s="125"/>
      <c r="AC173" s="278"/>
      <c r="AD173" s="278"/>
      <c r="AE173" s="279"/>
      <c r="AF173" s="278"/>
      <c r="AG173" s="278"/>
      <c r="AH173" s="278"/>
      <c r="AI173" s="278"/>
      <c r="AJ173" s="125"/>
      <c r="AK173" s="125"/>
      <c r="AL173" s="125"/>
      <c r="AM173" s="125"/>
      <c r="AN173" s="125"/>
      <c r="AO173" s="125"/>
      <c r="AP173" s="125"/>
      <c r="AQ173" s="278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256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U173" s="141"/>
      <c r="CX173" s="225"/>
      <c r="CY173" s="225"/>
      <c r="CZ173" s="225"/>
      <c r="DA173" s="225"/>
      <c r="DB173" s="141"/>
      <c r="DC173" s="141"/>
      <c r="DD173" s="141"/>
      <c r="DE173" s="141"/>
      <c r="DF173" s="141"/>
      <c r="DG173" s="141"/>
      <c r="DH173" s="141"/>
      <c r="DI173" s="141"/>
      <c r="DJ173" s="141"/>
      <c r="DK173" s="141"/>
      <c r="DL173" s="141"/>
      <c r="DM173" s="141"/>
      <c r="DN173" s="141"/>
      <c r="DO173" s="141"/>
      <c r="DP173" s="141"/>
      <c r="DQ173" s="141"/>
      <c r="DR173" s="141"/>
      <c r="DS173" s="141"/>
      <c r="DT173" s="141"/>
      <c r="DU173" s="141"/>
      <c r="DV173" s="141"/>
      <c r="DW173" s="141"/>
      <c r="DX173" s="141"/>
      <c r="DY173" s="141"/>
      <c r="DZ173" s="141"/>
      <c r="EA173" s="141"/>
      <c r="EB173" s="141"/>
      <c r="EC173" s="141"/>
      <c r="ED173" s="342"/>
      <c r="EE173" s="342"/>
    </row>
    <row r="174" spans="1:135" s="52" customFormat="1" ht="13.5" hidden="1" customHeight="1" outlineLevel="1" x14ac:dyDescent="0.2">
      <c r="A174" s="141"/>
      <c r="B174" s="171"/>
      <c r="C174" s="141"/>
      <c r="D174" s="143"/>
      <c r="E174" s="142"/>
      <c r="F174" s="141"/>
      <c r="G174" s="144"/>
      <c r="H174" s="142"/>
      <c r="I174" s="142"/>
      <c r="J174" s="125"/>
      <c r="K174" s="125"/>
      <c r="L174" s="125"/>
      <c r="M174" s="125"/>
      <c r="N174" s="125"/>
      <c r="O174" s="125"/>
      <c r="P174" s="125"/>
      <c r="Q174" s="323"/>
      <c r="R174" s="125"/>
      <c r="S174" s="125"/>
      <c r="T174" s="145"/>
      <c r="U174" s="145"/>
      <c r="V174" s="145"/>
      <c r="W174" s="125"/>
      <c r="X174" s="278"/>
      <c r="Y174" s="278"/>
      <c r="Z174" s="125"/>
      <c r="AA174" s="125"/>
      <c r="AB174" s="125"/>
      <c r="AC174" s="278"/>
      <c r="AD174" s="278"/>
      <c r="AE174" s="279"/>
      <c r="AF174" s="278"/>
      <c r="AG174" s="278"/>
      <c r="AH174" s="278"/>
      <c r="AI174" s="278"/>
      <c r="AJ174" s="125"/>
      <c r="AK174" s="125"/>
      <c r="AL174" s="125"/>
      <c r="AM174" s="125"/>
      <c r="AN174" s="125"/>
      <c r="AO174" s="125"/>
      <c r="AP174" s="125"/>
      <c r="AQ174" s="278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256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U174" s="141"/>
      <c r="CX174" s="225"/>
      <c r="CY174" s="225"/>
      <c r="CZ174" s="225"/>
      <c r="DA174" s="225"/>
      <c r="DB174" s="141"/>
      <c r="DC174" s="141"/>
      <c r="DD174" s="141"/>
      <c r="DE174" s="141"/>
      <c r="DF174" s="141"/>
      <c r="DG174" s="141"/>
      <c r="DH174" s="141"/>
      <c r="DI174" s="141"/>
      <c r="DJ174" s="141"/>
      <c r="DK174" s="141"/>
      <c r="DL174" s="141"/>
      <c r="DM174" s="141"/>
      <c r="DN174" s="141"/>
      <c r="DO174" s="141"/>
      <c r="DP174" s="141"/>
      <c r="DQ174" s="141"/>
      <c r="DR174" s="141"/>
      <c r="DS174" s="141"/>
      <c r="DT174" s="141"/>
      <c r="DU174" s="141"/>
      <c r="DV174" s="141"/>
      <c r="DW174" s="141"/>
      <c r="DX174" s="141"/>
      <c r="DY174" s="141"/>
      <c r="DZ174" s="141"/>
      <c r="EA174" s="141"/>
      <c r="EB174" s="141"/>
      <c r="EC174" s="141"/>
      <c r="ED174" s="342"/>
      <c r="EE174" s="342"/>
    </row>
    <row r="175" spans="1:135" s="52" customFormat="1" ht="13.5" hidden="1" customHeight="1" outlineLevel="1" x14ac:dyDescent="0.2">
      <c r="A175" s="141"/>
      <c r="B175" s="171"/>
      <c r="C175" s="141"/>
      <c r="D175" s="143"/>
      <c r="E175" s="142"/>
      <c r="F175" s="141"/>
      <c r="G175" s="144"/>
      <c r="H175" s="142"/>
      <c r="I175" s="142"/>
      <c r="J175" s="125"/>
      <c r="K175" s="125"/>
      <c r="L175" s="125"/>
      <c r="M175" s="125"/>
      <c r="N175" s="125"/>
      <c r="O175" s="125"/>
      <c r="P175" s="125"/>
      <c r="Q175" s="323"/>
      <c r="R175" s="125"/>
      <c r="S175" s="125"/>
      <c r="T175" s="145"/>
      <c r="U175" s="145"/>
      <c r="V175" s="145"/>
      <c r="W175" s="125"/>
      <c r="X175" s="278"/>
      <c r="Y175" s="278"/>
      <c r="Z175" s="125"/>
      <c r="AA175" s="125"/>
      <c r="AB175" s="125"/>
      <c r="AC175" s="278"/>
      <c r="AD175" s="278"/>
      <c r="AE175" s="279"/>
      <c r="AF175" s="278"/>
      <c r="AG175" s="278"/>
      <c r="AH175" s="278"/>
      <c r="AI175" s="278"/>
      <c r="AJ175" s="125"/>
      <c r="AK175" s="125"/>
      <c r="AL175" s="125"/>
      <c r="AM175" s="125"/>
      <c r="AN175" s="125"/>
      <c r="AO175" s="125"/>
      <c r="AP175" s="125"/>
      <c r="AQ175" s="278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256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U175" s="141"/>
      <c r="CX175" s="225"/>
      <c r="CY175" s="225"/>
      <c r="CZ175" s="225"/>
      <c r="DA175" s="225"/>
      <c r="DB175" s="141"/>
      <c r="DC175" s="141"/>
      <c r="DD175" s="141"/>
      <c r="DE175" s="141"/>
      <c r="DF175" s="141"/>
      <c r="DG175" s="141"/>
      <c r="DH175" s="141"/>
      <c r="DI175" s="141"/>
      <c r="DJ175" s="141"/>
      <c r="DK175" s="141"/>
      <c r="DL175" s="141"/>
      <c r="DM175" s="141"/>
      <c r="DN175" s="141"/>
      <c r="DO175" s="141"/>
      <c r="DP175" s="141"/>
      <c r="DQ175" s="141"/>
      <c r="DR175" s="141"/>
      <c r="DS175" s="141"/>
      <c r="DT175" s="141"/>
      <c r="DU175" s="141"/>
      <c r="DV175" s="141"/>
      <c r="DW175" s="141"/>
      <c r="DX175" s="141"/>
      <c r="DY175" s="141"/>
      <c r="DZ175" s="141"/>
      <c r="EA175" s="141"/>
      <c r="EB175" s="141"/>
      <c r="EC175" s="141"/>
      <c r="ED175" s="342"/>
      <c r="EE175" s="342"/>
    </row>
    <row r="176" spans="1:135" s="52" customFormat="1" ht="13.5" hidden="1" customHeight="1" outlineLevel="1" x14ac:dyDescent="0.2">
      <c r="A176" s="141"/>
      <c r="B176" s="171"/>
      <c r="C176" s="141"/>
      <c r="D176" s="143"/>
      <c r="E176" s="142"/>
      <c r="F176" s="141"/>
      <c r="G176" s="144"/>
      <c r="H176" s="142"/>
      <c r="I176" s="142"/>
      <c r="J176" s="125"/>
      <c r="K176" s="125"/>
      <c r="L176" s="125"/>
      <c r="M176" s="125"/>
      <c r="N176" s="125"/>
      <c r="O176" s="125"/>
      <c r="P176" s="125"/>
      <c r="Q176" s="323"/>
      <c r="R176" s="125"/>
      <c r="S176" s="125"/>
      <c r="T176" s="145"/>
      <c r="U176" s="145"/>
      <c r="V176" s="145"/>
      <c r="W176" s="125"/>
      <c r="X176" s="278"/>
      <c r="Y176" s="278"/>
      <c r="Z176" s="125"/>
      <c r="AA176" s="125"/>
      <c r="AB176" s="125"/>
      <c r="AC176" s="278"/>
      <c r="AD176" s="278"/>
      <c r="AE176" s="279"/>
      <c r="AF176" s="278"/>
      <c r="AG176" s="278"/>
      <c r="AH176" s="278"/>
      <c r="AI176" s="278"/>
      <c r="AJ176" s="125"/>
      <c r="AK176" s="125"/>
      <c r="AL176" s="125"/>
      <c r="AM176" s="125"/>
      <c r="AN176" s="125"/>
      <c r="AO176" s="125"/>
      <c r="AP176" s="125"/>
      <c r="AQ176" s="278"/>
      <c r="AR176" s="125"/>
      <c r="AS176" s="125"/>
      <c r="AT176" s="125"/>
      <c r="AU176" s="125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256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U176" s="141"/>
      <c r="CX176" s="225"/>
      <c r="CY176" s="225"/>
      <c r="CZ176" s="225"/>
      <c r="DA176" s="225"/>
      <c r="DB176" s="141"/>
      <c r="DC176" s="141"/>
      <c r="DD176" s="141"/>
      <c r="DE176" s="141"/>
      <c r="DF176" s="141"/>
      <c r="DG176" s="141"/>
      <c r="DH176" s="141"/>
      <c r="DI176" s="141"/>
      <c r="DJ176" s="141"/>
      <c r="DK176" s="141"/>
      <c r="DL176" s="141"/>
      <c r="DM176" s="141"/>
      <c r="DN176" s="141"/>
      <c r="DO176" s="141"/>
      <c r="DP176" s="141"/>
      <c r="DQ176" s="141"/>
      <c r="DR176" s="141"/>
      <c r="DS176" s="141"/>
      <c r="DT176" s="141"/>
      <c r="DU176" s="141"/>
      <c r="DV176" s="141"/>
      <c r="DW176" s="141"/>
      <c r="DX176" s="141"/>
      <c r="DY176" s="141"/>
      <c r="DZ176" s="141"/>
      <c r="EA176" s="141"/>
      <c r="EB176" s="141"/>
      <c r="EC176" s="141"/>
      <c r="ED176" s="342"/>
      <c r="EE176" s="342"/>
    </row>
    <row r="177" spans="1:135" s="52" customFormat="1" ht="13.5" hidden="1" customHeight="1" outlineLevel="1" x14ac:dyDescent="0.2">
      <c r="A177" s="141"/>
      <c r="B177" s="171"/>
      <c r="C177" s="141"/>
      <c r="D177" s="143"/>
      <c r="E177" s="142"/>
      <c r="F177" s="141"/>
      <c r="G177" s="144"/>
      <c r="H177" s="142"/>
      <c r="I177" s="142"/>
      <c r="J177" s="125"/>
      <c r="K177" s="125"/>
      <c r="L177" s="125"/>
      <c r="M177" s="125"/>
      <c r="N177" s="125"/>
      <c r="O177" s="125"/>
      <c r="P177" s="125"/>
      <c r="Q177" s="323"/>
      <c r="R177" s="125"/>
      <c r="S177" s="125"/>
      <c r="T177" s="145"/>
      <c r="U177" s="145"/>
      <c r="V177" s="145"/>
      <c r="W177" s="125"/>
      <c r="X177" s="278"/>
      <c r="Y177" s="278"/>
      <c r="Z177" s="125"/>
      <c r="AA177" s="125"/>
      <c r="AB177" s="125"/>
      <c r="AC177" s="278"/>
      <c r="AD177" s="278"/>
      <c r="AE177" s="279"/>
      <c r="AF177" s="278"/>
      <c r="AG177" s="278"/>
      <c r="AH177" s="278"/>
      <c r="AI177" s="278"/>
      <c r="AJ177" s="125"/>
      <c r="AK177" s="125"/>
      <c r="AL177" s="125"/>
      <c r="AM177" s="125"/>
      <c r="AN177" s="125"/>
      <c r="AO177" s="125"/>
      <c r="AP177" s="125"/>
      <c r="AQ177" s="278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256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U177" s="141"/>
      <c r="CX177" s="225"/>
      <c r="CY177" s="225"/>
      <c r="CZ177" s="225"/>
      <c r="DA177" s="225"/>
      <c r="DB177" s="141"/>
      <c r="DC177" s="141"/>
      <c r="DD177" s="141"/>
      <c r="DE177" s="141"/>
      <c r="DF177" s="141"/>
      <c r="DG177" s="141"/>
      <c r="DH177" s="141"/>
      <c r="DI177" s="141"/>
      <c r="DJ177" s="141"/>
      <c r="DK177" s="141"/>
      <c r="DL177" s="141"/>
      <c r="DM177" s="141"/>
      <c r="DN177" s="141"/>
      <c r="DO177" s="141"/>
      <c r="DP177" s="141"/>
      <c r="DQ177" s="141"/>
      <c r="DR177" s="141"/>
      <c r="DS177" s="141"/>
      <c r="DT177" s="141"/>
      <c r="DU177" s="141"/>
      <c r="DV177" s="141"/>
      <c r="DW177" s="141"/>
      <c r="DX177" s="141"/>
      <c r="DY177" s="141"/>
      <c r="DZ177" s="141"/>
      <c r="EA177" s="141"/>
      <c r="EB177" s="141"/>
      <c r="EC177" s="141"/>
      <c r="ED177" s="342"/>
      <c r="EE177" s="342"/>
    </row>
    <row r="178" spans="1:135" s="52" customFormat="1" ht="13.5" hidden="1" customHeight="1" outlineLevel="1" x14ac:dyDescent="0.2">
      <c r="A178" s="141"/>
      <c r="B178" s="171"/>
      <c r="C178" s="141"/>
      <c r="D178" s="143"/>
      <c r="E178" s="142"/>
      <c r="F178" s="141"/>
      <c r="G178" s="144"/>
      <c r="H178" s="142"/>
      <c r="I178" s="142"/>
      <c r="J178" s="125"/>
      <c r="K178" s="125"/>
      <c r="L178" s="125"/>
      <c r="M178" s="125"/>
      <c r="N178" s="125"/>
      <c r="O178" s="125"/>
      <c r="P178" s="125"/>
      <c r="Q178" s="323"/>
      <c r="R178" s="125"/>
      <c r="S178" s="125"/>
      <c r="T178" s="145"/>
      <c r="U178" s="145"/>
      <c r="V178" s="145"/>
      <c r="W178" s="125"/>
      <c r="X178" s="278"/>
      <c r="Y178" s="278"/>
      <c r="Z178" s="125"/>
      <c r="AA178" s="125"/>
      <c r="AB178" s="125"/>
      <c r="AC178" s="278"/>
      <c r="AD178" s="278"/>
      <c r="AE178" s="279"/>
      <c r="AF178" s="278"/>
      <c r="AG178" s="278"/>
      <c r="AH178" s="278"/>
      <c r="AI178" s="278"/>
      <c r="AJ178" s="125"/>
      <c r="AK178" s="125"/>
      <c r="AL178" s="125"/>
      <c r="AM178" s="125"/>
      <c r="AN178" s="125"/>
      <c r="AO178" s="125"/>
      <c r="AP178" s="125"/>
      <c r="AQ178" s="278"/>
      <c r="AR178" s="125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T178" s="125"/>
      <c r="BU178" s="125"/>
      <c r="BV178" s="125"/>
      <c r="BW178" s="125"/>
      <c r="BX178" s="125"/>
      <c r="BY178" s="256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U178" s="141"/>
      <c r="CX178" s="225"/>
      <c r="CY178" s="225"/>
      <c r="CZ178" s="225"/>
      <c r="DA178" s="225"/>
      <c r="DB178" s="141"/>
      <c r="DC178" s="141"/>
      <c r="DD178" s="141"/>
      <c r="DE178" s="141"/>
      <c r="DF178" s="141"/>
      <c r="DG178" s="141"/>
      <c r="DH178" s="141"/>
      <c r="DI178" s="141"/>
      <c r="DJ178" s="141"/>
      <c r="DK178" s="141"/>
      <c r="DL178" s="141"/>
      <c r="DM178" s="141"/>
      <c r="DN178" s="141"/>
      <c r="DO178" s="141"/>
      <c r="DP178" s="141"/>
      <c r="DQ178" s="141"/>
      <c r="DR178" s="141"/>
      <c r="DS178" s="141"/>
      <c r="DT178" s="141"/>
      <c r="DU178" s="141"/>
      <c r="DV178" s="141"/>
      <c r="DW178" s="141"/>
      <c r="DX178" s="141"/>
      <c r="DY178" s="141"/>
      <c r="DZ178" s="141"/>
      <c r="EA178" s="141"/>
      <c r="EB178" s="141"/>
      <c r="EC178" s="141"/>
      <c r="ED178" s="342"/>
      <c r="EE178" s="342"/>
    </row>
    <row r="179" spans="1:135" s="52" customFormat="1" ht="13.5" hidden="1" customHeight="1" outlineLevel="1" x14ac:dyDescent="0.2">
      <c r="A179" s="141"/>
      <c r="B179" s="171"/>
      <c r="C179" s="141"/>
      <c r="D179" s="143"/>
      <c r="E179" s="142"/>
      <c r="F179" s="141"/>
      <c r="G179" s="144"/>
      <c r="H179" s="142"/>
      <c r="I179" s="142"/>
      <c r="J179" s="125"/>
      <c r="K179" s="125"/>
      <c r="L179" s="125"/>
      <c r="M179" s="125"/>
      <c r="N179" s="125"/>
      <c r="O179" s="125"/>
      <c r="P179" s="125"/>
      <c r="Q179" s="323"/>
      <c r="R179" s="125"/>
      <c r="S179" s="125"/>
      <c r="T179" s="145"/>
      <c r="U179" s="145"/>
      <c r="V179" s="145"/>
      <c r="W179" s="125"/>
      <c r="X179" s="278"/>
      <c r="Y179" s="278"/>
      <c r="Z179" s="125"/>
      <c r="AA179" s="125"/>
      <c r="AB179" s="125"/>
      <c r="AC179" s="278"/>
      <c r="AD179" s="278"/>
      <c r="AE179" s="279"/>
      <c r="AF179" s="278"/>
      <c r="AG179" s="278"/>
      <c r="AH179" s="278"/>
      <c r="AI179" s="278"/>
      <c r="AJ179" s="125"/>
      <c r="AK179" s="125"/>
      <c r="AL179" s="125"/>
      <c r="AM179" s="125"/>
      <c r="AN179" s="125"/>
      <c r="AO179" s="125"/>
      <c r="AP179" s="125"/>
      <c r="AQ179" s="278"/>
      <c r="AR179" s="125"/>
      <c r="AS179" s="125"/>
      <c r="AT179" s="125"/>
      <c r="AU179" s="125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256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U179" s="141"/>
      <c r="CX179" s="225"/>
      <c r="CY179" s="225"/>
      <c r="CZ179" s="225"/>
      <c r="DA179" s="225"/>
      <c r="DB179" s="141"/>
      <c r="DC179" s="141"/>
      <c r="DD179" s="141"/>
      <c r="DE179" s="141"/>
      <c r="DF179" s="141"/>
      <c r="DG179" s="141"/>
      <c r="DH179" s="141"/>
      <c r="DI179" s="141"/>
      <c r="DJ179" s="141"/>
      <c r="DK179" s="141"/>
      <c r="DL179" s="141"/>
      <c r="DM179" s="141"/>
      <c r="DN179" s="141"/>
      <c r="DO179" s="141"/>
      <c r="DP179" s="141"/>
      <c r="DQ179" s="141"/>
      <c r="DR179" s="141"/>
      <c r="DS179" s="141"/>
      <c r="DT179" s="141"/>
      <c r="DU179" s="141"/>
      <c r="DV179" s="141"/>
      <c r="DW179" s="141"/>
      <c r="DX179" s="141"/>
      <c r="DY179" s="141"/>
      <c r="DZ179" s="141"/>
      <c r="EA179" s="141"/>
      <c r="EB179" s="141"/>
      <c r="EC179" s="141"/>
      <c r="ED179" s="342"/>
      <c r="EE179" s="342"/>
    </row>
    <row r="180" spans="1:135" s="52" customFormat="1" ht="13.5" hidden="1" customHeight="1" outlineLevel="1" x14ac:dyDescent="0.2">
      <c r="A180" s="141"/>
      <c r="B180" s="171"/>
      <c r="C180" s="141"/>
      <c r="D180" s="143"/>
      <c r="E180" s="142"/>
      <c r="F180" s="141"/>
      <c r="G180" s="144"/>
      <c r="H180" s="142"/>
      <c r="I180" s="142"/>
      <c r="J180" s="125"/>
      <c r="K180" s="125"/>
      <c r="L180" s="125"/>
      <c r="M180" s="125"/>
      <c r="N180" s="125"/>
      <c r="O180" s="125"/>
      <c r="P180" s="125"/>
      <c r="Q180" s="323"/>
      <c r="R180" s="125"/>
      <c r="S180" s="125"/>
      <c r="T180" s="145"/>
      <c r="U180" s="145"/>
      <c r="V180" s="145"/>
      <c r="W180" s="125"/>
      <c r="X180" s="278"/>
      <c r="Y180" s="278"/>
      <c r="Z180" s="125"/>
      <c r="AA180" s="125"/>
      <c r="AB180" s="125"/>
      <c r="AC180" s="278"/>
      <c r="AD180" s="278"/>
      <c r="AE180" s="279"/>
      <c r="AF180" s="278"/>
      <c r="AG180" s="278"/>
      <c r="AH180" s="278"/>
      <c r="AI180" s="278"/>
      <c r="AJ180" s="125"/>
      <c r="AK180" s="125"/>
      <c r="AL180" s="125"/>
      <c r="AM180" s="125"/>
      <c r="AN180" s="125"/>
      <c r="AO180" s="125"/>
      <c r="AP180" s="125"/>
      <c r="AQ180" s="278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256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U180" s="141"/>
      <c r="CX180" s="225"/>
      <c r="CY180" s="225"/>
      <c r="CZ180" s="225"/>
      <c r="DA180" s="225"/>
      <c r="DB180" s="141"/>
      <c r="DC180" s="141"/>
      <c r="DD180" s="141"/>
      <c r="DE180" s="141"/>
      <c r="DF180" s="141"/>
      <c r="DG180" s="141"/>
      <c r="DH180" s="141"/>
      <c r="DI180" s="141"/>
      <c r="DJ180" s="141"/>
      <c r="DK180" s="141"/>
      <c r="DL180" s="141"/>
      <c r="DM180" s="141"/>
      <c r="DN180" s="141"/>
      <c r="DO180" s="141"/>
      <c r="DP180" s="141"/>
      <c r="DQ180" s="141"/>
      <c r="DR180" s="141"/>
      <c r="DS180" s="141"/>
      <c r="DT180" s="141"/>
      <c r="DU180" s="141"/>
      <c r="DV180" s="141"/>
      <c r="DW180" s="141"/>
      <c r="DX180" s="141"/>
      <c r="DY180" s="141"/>
      <c r="DZ180" s="141"/>
      <c r="EA180" s="141"/>
      <c r="EB180" s="141"/>
      <c r="EC180" s="141"/>
      <c r="ED180" s="342"/>
      <c r="EE180" s="342"/>
    </row>
    <row r="181" spans="1:135" s="52" customFormat="1" ht="13.5" hidden="1" customHeight="1" outlineLevel="1" x14ac:dyDescent="0.2">
      <c r="A181" s="141"/>
      <c r="B181" s="171"/>
      <c r="C181" s="141"/>
      <c r="D181" s="143"/>
      <c r="E181" s="142"/>
      <c r="F181" s="141"/>
      <c r="G181" s="144"/>
      <c r="H181" s="142"/>
      <c r="I181" s="142"/>
      <c r="J181" s="125"/>
      <c r="K181" s="125"/>
      <c r="L181" s="125"/>
      <c r="M181" s="125"/>
      <c r="N181" s="125"/>
      <c r="O181" s="125"/>
      <c r="P181" s="125"/>
      <c r="Q181" s="323"/>
      <c r="R181" s="125"/>
      <c r="S181" s="125"/>
      <c r="T181" s="145"/>
      <c r="U181" s="145"/>
      <c r="V181" s="145"/>
      <c r="W181" s="125"/>
      <c r="X181" s="278"/>
      <c r="Y181" s="278"/>
      <c r="Z181" s="125"/>
      <c r="AA181" s="125"/>
      <c r="AB181" s="125"/>
      <c r="AC181" s="278"/>
      <c r="AD181" s="278"/>
      <c r="AE181" s="279"/>
      <c r="AF181" s="278"/>
      <c r="AG181" s="278"/>
      <c r="AH181" s="278"/>
      <c r="AI181" s="278"/>
      <c r="AJ181" s="125"/>
      <c r="AK181" s="125"/>
      <c r="AL181" s="125"/>
      <c r="AM181" s="125"/>
      <c r="AN181" s="125"/>
      <c r="AO181" s="125"/>
      <c r="AP181" s="125"/>
      <c r="AQ181" s="278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256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U181" s="141"/>
      <c r="CX181" s="225"/>
      <c r="CY181" s="225"/>
      <c r="CZ181" s="225"/>
      <c r="DA181" s="225"/>
      <c r="DB181" s="141"/>
      <c r="DC181" s="141"/>
      <c r="DD181" s="141"/>
      <c r="DE181" s="141"/>
      <c r="DF181" s="141"/>
      <c r="DG181" s="141"/>
      <c r="DH181" s="141"/>
      <c r="DI181" s="141"/>
      <c r="DJ181" s="141"/>
      <c r="DK181" s="141"/>
      <c r="DL181" s="141"/>
      <c r="DM181" s="141"/>
      <c r="DN181" s="141"/>
      <c r="DO181" s="141"/>
      <c r="DP181" s="141"/>
      <c r="DQ181" s="141"/>
      <c r="DR181" s="141"/>
      <c r="DS181" s="141"/>
      <c r="DT181" s="141"/>
      <c r="DU181" s="141"/>
      <c r="DV181" s="141"/>
      <c r="DW181" s="141"/>
      <c r="DX181" s="141"/>
      <c r="DY181" s="141"/>
      <c r="DZ181" s="141"/>
      <c r="EA181" s="141"/>
      <c r="EB181" s="141"/>
      <c r="EC181" s="141"/>
      <c r="ED181" s="342"/>
      <c r="EE181" s="342"/>
    </row>
    <row r="182" spans="1:135" s="52" customFormat="1" ht="13.5" hidden="1" customHeight="1" outlineLevel="1" x14ac:dyDescent="0.2">
      <c r="A182" s="141"/>
      <c r="B182" s="171"/>
      <c r="C182" s="141"/>
      <c r="D182" s="143"/>
      <c r="E182" s="142"/>
      <c r="F182" s="141"/>
      <c r="G182" s="144"/>
      <c r="H182" s="142"/>
      <c r="I182" s="142"/>
      <c r="J182" s="125"/>
      <c r="K182" s="125"/>
      <c r="L182" s="125"/>
      <c r="M182" s="125"/>
      <c r="N182" s="125"/>
      <c r="O182" s="125"/>
      <c r="P182" s="125"/>
      <c r="Q182" s="323"/>
      <c r="R182" s="125"/>
      <c r="S182" s="125"/>
      <c r="T182" s="145"/>
      <c r="U182" s="145"/>
      <c r="V182" s="145"/>
      <c r="W182" s="125"/>
      <c r="X182" s="278"/>
      <c r="Y182" s="278"/>
      <c r="Z182" s="125"/>
      <c r="AA182" s="125"/>
      <c r="AB182" s="125"/>
      <c r="AC182" s="278"/>
      <c r="AD182" s="278"/>
      <c r="AE182" s="279"/>
      <c r="AF182" s="278"/>
      <c r="AG182" s="278"/>
      <c r="AH182" s="278"/>
      <c r="AI182" s="278"/>
      <c r="AJ182" s="125"/>
      <c r="AK182" s="125"/>
      <c r="AL182" s="125"/>
      <c r="AM182" s="125"/>
      <c r="AN182" s="125"/>
      <c r="AO182" s="125"/>
      <c r="AP182" s="125"/>
      <c r="AQ182" s="278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256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U182" s="141"/>
      <c r="CX182" s="225"/>
      <c r="CY182" s="225"/>
      <c r="CZ182" s="225"/>
      <c r="DA182" s="225"/>
      <c r="DB182" s="141"/>
      <c r="DC182" s="141"/>
      <c r="DD182" s="141"/>
      <c r="DE182" s="141"/>
      <c r="DF182" s="141"/>
      <c r="DG182" s="141"/>
      <c r="DH182" s="141"/>
      <c r="DI182" s="141"/>
      <c r="DJ182" s="141"/>
      <c r="DK182" s="141"/>
      <c r="DL182" s="141"/>
      <c r="DM182" s="141"/>
      <c r="DN182" s="141"/>
      <c r="DO182" s="141"/>
      <c r="DP182" s="141"/>
      <c r="DQ182" s="141"/>
      <c r="DR182" s="141"/>
      <c r="DS182" s="141"/>
      <c r="DT182" s="141"/>
      <c r="DU182" s="141"/>
      <c r="DV182" s="141"/>
      <c r="DW182" s="141"/>
      <c r="DX182" s="141"/>
      <c r="DY182" s="141"/>
      <c r="DZ182" s="141"/>
      <c r="EA182" s="141"/>
      <c r="EB182" s="141"/>
      <c r="EC182" s="141"/>
      <c r="ED182" s="342"/>
      <c r="EE182" s="342"/>
    </row>
    <row r="183" spans="1:135" s="52" customFormat="1" ht="13.5" hidden="1" customHeight="1" outlineLevel="1" x14ac:dyDescent="0.2">
      <c r="A183" s="141"/>
      <c r="B183" s="171"/>
      <c r="C183" s="141"/>
      <c r="D183" s="143"/>
      <c r="E183" s="142"/>
      <c r="F183" s="141"/>
      <c r="G183" s="144"/>
      <c r="H183" s="142"/>
      <c r="I183" s="142"/>
      <c r="J183" s="125"/>
      <c r="K183" s="125"/>
      <c r="L183" s="125"/>
      <c r="M183" s="125"/>
      <c r="N183" s="125"/>
      <c r="O183" s="125"/>
      <c r="P183" s="125"/>
      <c r="Q183" s="323"/>
      <c r="R183" s="125"/>
      <c r="S183" s="125"/>
      <c r="T183" s="145"/>
      <c r="U183" s="145"/>
      <c r="V183" s="145"/>
      <c r="W183" s="125"/>
      <c r="X183" s="278"/>
      <c r="Y183" s="278"/>
      <c r="Z183" s="125"/>
      <c r="AA183" s="125"/>
      <c r="AB183" s="125"/>
      <c r="AC183" s="278"/>
      <c r="AD183" s="278"/>
      <c r="AE183" s="279"/>
      <c r="AF183" s="278"/>
      <c r="AG183" s="278"/>
      <c r="AH183" s="278"/>
      <c r="AI183" s="278"/>
      <c r="AJ183" s="125"/>
      <c r="AK183" s="125"/>
      <c r="AL183" s="125"/>
      <c r="AM183" s="125"/>
      <c r="AN183" s="125"/>
      <c r="AO183" s="125"/>
      <c r="AP183" s="125"/>
      <c r="AQ183" s="278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256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U183" s="141"/>
      <c r="CX183" s="225"/>
      <c r="CY183" s="225"/>
      <c r="CZ183" s="225"/>
      <c r="DA183" s="225"/>
      <c r="DB183" s="141"/>
      <c r="DC183" s="141"/>
      <c r="DD183" s="141"/>
      <c r="DE183" s="141"/>
      <c r="DF183" s="141"/>
      <c r="DG183" s="141"/>
      <c r="DH183" s="141"/>
      <c r="DI183" s="141"/>
      <c r="DJ183" s="141"/>
      <c r="DK183" s="141"/>
      <c r="DL183" s="141"/>
      <c r="DM183" s="141"/>
      <c r="DN183" s="141"/>
      <c r="DO183" s="141"/>
      <c r="DP183" s="141"/>
      <c r="DQ183" s="141"/>
      <c r="DR183" s="141"/>
      <c r="DS183" s="141"/>
      <c r="DT183" s="141"/>
      <c r="DU183" s="141"/>
      <c r="DV183" s="141"/>
      <c r="DW183" s="141"/>
      <c r="DX183" s="141"/>
      <c r="DY183" s="141"/>
      <c r="DZ183" s="141"/>
      <c r="EA183" s="141"/>
      <c r="EB183" s="141"/>
      <c r="EC183" s="141"/>
      <c r="ED183" s="342"/>
      <c r="EE183" s="342"/>
    </row>
    <row r="184" spans="1:135" s="52" customFormat="1" ht="13.5" hidden="1" customHeight="1" outlineLevel="1" x14ac:dyDescent="0.2">
      <c r="A184" s="141"/>
      <c r="B184" s="171"/>
      <c r="C184" s="141"/>
      <c r="D184" s="143"/>
      <c r="E184" s="142"/>
      <c r="F184" s="141"/>
      <c r="G184" s="144"/>
      <c r="H184" s="142"/>
      <c r="I184" s="142"/>
      <c r="J184" s="125"/>
      <c r="K184" s="125"/>
      <c r="L184" s="125"/>
      <c r="M184" s="125"/>
      <c r="N184" s="125"/>
      <c r="O184" s="125"/>
      <c r="P184" s="125"/>
      <c r="Q184" s="323"/>
      <c r="R184" s="125"/>
      <c r="S184" s="125"/>
      <c r="T184" s="145"/>
      <c r="U184" s="145"/>
      <c r="V184" s="145"/>
      <c r="W184" s="125"/>
      <c r="X184" s="278"/>
      <c r="Y184" s="278"/>
      <c r="Z184" s="125"/>
      <c r="AA184" s="125"/>
      <c r="AB184" s="125"/>
      <c r="AC184" s="278"/>
      <c r="AD184" s="278"/>
      <c r="AE184" s="279"/>
      <c r="AF184" s="278"/>
      <c r="AG184" s="278"/>
      <c r="AH184" s="278"/>
      <c r="AI184" s="278"/>
      <c r="AJ184" s="125"/>
      <c r="AK184" s="125"/>
      <c r="AL184" s="125"/>
      <c r="AM184" s="125"/>
      <c r="AN184" s="125"/>
      <c r="AO184" s="125"/>
      <c r="AP184" s="125"/>
      <c r="AQ184" s="278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256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U184" s="141"/>
      <c r="CX184" s="225"/>
      <c r="CY184" s="225"/>
      <c r="CZ184" s="225"/>
      <c r="DA184" s="225"/>
      <c r="DB184" s="141"/>
      <c r="DC184" s="141"/>
      <c r="DD184" s="141"/>
      <c r="DE184" s="141"/>
      <c r="DF184" s="141"/>
      <c r="DG184" s="141"/>
      <c r="DH184" s="141"/>
      <c r="DI184" s="141"/>
      <c r="DJ184" s="141"/>
      <c r="DK184" s="141"/>
      <c r="DL184" s="141"/>
      <c r="DM184" s="141"/>
      <c r="DN184" s="141"/>
      <c r="DO184" s="141"/>
      <c r="DP184" s="141"/>
      <c r="DQ184" s="141"/>
      <c r="DR184" s="141"/>
      <c r="DS184" s="141"/>
      <c r="DT184" s="141"/>
      <c r="DU184" s="141"/>
      <c r="DV184" s="141"/>
      <c r="DW184" s="141"/>
      <c r="DX184" s="141"/>
      <c r="DY184" s="141"/>
      <c r="DZ184" s="141"/>
      <c r="EA184" s="141"/>
      <c r="EB184" s="141"/>
      <c r="EC184" s="141"/>
      <c r="ED184" s="342"/>
      <c r="EE184" s="342"/>
    </row>
    <row r="185" spans="1:135" s="52" customFormat="1" ht="13.5" hidden="1" customHeight="1" outlineLevel="1" x14ac:dyDescent="0.2">
      <c r="A185" s="141"/>
      <c r="B185" s="171"/>
      <c r="C185" s="141"/>
      <c r="D185" s="143"/>
      <c r="E185" s="142"/>
      <c r="F185" s="141"/>
      <c r="G185" s="144"/>
      <c r="H185" s="142"/>
      <c r="I185" s="142"/>
      <c r="J185" s="125"/>
      <c r="K185" s="125"/>
      <c r="L185" s="125"/>
      <c r="M185" s="125"/>
      <c r="N185" s="125"/>
      <c r="O185" s="125"/>
      <c r="P185" s="125"/>
      <c r="Q185" s="323"/>
      <c r="R185" s="125"/>
      <c r="S185" s="125"/>
      <c r="T185" s="145"/>
      <c r="U185" s="145"/>
      <c r="V185" s="145"/>
      <c r="W185" s="125"/>
      <c r="X185" s="278"/>
      <c r="Y185" s="278"/>
      <c r="Z185" s="125"/>
      <c r="AA185" s="125"/>
      <c r="AB185" s="125"/>
      <c r="AC185" s="278"/>
      <c r="AD185" s="278"/>
      <c r="AE185" s="279"/>
      <c r="AF185" s="278"/>
      <c r="AG185" s="278"/>
      <c r="AH185" s="278"/>
      <c r="AI185" s="278"/>
      <c r="AJ185" s="125"/>
      <c r="AK185" s="125"/>
      <c r="AL185" s="125"/>
      <c r="AM185" s="125"/>
      <c r="AN185" s="125"/>
      <c r="AO185" s="125"/>
      <c r="AP185" s="125"/>
      <c r="AQ185" s="278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256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U185" s="141"/>
      <c r="CX185" s="225"/>
      <c r="CY185" s="225"/>
      <c r="CZ185" s="225"/>
      <c r="DA185" s="225"/>
      <c r="DB185" s="141"/>
      <c r="DC185" s="141"/>
      <c r="DD185" s="141"/>
      <c r="DE185" s="141"/>
      <c r="DF185" s="141"/>
      <c r="DG185" s="141"/>
      <c r="DH185" s="141"/>
      <c r="DI185" s="141"/>
      <c r="DJ185" s="141"/>
      <c r="DK185" s="141"/>
      <c r="DL185" s="141"/>
      <c r="DM185" s="141"/>
      <c r="DN185" s="141"/>
      <c r="DO185" s="141"/>
      <c r="DP185" s="141"/>
      <c r="DQ185" s="141"/>
      <c r="DR185" s="141"/>
      <c r="DS185" s="141"/>
      <c r="DT185" s="141"/>
      <c r="DU185" s="141"/>
      <c r="DV185" s="141"/>
      <c r="DW185" s="141"/>
      <c r="DX185" s="141"/>
      <c r="DY185" s="141"/>
      <c r="DZ185" s="141"/>
      <c r="EA185" s="141"/>
      <c r="EB185" s="141"/>
      <c r="EC185" s="141"/>
      <c r="ED185" s="342"/>
      <c r="EE185" s="342"/>
    </row>
    <row r="186" spans="1:135" s="52" customFormat="1" ht="13.5" hidden="1" customHeight="1" outlineLevel="1" x14ac:dyDescent="0.2">
      <c r="A186" s="141"/>
      <c r="B186" s="171"/>
      <c r="C186" s="141"/>
      <c r="D186" s="143"/>
      <c r="E186" s="142"/>
      <c r="F186" s="141"/>
      <c r="G186" s="144"/>
      <c r="H186" s="142"/>
      <c r="I186" s="142"/>
      <c r="J186" s="125"/>
      <c r="K186" s="125"/>
      <c r="L186" s="125"/>
      <c r="M186" s="125"/>
      <c r="N186" s="125"/>
      <c r="O186" s="125"/>
      <c r="P186" s="125"/>
      <c r="Q186" s="323"/>
      <c r="R186" s="125"/>
      <c r="S186" s="125"/>
      <c r="T186" s="145"/>
      <c r="U186" s="145"/>
      <c r="V186" s="145"/>
      <c r="W186" s="125"/>
      <c r="X186" s="278"/>
      <c r="Y186" s="278"/>
      <c r="Z186" s="125"/>
      <c r="AA186" s="125"/>
      <c r="AB186" s="125"/>
      <c r="AC186" s="278"/>
      <c r="AD186" s="278"/>
      <c r="AE186" s="279"/>
      <c r="AF186" s="278"/>
      <c r="AG186" s="278"/>
      <c r="AH186" s="278"/>
      <c r="AI186" s="278"/>
      <c r="AJ186" s="125"/>
      <c r="AK186" s="125"/>
      <c r="AL186" s="125"/>
      <c r="AM186" s="125"/>
      <c r="AN186" s="125"/>
      <c r="AO186" s="125"/>
      <c r="AP186" s="125"/>
      <c r="AQ186" s="278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256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U186" s="141"/>
      <c r="CX186" s="225"/>
      <c r="CY186" s="225"/>
      <c r="CZ186" s="225"/>
      <c r="DA186" s="225"/>
      <c r="DB186" s="141"/>
      <c r="DC186" s="141"/>
      <c r="DD186" s="141"/>
      <c r="DE186" s="141"/>
      <c r="DF186" s="141"/>
      <c r="DG186" s="141"/>
      <c r="DH186" s="141"/>
      <c r="DI186" s="141"/>
      <c r="DJ186" s="141"/>
      <c r="DK186" s="141"/>
      <c r="DL186" s="141"/>
      <c r="DM186" s="141"/>
      <c r="DN186" s="141"/>
      <c r="DO186" s="141"/>
      <c r="DP186" s="141"/>
      <c r="DQ186" s="141"/>
      <c r="DR186" s="141"/>
      <c r="DS186" s="141"/>
      <c r="DT186" s="141"/>
      <c r="DU186" s="141"/>
      <c r="DV186" s="141"/>
      <c r="DW186" s="141"/>
      <c r="DX186" s="141"/>
      <c r="DY186" s="141"/>
      <c r="DZ186" s="141"/>
      <c r="EA186" s="141"/>
      <c r="EB186" s="141"/>
      <c r="EC186" s="141"/>
      <c r="ED186" s="342"/>
      <c r="EE186" s="342"/>
    </row>
    <row r="187" spans="1:135" s="52" customFormat="1" ht="13.5" hidden="1" customHeight="1" outlineLevel="1" x14ac:dyDescent="0.2">
      <c r="A187" s="141"/>
      <c r="B187" s="171"/>
      <c r="C187" s="141"/>
      <c r="D187" s="143"/>
      <c r="E187" s="142"/>
      <c r="F187" s="141"/>
      <c r="G187" s="144"/>
      <c r="H187" s="142"/>
      <c r="I187" s="142"/>
      <c r="J187" s="125"/>
      <c r="K187" s="125"/>
      <c r="L187" s="125"/>
      <c r="M187" s="125"/>
      <c r="N187" s="125"/>
      <c r="O187" s="125"/>
      <c r="P187" s="125"/>
      <c r="Q187" s="323"/>
      <c r="R187" s="125"/>
      <c r="S187" s="125"/>
      <c r="T187" s="145"/>
      <c r="U187" s="145"/>
      <c r="V187" s="145"/>
      <c r="W187" s="125"/>
      <c r="X187" s="278"/>
      <c r="Y187" s="278"/>
      <c r="Z187" s="125"/>
      <c r="AA187" s="125"/>
      <c r="AB187" s="125"/>
      <c r="AC187" s="278"/>
      <c r="AD187" s="278"/>
      <c r="AE187" s="279"/>
      <c r="AF187" s="278"/>
      <c r="AG187" s="278"/>
      <c r="AH187" s="278"/>
      <c r="AI187" s="278"/>
      <c r="AJ187" s="125"/>
      <c r="AK187" s="125"/>
      <c r="AL187" s="125"/>
      <c r="AM187" s="125"/>
      <c r="AN187" s="125"/>
      <c r="AO187" s="125"/>
      <c r="AP187" s="125"/>
      <c r="AQ187" s="278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256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U187" s="141"/>
      <c r="CX187" s="225"/>
      <c r="CY187" s="225"/>
      <c r="CZ187" s="225"/>
      <c r="DA187" s="225"/>
      <c r="DB187" s="141"/>
      <c r="DC187" s="141"/>
      <c r="DD187" s="141"/>
      <c r="DE187" s="141"/>
      <c r="DF187" s="141"/>
      <c r="DG187" s="141"/>
      <c r="DH187" s="141"/>
      <c r="DI187" s="141"/>
      <c r="DJ187" s="141"/>
      <c r="DK187" s="141"/>
      <c r="DL187" s="141"/>
      <c r="DM187" s="141"/>
      <c r="DN187" s="141"/>
      <c r="DO187" s="141"/>
      <c r="DP187" s="141"/>
      <c r="DQ187" s="141"/>
      <c r="DR187" s="141"/>
      <c r="DS187" s="141"/>
      <c r="DT187" s="141"/>
      <c r="DU187" s="141"/>
      <c r="DV187" s="141"/>
      <c r="DW187" s="141"/>
      <c r="DX187" s="141"/>
      <c r="DY187" s="141"/>
      <c r="DZ187" s="141"/>
      <c r="EA187" s="141"/>
      <c r="EB187" s="141"/>
      <c r="EC187" s="141"/>
      <c r="ED187" s="342"/>
      <c r="EE187" s="342"/>
    </row>
    <row r="188" spans="1:135" s="52" customFormat="1" ht="13.5" hidden="1" customHeight="1" outlineLevel="1" x14ac:dyDescent="0.2">
      <c r="A188" s="141"/>
      <c r="B188" s="171"/>
      <c r="C188" s="141"/>
      <c r="D188" s="143"/>
      <c r="E188" s="142"/>
      <c r="F188" s="141"/>
      <c r="G188" s="144"/>
      <c r="H188" s="142"/>
      <c r="I188" s="142"/>
      <c r="J188" s="125"/>
      <c r="K188" s="125"/>
      <c r="L188" s="125"/>
      <c r="M188" s="125"/>
      <c r="N188" s="125"/>
      <c r="O188" s="125"/>
      <c r="P188" s="125"/>
      <c r="Q188" s="323"/>
      <c r="R188" s="125"/>
      <c r="S188" s="125"/>
      <c r="T188" s="145"/>
      <c r="U188" s="145"/>
      <c r="V188" s="145"/>
      <c r="W188" s="125"/>
      <c r="X188" s="278"/>
      <c r="Y188" s="278"/>
      <c r="Z188" s="125"/>
      <c r="AA188" s="125"/>
      <c r="AB188" s="125"/>
      <c r="AC188" s="278"/>
      <c r="AD188" s="278"/>
      <c r="AE188" s="279"/>
      <c r="AF188" s="278"/>
      <c r="AG188" s="278"/>
      <c r="AH188" s="278"/>
      <c r="AI188" s="278"/>
      <c r="AJ188" s="125"/>
      <c r="AK188" s="125"/>
      <c r="AL188" s="125"/>
      <c r="AM188" s="125"/>
      <c r="AN188" s="125"/>
      <c r="AO188" s="125"/>
      <c r="AP188" s="125"/>
      <c r="AQ188" s="278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256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U188" s="141"/>
      <c r="CX188" s="225"/>
      <c r="CY188" s="225"/>
      <c r="CZ188" s="225"/>
      <c r="DA188" s="225"/>
      <c r="DB188" s="141"/>
      <c r="DC188" s="141"/>
      <c r="DD188" s="141"/>
      <c r="DE188" s="141"/>
      <c r="DF188" s="141"/>
      <c r="DG188" s="141"/>
      <c r="DH188" s="141"/>
      <c r="DI188" s="141"/>
      <c r="DJ188" s="141"/>
      <c r="DK188" s="141"/>
      <c r="DL188" s="141"/>
      <c r="DM188" s="141"/>
      <c r="DN188" s="141"/>
      <c r="DO188" s="141"/>
      <c r="DP188" s="141"/>
      <c r="DQ188" s="141"/>
      <c r="DR188" s="141"/>
      <c r="DS188" s="141"/>
      <c r="DT188" s="141"/>
      <c r="DU188" s="141"/>
      <c r="DV188" s="141"/>
      <c r="DW188" s="141"/>
      <c r="DX188" s="141"/>
      <c r="DY188" s="141"/>
      <c r="DZ188" s="141"/>
      <c r="EA188" s="141"/>
      <c r="EB188" s="141"/>
      <c r="EC188" s="141"/>
      <c r="ED188" s="342"/>
      <c r="EE188" s="342"/>
    </row>
    <row r="189" spans="1:135" s="52" customFormat="1" ht="13.5" hidden="1" customHeight="1" outlineLevel="1" x14ac:dyDescent="0.2">
      <c r="A189" s="141"/>
      <c r="B189" s="171"/>
      <c r="C189" s="141"/>
      <c r="D189" s="143"/>
      <c r="E189" s="142"/>
      <c r="F189" s="141"/>
      <c r="G189" s="144"/>
      <c r="H189" s="142"/>
      <c r="I189" s="142"/>
      <c r="J189" s="125"/>
      <c r="K189" s="125"/>
      <c r="L189" s="125"/>
      <c r="M189" s="125"/>
      <c r="N189" s="125"/>
      <c r="O189" s="125"/>
      <c r="P189" s="125"/>
      <c r="Q189" s="323"/>
      <c r="R189" s="125"/>
      <c r="S189" s="125"/>
      <c r="T189" s="145"/>
      <c r="U189" s="145"/>
      <c r="V189" s="145"/>
      <c r="W189" s="125"/>
      <c r="X189" s="278"/>
      <c r="Y189" s="278"/>
      <c r="Z189" s="125"/>
      <c r="AA189" s="125"/>
      <c r="AB189" s="125"/>
      <c r="AC189" s="278"/>
      <c r="AD189" s="278"/>
      <c r="AE189" s="279"/>
      <c r="AF189" s="278"/>
      <c r="AG189" s="278"/>
      <c r="AH189" s="278"/>
      <c r="AI189" s="278"/>
      <c r="AJ189" s="125"/>
      <c r="AK189" s="125"/>
      <c r="AL189" s="125"/>
      <c r="AM189" s="125"/>
      <c r="AN189" s="125"/>
      <c r="AO189" s="125"/>
      <c r="AP189" s="125"/>
      <c r="AQ189" s="278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256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U189" s="141"/>
      <c r="CX189" s="225"/>
      <c r="CY189" s="225"/>
      <c r="CZ189" s="225"/>
      <c r="DA189" s="225"/>
      <c r="DB189" s="141"/>
      <c r="DC189" s="141"/>
      <c r="DD189" s="141"/>
      <c r="DE189" s="141"/>
      <c r="DF189" s="141"/>
      <c r="DG189" s="141"/>
      <c r="DH189" s="141"/>
      <c r="DI189" s="141"/>
      <c r="DJ189" s="141"/>
      <c r="DK189" s="141"/>
      <c r="DL189" s="141"/>
      <c r="DM189" s="141"/>
      <c r="DN189" s="141"/>
      <c r="DO189" s="141"/>
      <c r="DP189" s="141"/>
      <c r="DQ189" s="141"/>
      <c r="DR189" s="141"/>
      <c r="DS189" s="141"/>
      <c r="DT189" s="141"/>
      <c r="DU189" s="141"/>
      <c r="DV189" s="141"/>
      <c r="DW189" s="141"/>
      <c r="DX189" s="141"/>
      <c r="DY189" s="141"/>
      <c r="DZ189" s="141"/>
      <c r="EA189" s="141"/>
      <c r="EB189" s="141"/>
      <c r="EC189" s="141"/>
      <c r="ED189" s="342"/>
      <c r="EE189" s="342"/>
    </row>
    <row r="190" spans="1:135" s="52" customFormat="1" ht="13.5" hidden="1" customHeight="1" outlineLevel="1" x14ac:dyDescent="0.2">
      <c r="A190" s="141"/>
      <c r="B190" s="171"/>
      <c r="C190" s="141"/>
      <c r="D190" s="143"/>
      <c r="E190" s="142"/>
      <c r="F190" s="141"/>
      <c r="G190" s="144"/>
      <c r="H190" s="142"/>
      <c r="I190" s="142"/>
      <c r="J190" s="125"/>
      <c r="K190" s="125"/>
      <c r="L190" s="125"/>
      <c r="M190" s="125"/>
      <c r="N190" s="125"/>
      <c r="O190" s="125"/>
      <c r="P190" s="125"/>
      <c r="Q190" s="323"/>
      <c r="R190" s="125"/>
      <c r="S190" s="125"/>
      <c r="T190" s="145"/>
      <c r="U190" s="145"/>
      <c r="V190" s="145"/>
      <c r="W190" s="125"/>
      <c r="X190" s="278"/>
      <c r="Y190" s="278"/>
      <c r="Z190" s="125"/>
      <c r="AA190" s="125"/>
      <c r="AB190" s="125"/>
      <c r="AC190" s="278"/>
      <c r="AD190" s="278"/>
      <c r="AE190" s="279"/>
      <c r="AF190" s="278"/>
      <c r="AG190" s="278"/>
      <c r="AH190" s="278"/>
      <c r="AI190" s="278"/>
      <c r="AJ190" s="125"/>
      <c r="AK190" s="125"/>
      <c r="AL190" s="125"/>
      <c r="AM190" s="125"/>
      <c r="AN190" s="125"/>
      <c r="AO190" s="125"/>
      <c r="AP190" s="125"/>
      <c r="AQ190" s="278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256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U190" s="141"/>
      <c r="CX190" s="225"/>
      <c r="CY190" s="225"/>
      <c r="CZ190" s="225"/>
      <c r="DA190" s="225"/>
      <c r="DB190" s="141"/>
      <c r="DC190" s="141"/>
      <c r="DD190" s="141"/>
      <c r="DE190" s="141"/>
      <c r="DF190" s="141"/>
      <c r="DG190" s="141"/>
      <c r="DH190" s="141"/>
      <c r="DI190" s="141"/>
      <c r="DJ190" s="141"/>
      <c r="DK190" s="141"/>
      <c r="DL190" s="141"/>
      <c r="DM190" s="141"/>
      <c r="DN190" s="141"/>
      <c r="DO190" s="141"/>
      <c r="DP190" s="141"/>
      <c r="DQ190" s="141"/>
      <c r="DR190" s="141"/>
      <c r="DS190" s="141"/>
      <c r="DT190" s="141"/>
      <c r="DU190" s="141"/>
      <c r="DV190" s="141"/>
      <c r="DW190" s="141"/>
      <c r="DX190" s="141"/>
      <c r="DY190" s="141"/>
      <c r="DZ190" s="141"/>
      <c r="EA190" s="141"/>
      <c r="EB190" s="141"/>
      <c r="EC190" s="141"/>
      <c r="ED190" s="342"/>
      <c r="EE190" s="342"/>
    </row>
    <row r="191" spans="1:135" s="52" customFormat="1" ht="13.5" hidden="1" customHeight="1" outlineLevel="1" x14ac:dyDescent="0.2">
      <c r="A191" s="141"/>
      <c r="B191" s="171"/>
      <c r="C191" s="141"/>
      <c r="D191" s="143"/>
      <c r="E191" s="142"/>
      <c r="F191" s="141"/>
      <c r="G191" s="144"/>
      <c r="H191" s="142"/>
      <c r="I191" s="142"/>
      <c r="J191" s="125"/>
      <c r="K191" s="125"/>
      <c r="L191" s="125"/>
      <c r="M191" s="125"/>
      <c r="N191" s="125"/>
      <c r="O191" s="125"/>
      <c r="P191" s="125"/>
      <c r="Q191" s="323"/>
      <c r="R191" s="125"/>
      <c r="S191" s="125"/>
      <c r="T191" s="145"/>
      <c r="U191" s="145"/>
      <c r="V191" s="145"/>
      <c r="W191" s="125"/>
      <c r="X191" s="278"/>
      <c r="Y191" s="278"/>
      <c r="Z191" s="125"/>
      <c r="AA191" s="125"/>
      <c r="AB191" s="125"/>
      <c r="AC191" s="278"/>
      <c r="AD191" s="278"/>
      <c r="AE191" s="279"/>
      <c r="AF191" s="278"/>
      <c r="AG191" s="278"/>
      <c r="AH191" s="278"/>
      <c r="AI191" s="278"/>
      <c r="AJ191" s="125"/>
      <c r="AK191" s="125"/>
      <c r="AL191" s="125"/>
      <c r="AM191" s="125"/>
      <c r="AN191" s="125"/>
      <c r="AO191" s="125"/>
      <c r="AP191" s="125"/>
      <c r="AQ191" s="278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256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U191" s="141"/>
      <c r="CX191" s="225"/>
      <c r="CY191" s="225"/>
      <c r="CZ191" s="225"/>
      <c r="DA191" s="225"/>
      <c r="DB191" s="141"/>
      <c r="DC191" s="141"/>
      <c r="DD191" s="141"/>
      <c r="DE191" s="141"/>
      <c r="DF191" s="141"/>
      <c r="DG191" s="141"/>
      <c r="DH191" s="141"/>
      <c r="DI191" s="141"/>
      <c r="DJ191" s="141"/>
      <c r="DK191" s="141"/>
      <c r="DL191" s="141"/>
      <c r="DM191" s="141"/>
      <c r="DN191" s="141"/>
      <c r="DO191" s="141"/>
      <c r="DP191" s="141"/>
      <c r="DQ191" s="141"/>
      <c r="DR191" s="141"/>
      <c r="DS191" s="141"/>
      <c r="DT191" s="141"/>
      <c r="DU191" s="141"/>
      <c r="DV191" s="141"/>
      <c r="DW191" s="141"/>
      <c r="DX191" s="141"/>
      <c r="DY191" s="141"/>
      <c r="DZ191" s="141"/>
      <c r="EA191" s="141"/>
      <c r="EB191" s="141"/>
      <c r="EC191" s="141"/>
      <c r="ED191" s="342"/>
      <c r="EE191" s="342"/>
    </row>
    <row r="192" spans="1:135" s="52" customFormat="1" ht="13.5" hidden="1" customHeight="1" outlineLevel="1" x14ac:dyDescent="0.2">
      <c r="A192" s="141"/>
      <c r="B192" s="171"/>
      <c r="C192" s="141"/>
      <c r="D192" s="143"/>
      <c r="E192" s="142"/>
      <c r="F192" s="141"/>
      <c r="G192" s="144"/>
      <c r="H192" s="142"/>
      <c r="I192" s="142"/>
      <c r="J192" s="125"/>
      <c r="K192" s="125"/>
      <c r="L192" s="125"/>
      <c r="M192" s="125"/>
      <c r="N192" s="125"/>
      <c r="O192" s="125"/>
      <c r="P192" s="125"/>
      <c r="Q192" s="323"/>
      <c r="R192" s="125"/>
      <c r="S192" s="125"/>
      <c r="T192" s="145"/>
      <c r="U192" s="145"/>
      <c r="V192" s="145"/>
      <c r="W192" s="125"/>
      <c r="X192" s="278"/>
      <c r="Y192" s="278"/>
      <c r="Z192" s="125"/>
      <c r="AA192" s="125"/>
      <c r="AB192" s="125"/>
      <c r="AC192" s="278"/>
      <c r="AD192" s="278"/>
      <c r="AE192" s="279"/>
      <c r="AF192" s="278"/>
      <c r="AG192" s="278"/>
      <c r="AH192" s="278"/>
      <c r="AI192" s="278"/>
      <c r="AJ192" s="125"/>
      <c r="AK192" s="125"/>
      <c r="AL192" s="125"/>
      <c r="AM192" s="125"/>
      <c r="AN192" s="125"/>
      <c r="AO192" s="125"/>
      <c r="AP192" s="125"/>
      <c r="AQ192" s="278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256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U192" s="141"/>
      <c r="CX192" s="225"/>
      <c r="CY192" s="225"/>
      <c r="CZ192" s="225"/>
      <c r="DA192" s="225"/>
      <c r="DB192" s="141"/>
      <c r="DC192" s="141"/>
      <c r="DD192" s="141"/>
      <c r="DE192" s="141"/>
      <c r="DF192" s="141"/>
      <c r="DG192" s="141"/>
      <c r="DH192" s="141"/>
      <c r="DI192" s="141"/>
      <c r="DJ192" s="141"/>
      <c r="DK192" s="141"/>
      <c r="DL192" s="141"/>
      <c r="DM192" s="141"/>
      <c r="DN192" s="141"/>
      <c r="DO192" s="141"/>
      <c r="DP192" s="141"/>
      <c r="DQ192" s="141"/>
      <c r="DR192" s="141"/>
      <c r="DS192" s="141"/>
      <c r="DT192" s="141"/>
      <c r="DU192" s="141"/>
      <c r="DV192" s="141"/>
      <c r="DW192" s="141"/>
      <c r="DX192" s="141"/>
      <c r="DY192" s="141"/>
      <c r="DZ192" s="141"/>
      <c r="EA192" s="141"/>
      <c r="EB192" s="141"/>
      <c r="EC192" s="141"/>
      <c r="ED192" s="342"/>
      <c r="EE192" s="342"/>
    </row>
    <row r="193" spans="1:135" s="52" customFormat="1" ht="13.5" hidden="1" customHeight="1" outlineLevel="1" x14ac:dyDescent="0.2">
      <c r="A193" s="141"/>
      <c r="B193" s="171"/>
      <c r="C193" s="141"/>
      <c r="D193" s="143"/>
      <c r="E193" s="142"/>
      <c r="F193" s="141"/>
      <c r="G193" s="144"/>
      <c r="H193" s="142"/>
      <c r="I193" s="142"/>
      <c r="J193" s="125"/>
      <c r="K193" s="125"/>
      <c r="L193" s="125"/>
      <c r="M193" s="125"/>
      <c r="N193" s="125"/>
      <c r="O193" s="125"/>
      <c r="P193" s="125"/>
      <c r="Q193" s="323"/>
      <c r="R193" s="125"/>
      <c r="S193" s="125"/>
      <c r="T193" s="145"/>
      <c r="U193" s="145"/>
      <c r="V193" s="145"/>
      <c r="W193" s="125"/>
      <c r="X193" s="278"/>
      <c r="Y193" s="278"/>
      <c r="Z193" s="125"/>
      <c r="AA193" s="125"/>
      <c r="AB193" s="125"/>
      <c r="AC193" s="278"/>
      <c r="AD193" s="278"/>
      <c r="AE193" s="279"/>
      <c r="AF193" s="278"/>
      <c r="AG193" s="278"/>
      <c r="AH193" s="278"/>
      <c r="AI193" s="278"/>
      <c r="AJ193" s="125"/>
      <c r="AK193" s="125"/>
      <c r="AL193" s="125"/>
      <c r="AM193" s="125"/>
      <c r="AN193" s="125"/>
      <c r="AO193" s="125"/>
      <c r="AP193" s="125"/>
      <c r="AQ193" s="278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256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U193" s="141"/>
      <c r="CX193" s="225"/>
      <c r="CY193" s="225"/>
      <c r="CZ193" s="225"/>
      <c r="DA193" s="225"/>
      <c r="DB193" s="141"/>
      <c r="DC193" s="141"/>
      <c r="DD193" s="141"/>
      <c r="DE193" s="141"/>
      <c r="DF193" s="141"/>
      <c r="DG193" s="141"/>
      <c r="DH193" s="141"/>
      <c r="DI193" s="141"/>
      <c r="DJ193" s="141"/>
      <c r="DK193" s="141"/>
      <c r="DL193" s="141"/>
      <c r="DM193" s="141"/>
      <c r="DN193" s="141"/>
      <c r="DO193" s="141"/>
      <c r="DP193" s="141"/>
      <c r="DQ193" s="141"/>
      <c r="DR193" s="141"/>
      <c r="DS193" s="141"/>
      <c r="DT193" s="141"/>
      <c r="DU193" s="141"/>
      <c r="DV193" s="141"/>
      <c r="DW193" s="141"/>
      <c r="DX193" s="141"/>
      <c r="DY193" s="141"/>
      <c r="DZ193" s="141"/>
      <c r="EA193" s="141"/>
      <c r="EB193" s="141"/>
      <c r="EC193" s="141"/>
      <c r="ED193" s="342"/>
      <c r="EE193" s="342"/>
    </row>
    <row r="194" spans="1:135" s="52" customFormat="1" ht="13.5" hidden="1" customHeight="1" outlineLevel="1" x14ac:dyDescent="0.2">
      <c r="A194" s="141"/>
      <c r="B194" s="171"/>
      <c r="C194" s="141"/>
      <c r="D194" s="143"/>
      <c r="E194" s="142"/>
      <c r="F194" s="141"/>
      <c r="G194" s="144"/>
      <c r="H194" s="142"/>
      <c r="I194" s="142"/>
      <c r="J194" s="125"/>
      <c r="K194" s="125"/>
      <c r="L194" s="125"/>
      <c r="M194" s="125"/>
      <c r="N194" s="125"/>
      <c r="O194" s="125"/>
      <c r="P194" s="125"/>
      <c r="Q194" s="323"/>
      <c r="R194" s="125"/>
      <c r="S194" s="125"/>
      <c r="T194" s="145"/>
      <c r="U194" s="145"/>
      <c r="V194" s="145"/>
      <c r="W194" s="125"/>
      <c r="X194" s="278"/>
      <c r="Y194" s="278"/>
      <c r="Z194" s="125"/>
      <c r="AA194" s="125"/>
      <c r="AB194" s="125"/>
      <c r="AC194" s="278"/>
      <c r="AD194" s="278"/>
      <c r="AE194" s="279"/>
      <c r="AF194" s="278"/>
      <c r="AG194" s="278"/>
      <c r="AH194" s="278"/>
      <c r="AI194" s="278"/>
      <c r="AJ194" s="125"/>
      <c r="AK194" s="125"/>
      <c r="AL194" s="125"/>
      <c r="AM194" s="125"/>
      <c r="AN194" s="125"/>
      <c r="AO194" s="125"/>
      <c r="AP194" s="125"/>
      <c r="AQ194" s="278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256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U194" s="141"/>
      <c r="CX194" s="225"/>
      <c r="CY194" s="225"/>
      <c r="CZ194" s="225"/>
      <c r="DA194" s="225"/>
      <c r="DB194" s="141"/>
      <c r="DC194" s="141"/>
      <c r="DD194" s="141"/>
      <c r="DE194" s="141"/>
      <c r="DF194" s="141"/>
      <c r="DG194" s="141"/>
      <c r="DH194" s="141"/>
      <c r="DI194" s="141"/>
      <c r="DJ194" s="141"/>
      <c r="DK194" s="141"/>
      <c r="DL194" s="141"/>
      <c r="DM194" s="141"/>
      <c r="DN194" s="141"/>
      <c r="DO194" s="141"/>
      <c r="DP194" s="141"/>
      <c r="DQ194" s="141"/>
      <c r="DR194" s="141"/>
      <c r="DS194" s="141"/>
      <c r="DT194" s="141"/>
      <c r="DU194" s="141"/>
      <c r="DV194" s="141"/>
      <c r="DW194" s="141"/>
      <c r="DX194" s="141"/>
      <c r="DY194" s="141"/>
      <c r="DZ194" s="141"/>
      <c r="EA194" s="141"/>
      <c r="EB194" s="141"/>
      <c r="EC194" s="141"/>
      <c r="ED194" s="342"/>
      <c r="EE194" s="342"/>
    </row>
    <row r="195" spans="1:135" s="52" customFormat="1" ht="13.5" hidden="1" customHeight="1" outlineLevel="1" x14ac:dyDescent="0.2">
      <c r="A195" s="141"/>
      <c r="B195" s="171"/>
      <c r="C195" s="141"/>
      <c r="D195" s="143"/>
      <c r="E195" s="142"/>
      <c r="F195" s="141"/>
      <c r="G195" s="144"/>
      <c r="H195" s="142"/>
      <c r="I195" s="142"/>
      <c r="J195" s="125"/>
      <c r="K195" s="125"/>
      <c r="L195" s="125"/>
      <c r="M195" s="125"/>
      <c r="N195" s="125"/>
      <c r="O195" s="125"/>
      <c r="P195" s="125"/>
      <c r="Q195" s="323"/>
      <c r="R195" s="125"/>
      <c r="S195" s="125"/>
      <c r="T195" s="145"/>
      <c r="U195" s="145"/>
      <c r="V195" s="145"/>
      <c r="W195" s="125"/>
      <c r="X195" s="278"/>
      <c r="Y195" s="278"/>
      <c r="Z195" s="125"/>
      <c r="AA195" s="125"/>
      <c r="AB195" s="125"/>
      <c r="AC195" s="278"/>
      <c r="AD195" s="278"/>
      <c r="AE195" s="279"/>
      <c r="AF195" s="278"/>
      <c r="AG195" s="278"/>
      <c r="AH195" s="278"/>
      <c r="AI195" s="278"/>
      <c r="AJ195" s="125"/>
      <c r="AK195" s="125"/>
      <c r="AL195" s="125"/>
      <c r="AM195" s="125"/>
      <c r="AN195" s="125"/>
      <c r="AO195" s="125"/>
      <c r="AP195" s="125"/>
      <c r="AQ195" s="278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256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U195" s="141"/>
      <c r="CX195" s="225"/>
      <c r="CY195" s="225"/>
      <c r="CZ195" s="225"/>
      <c r="DA195" s="225"/>
      <c r="DB195" s="141"/>
      <c r="DC195" s="141"/>
      <c r="DD195" s="141"/>
      <c r="DE195" s="141"/>
      <c r="DF195" s="141"/>
      <c r="DG195" s="141"/>
      <c r="DH195" s="141"/>
      <c r="DI195" s="141"/>
      <c r="DJ195" s="141"/>
      <c r="DK195" s="141"/>
      <c r="DL195" s="141"/>
      <c r="DM195" s="141"/>
      <c r="DN195" s="141"/>
      <c r="DO195" s="141"/>
      <c r="DP195" s="141"/>
      <c r="DQ195" s="141"/>
      <c r="DR195" s="141"/>
      <c r="DS195" s="141"/>
      <c r="DT195" s="141"/>
      <c r="DU195" s="141"/>
      <c r="DV195" s="141"/>
      <c r="DW195" s="141"/>
      <c r="DX195" s="141"/>
      <c r="DY195" s="141"/>
      <c r="DZ195" s="141"/>
      <c r="EA195" s="141"/>
      <c r="EB195" s="141"/>
      <c r="EC195" s="141"/>
      <c r="ED195" s="342"/>
      <c r="EE195" s="342"/>
    </row>
    <row r="196" spans="1:135" s="52" customFormat="1" ht="13.5" hidden="1" customHeight="1" outlineLevel="1" x14ac:dyDescent="0.2">
      <c r="A196" s="141"/>
      <c r="B196" s="171"/>
      <c r="C196" s="141"/>
      <c r="D196" s="143"/>
      <c r="E196" s="142"/>
      <c r="F196" s="141"/>
      <c r="G196" s="144"/>
      <c r="H196" s="142"/>
      <c r="I196" s="142"/>
      <c r="J196" s="125"/>
      <c r="K196" s="125"/>
      <c r="L196" s="125"/>
      <c r="M196" s="125"/>
      <c r="N196" s="125"/>
      <c r="O196" s="125"/>
      <c r="P196" s="125"/>
      <c r="Q196" s="323"/>
      <c r="R196" s="125"/>
      <c r="S196" s="125"/>
      <c r="T196" s="145"/>
      <c r="U196" s="145"/>
      <c r="V196" s="145"/>
      <c r="W196" s="125"/>
      <c r="X196" s="278"/>
      <c r="Y196" s="278"/>
      <c r="Z196" s="125"/>
      <c r="AA196" s="125"/>
      <c r="AB196" s="125"/>
      <c r="AC196" s="278"/>
      <c r="AD196" s="278"/>
      <c r="AE196" s="279"/>
      <c r="AF196" s="278"/>
      <c r="AG196" s="278"/>
      <c r="AH196" s="278"/>
      <c r="AI196" s="278"/>
      <c r="AJ196" s="125"/>
      <c r="AK196" s="125"/>
      <c r="AL196" s="125"/>
      <c r="AM196" s="125"/>
      <c r="AN196" s="125"/>
      <c r="AO196" s="125"/>
      <c r="AP196" s="125"/>
      <c r="AQ196" s="278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256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U196" s="141"/>
      <c r="CX196" s="225"/>
      <c r="CY196" s="225"/>
      <c r="CZ196" s="225"/>
      <c r="DA196" s="225"/>
      <c r="DB196" s="141"/>
      <c r="DC196" s="141"/>
      <c r="DD196" s="141"/>
      <c r="DE196" s="141"/>
      <c r="DF196" s="141"/>
      <c r="DG196" s="141"/>
      <c r="DH196" s="141"/>
      <c r="DI196" s="141"/>
      <c r="DJ196" s="141"/>
      <c r="DK196" s="141"/>
      <c r="DL196" s="141"/>
      <c r="DM196" s="141"/>
      <c r="DN196" s="141"/>
      <c r="DO196" s="141"/>
      <c r="DP196" s="141"/>
      <c r="DQ196" s="141"/>
      <c r="DR196" s="141"/>
      <c r="DS196" s="141"/>
      <c r="DT196" s="141"/>
      <c r="DU196" s="141"/>
      <c r="DV196" s="141"/>
      <c r="DW196" s="141"/>
      <c r="DX196" s="141"/>
      <c r="DY196" s="141"/>
      <c r="DZ196" s="141"/>
      <c r="EA196" s="141"/>
      <c r="EB196" s="141"/>
      <c r="EC196" s="141"/>
      <c r="ED196" s="342"/>
      <c r="EE196" s="342"/>
    </row>
    <row r="197" spans="1:135" s="52" customFormat="1" ht="13.5" hidden="1" customHeight="1" outlineLevel="1" x14ac:dyDescent="0.2">
      <c r="A197" s="141"/>
      <c r="B197" s="171"/>
      <c r="C197" s="141"/>
      <c r="D197" s="143"/>
      <c r="E197" s="142"/>
      <c r="F197" s="141"/>
      <c r="G197" s="144"/>
      <c r="H197" s="142"/>
      <c r="I197" s="142"/>
      <c r="J197" s="125"/>
      <c r="K197" s="125"/>
      <c r="L197" s="125"/>
      <c r="M197" s="125"/>
      <c r="N197" s="125"/>
      <c r="O197" s="125"/>
      <c r="P197" s="125"/>
      <c r="Q197" s="323"/>
      <c r="R197" s="125"/>
      <c r="S197" s="125"/>
      <c r="T197" s="145"/>
      <c r="U197" s="145"/>
      <c r="V197" s="145"/>
      <c r="W197" s="125"/>
      <c r="X197" s="278"/>
      <c r="Y197" s="278"/>
      <c r="Z197" s="125"/>
      <c r="AA197" s="125"/>
      <c r="AB197" s="125"/>
      <c r="AC197" s="278"/>
      <c r="AD197" s="278"/>
      <c r="AE197" s="279"/>
      <c r="AF197" s="278"/>
      <c r="AG197" s="278"/>
      <c r="AH197" s="278"/>
      <c r="AI197" s="278"/>
      <c r="AJ197" s="125"/>
      <c r="AK197" s="125"/>
      <c r="AL197" s="125"/>
      <c r="AM197" s="125"/>
      <c r="AN197" s="125"/>
      <c r="AO197" s="125"/>
      <c r="AP197" s="125"/>
      <c r="AQ197" s="278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256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U197" s="141"/>
      <c r="CX197" s="225"/>
      <c r="CY197" s="225"/>
      <c r="CZ197" s="225"/>
      <c r="DA197" s="225"/>
      <c r="DB197" s="141"/>
      <c r="DC197" s="141"/>
      <c r="DD197" s="141"/>
      <c r="DE197" s="141"/>
      <c r="DF197" s="141"/>
      <c r="DG197" s="141"/>
      <c r="DH197" s="141"/>
      <c r="DI197" s="141"/>
      <c r="DJ197" s="141"/>
      <c r="DK197" s="141"/>
      <c r="DL197" s="141"/>
      <c r="DM197" s="141"/>
      <c r="DN197" s="141"/>
      <c r="DO197" s="141"/>
      <c r="DP197" s="141"/>
      <c r="DQ197" s="141"/>
      <c r="DR197" s="141"/>
      <c r="DS197" s="141"/>
      <c r="DT197" s="141"/>
      <c r="DU197" s="141"/>
      <c r="DV197" s="141"/>
      <c r="DW197" s="141"/>
      <c r="DX197" s="141"/>
      <c r="DY197" s="141"/>
      <c r="DZ197" s="141"/>
      <c r="EA197" s="141"/>
      <c r="EB197" s="141"/>
      <c r="EC197" s="141"/>
      <c r="ED197" s="342"/>
      <c r="EE197" s="342"/>
    </row>
    <row r="198" spans="1:135" s="52" customFormat="1" ht="13.5" hidden="1" customHeight="1" outlineLevel="1" x14ac:dyDescent="0.2">
      <c r="A198" s="141"/>
      <c r="B198" s="171"/>
      <c r="C198" s="141"/>
      <c r="D198" s="143"/>
      <c r="E198" s="142"/>
      <c r="F198" s="141"/>
      <c r="G198" s="144"/>
      <c r="H198" s="142"/>
      <c r="I198" s="142"/>
      <c r="J198" s="125"/>
      <c r="K198" s="125"/>
      <c r="L198" s="125"/>
      <c r="M198" s="125"/>
      <c r="N198" s="125"/>
      <c r="O198" s="125"/>
      <c r="P198" s="125"/>
      <c r="Q198" s="323"/>
      <c r="R198" s="125"/>
      <c r="S198" s="125"/>
      <c r="T198" s="145"/>
      <c r="U198" s="145"/>
      <c r="V198" s="145"/>
      <c r="W198" s="125"/>
      <c r="X198" s="278"/>
      <c r="Y198" s="278"/>
      <c r="Z198" s="125"/>
      <c r="AA198" s="125"/>
      <c r="AB198" s="125"/>
      <c r="AC198" s="278"/>
      <c r="AD198" s="278"/>
      <c r="AE198" s="279"/>
      <c r="AF198" s="278"/>
      <c r="AG198" s="278"/>
      <c r="AH198" s="278"/>
      <c r="AI198" s="278"/>
      <c r="AJ198" s="125"/>
      <c r="AK198" s="125"/>
      <c r="AL198" s="125"/>
      <c r="AM198" s="125"/>
      <c r="AN198" s="125"/>
      <c r="AO198" s="125"/>
      <c r="AP198" s="125"/>
      <c r="AQ198" s="278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256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U198" s="141"/>
      <c r="CX198" s="225"/>
      <c r="CY198" s="225"/>
      <c r="CZ198" s="225"/>
      <c r="DA198" s="225"/>
      <c r="DB198" s="141"/>
      <c r="DC198" s="141"/>
      <c r="DD198" s="141"/>
      <c r="DE198" s="141"/>
      <c r="DF198" s="141"/>
      <c r="DG198" s="141"/>
      <c r="DH198" s="141"/>
      <c r="DI198" s="141"/>
      <c r="DJ198" s="141"/>
      <c r="DK198" s="141"/>
      <c r="DL198" s="141"/>
      <c r="DM198" s="141"/>
      <c r="DN198" s="141"/>
      <c r="DO198" s="141"/>
      <c r="DP198" s="141"/>
      <c r="DQ198" s="141"/>
      <c r="DR198" s="141"/>
      <c r="DS198" s="141"/>
      <c r="DT198" s="141"/>
      <c r="DU198" s="141"/>
      <c r="DV198" s="141"/>
      <c r="DW198" s="141"/>
      <c r="DX198" s="141"/>
      <c r="DY198" s="141"/>
      <c r="DZ198" s="141"/>
      <c r="EA198" s="141"/>
      <c r="EB198" s="141"/>
      <c r="EC198" s="141"/>
      <c r="ED198" s="342"/>
      <c r="EE198" s="342"/>
    </row>
    <row r="199" spans="1:135" s="52" customFormat="1" ht="13.5" hidden="1" customHeight="1" outlineLevel="1" x14ac:dyDescent="0.2">
      <c r="A199" s="141"/>
      <c r="B199" s="171"/>
      <c r="C199" s="141"/>
      <c r="D199" s="143"/>
      <c r="E199" s="142"/>
      <c r="F199" s="141"/>
      <c r="G199" s="144"/>
      <c r="H199" s="142"/>
      <c r="I199" s="142"/>
      <c r="J199" s="125"/>
      <c r="K199" s="125"/>
      <c r="L199" s="125"/>
      <c r="M199" s="125"/>
      <c r="N199" s="125"/>
      <c r="O199" s="125"/>
      <c r="P199" s="125"/>
      <c r="Q199" s="323"/>
      <c r="R199" s="125"/>
      <c r="S199" s="125"/>
      <c r="T199" s="145"/>
      <c r="U199" s="145"/>
      <c r="V199" s="145"/>
      <c r="W199" s="125"/>
      <c r="X199" s="278"/>
      <c r="Y199" s="278"/>
      <c r="Z199" s="125"/>
      <c r="AA199" s="125"/>
      <c r="AB199" s="125"/>
      <c r="AC199" s="278"/>
      <c r="AD199" s="278"/>
      <c r="AE199" s="279"/>
      <c r="AF199" s="278"/>
      <c r="AG199" s="278"/>
      <c r="AH199" s="278"/>
      <c r="AI199" s="278"/>
      <c r="AJ199" s="125"/>
      <c r="AK199" s="125"/>
      <c r="AL199" s="125"/>
      <c r="AM199" s="125"/>
      <c r="AN199" s="125"/>
      <c r="AO199" s="125"/>
      <c r="AP199" s="125"/>
      <c r="AQ199" s="278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256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U199" s="141"/>
      <c r="CX199" s="225"/>
      <c r="CY199" s="225"/>
      <c r="CZ199" s="225"/>
      <c r="DA199" s="225"/>
      <c r="DB199" s="141"/>
      <c r="DC199" s="141"/>
      <c r="DD199" s="141"/>
      <c r="DE199" s="141"/>
      <c r="DF199" s="141"/>
      <c r="DG199" s="141"/>
      <c r="DH199" s="141"/>
      <c r="DI199" s="141"/>
      <c r="DJ199" s="141"/>
      <c r="DK199" s="141"/>
      <c r="DL199" s="141"/>
      <c r="DM199" s="141"/>
      <c r="DN199" s="141"/>
      <c r="DO199" s="141"/>
      <c r="DP199" s="141"/>
      <c r="DQ199" s="141"/>
      <c r="DR199" s="141"/>
      <c r="DS199" s="141"/>
      <c r="DT199" s="141"/>
      <c r="DU199" s="141"/>
      <c r="DV199" s="141"/>
      <c r="DW199" s="141"/>
      <c r="DX199" s="141"/>
      <c r="DY199" s="141"/>
      <c r="DZ199" s="141"/>
      <c r="EA199" s="141"/>
      <c r="EB199" s="141"/>
      <c r="EC199" s="141"/>
      <c r="ED199" s="342"/>
      <c r="EE199" s="342"/>
    </row>
    <row r="200" spans="1:135" s="52" customFormat="1" ht="13.5" hidden="1" customHeight="1" outlineLevel="1" x14ac:dyDescent="0.2">
      <c r="A200" s="141"/>
      <c r="B200" s="171"/>
      <c r="C200" s="141"/>
      <c r="D200" s="143"/>
      <c r="E200" s="142"/>
      <c r="F200" s="141"/>
      <c r="G200" s="144"/>
      <c r="H200" s="142"/>
      <c r="I200" s="142"/>
      <c r="J200" s="125"/>
      <c r="K200" s="125"/>
      <c r="L200" s="125"/>
      <c r="M200" s="125"/>
      <c r="N200" s="125"/>
      <c r="O200" s="125"/>
      <c r="P200" s="125"/>
      <c r="Q200" s="323"/>
      <c r="R200" s="125"/>
      <c r="S200" s="125"/>
      <c r="T200" s="145"/>
      <c r="U200" s="145"/>
      <c r="V200" s="145"/>
      <c r="W200" s="125"/>
      <c r="X200" s="278"/>
      <c r="Y200" s="278"/>
      <c r="Z200" s="125"/>
      <c r="AA200" s="125"/>
      <c r="AB200" s="125"/>
      <c r="AC200" s="278"/>
      <c r="AD200" s="278"/>
      <c r="AE200" s="279"/>
      <c r="AF200" s="278"/>
      <c r="AG200" s="278"/>
      <c r="AH200" s="278"/>
      <c r="AI200" s="278"/>
      <c r="AJ200" s="125"/>
      <c r="AK200" s="125"/>
      <c r="AL200" s="125"/>
      <c r="AM200" s="125"/>
      <c r="AN200" s="125"/>
      <c r="AO200" s="125"/>
      <c r="AP200" s="125"/>
      <c r="AQ200" s="278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256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U200" s="141"/>
      <c r="CX200" s="225"/>
      <c r="CY200" s="225"/>
      <c r="CZ200" s="225"/>
      <c r="DA200" s="225"/>
      <c r="DB200" s="141"/>
      <c r="DC200" s="141"/>
      <c r="DD200" s="141"/>
      <c r="DE200" s="141"/>
      <c r="DF200" s="141"/>
      <c r="DG200" s="141"/>
      <c r="DH200" s="141"/>
      <c r="DI200" s="141"/>
      <c r="DJ200" s="141"/>
      <c r="DK200" s="141"/>
      <c r="DL200" s="141"/>
      <c r="DM200" s="141"/>
      <c r="DN200" s="141"/>
      <c r="DO200" s="141"/>
      <c r="DP200" s="141"/>
      <c r="DQ200" s="141"/>
      <c r="DR200" s="141"/>
      <c r="DS200" s="141"/>
      <c r="DT200" s="141"/>
      <c r="DU200" s="141"/>
      <c r="DV200" s="141"/>
      <c r="DW200" s="141"/>
      <c r="DX200" s="141"/>
      <c r="DY200" s="141"/>
      <c r="DZ200" s="141"/>
      <c r="EA200" s="141"/>
      <c r="EB200" s="141"/>
      <c r="EC200" s="141"/>
      <c r="ED200" s="342"/>
      <c r="EE200" s="342"/>
    </row>
    <row r="201" spans="1:135" s="52" customFormat="1" ht="13.5" hidden="1" customHeight="1" outlineLevel="1" x14ac:dyDescent="0.2">
      <c r="A201" s="141"/>
      <c r="B201" s="171"/>
      <c r="C201" s="141"/>
      <c r="D201" s="143"/>
      <c r="E201" s="142"/>
      <c r="F201" s="141"/>
      <c r="G201" s="144"/>
      <c r="H201" s="142"/>
      <c r="I201" s="142"/>
      <c r="J201" s="125"/>
      <c r="K201" s="125"/>
      <c r="L201" s="125"/>
      <c r="M201" s="125"/>
      <c r="N201" s="125"/>
      <c r="O201" s="125"/>
      <c r="P201" s="125"/>
      <c r="Q201" s="323"/>
      <c r="R201" s="125"/>
      <c r="S201" s="125"/>
      <c r="T201" s="145"/>
      <c r="U201" s="145"/>
      <c r="V201" s="145"/>
      <c r="W201" s="125"/>
      <c r="X201" s="278"/>
      <c r="Y201" s="278"/>
      <c r="Z201" s="125"/>
      <c r="AA201" s="125"/>
      <c r="AB201" s="125"/>
      <c r="AC201" s="278"/>
      <c r="AD201" s="278"/>
      <c r="AE201" s="279"/>
      <c r="AF201" s="278"/>
      <c r="AG201" s="278"/>
      <c r="AH201" s="278"/>
      <c r="AI201" s="278"/>
      <c r="AJ201" s="125"/>
      <c r="AK201" s="125"/>
      <c r="AL201" s="125"/>
      <c r="AM201" s="125"/>
      <c r="AN201" s="125"/>
      <c r="AO201" s="125"/>
      <c r="AP201" s="125"/>
      <c r="AQ201" s="278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256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U201" s="141"/>
      <c r="CX201" s="225"/>
      <c r="CY201" s="225"/>
      <c r="CZ201" s="225"/>
      <c r="DA201" s="225"/>
      <c r="DB201" s="141"/>
      <c r="DC201" s="141"/>
      <c r="DD201" s="141"/>
      <c r="DE201" s="141"/>
      <c r="DF201" s="141"/>
      <c r="DG201" s="141"/>
      <c r="DH201" s="141"/>
      <c r="DI201" s="141"/>
      <c r="DJ201" s="141"/>
      <c r="DK201" s="141"/>
      <c r="DL201" s="141"/>
      <c r="DM201" s="141"/>
      <c r="DN201" s="141"/>
      <c r="DO201" s="141"/>
      <c r="DP201" s="141"/>
      <c r="DQ201" s="141"/>
      <c r="DR201" s="141"/>
      <c r="DS201" s="141"/>
      <c r="DT201" s="141"/>
      <c r="DU201" s="141"/>
      <c r="DV201" s="141"/>
      <c r="DW201" s="141"/>
      <c r="DX201" s="141"/>
      <c r="DY201" s="141"/>
      <c r="DZ201" s="141"/>
      <c r="EA201" s="141"/>
      <c r="EB201" s="141"/>
      <c r="EC201" s="141"/>
      <c r="ED201" s="342"/>
      <c r="EE201" s="342"/>
    </row>
    <row r="202" spans="1:135" s="52" customFormat="1" ht="13.5" hidden="1" customHeight="1" outlineLevel="1" x14ac:dyDescent="0.2">
      <c r="A202" s="141"/>
      <c r="B202" s="171"/>
      <c r="C202" s="141"/>
      <c r="D202" s="143"/>
      <c r="E202" s="142"/>
      <c r="F202" s="141"/>
      <c r="G202" s="144"/>
      <c r="H202" s="142"/>
      <c r="I202" s="142"/>
      <c r="J202" s="125"/>
      <c r="K202" s="125"/>
      <c r="L202" s="125"/>
      <c r="M202" s="125"/>
      <c r="N202" s="125"/>
      <c r="O202" s="125"/>
      <c r="P202" s="125"/>
      <c r="Q202" s="323"/>
      <c r="R202" s="125"/>
      <c r="S202" s="125"/>
      <c r="T202" s="145"/>
      <c r="U202" s="145"/>
      <c r="V202" s="145"/>
      <c r="W202" s="125"/>
      <c r="X202" s="278"/>
      <c r="Y202" s="278"/>
      <c r="Z202" s="125"/>
      <c r="AA202" s="125"/>
      <c r="AB202" s="125"/>
      <c r="AC202" s="278"/>
      <c r="AD202" s="278"/>
      <c r="AE202" s="279"/>
      <c r="AF202" s="278"/>
      <c r="AG202" s="278"/>
      <c r="AH202" s="278"/>
      <c r="AI202" s="278"/>
      <c r="AJ202" s="125"/>
      <c r="AK202" s="125"/>
      <c r="AL202" s="125"/>
      <c r="AM202" s="125"/>
      <c r="AN202" s="125"/>
      <c r="AO202" s="125"/>
      <c r="AP202" s="125"/>
      <c r="AQ202" s="278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256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U202" s="141"/>
      <c r="CX202" s="225"/>
      <c r="CY202" s="225"/>
      <c r="CZ202" s="225"/>
      <c r="DA202" s="225"/>
      <c r="DB202" s="141"/>
      <c r="DC202" s="141"/>
      <c r="DD202" s="141"/>
      <c r="DE202" s="141"/>
      <c r="DF202" s="141"/>
      <c r="DG202" s="141"/>
      <c r="DH202" s="141"/>
      <c r="DI202" s="141"/>
      <c r="DJ202" s="141"/>
      <c r="DK202" s="141"/>
      <c r="DL202" s="141"/>
      <c r="DM202" s="141"/>
      <c r="DN202" s="141"/>
      <c r="DO202" s="141"/>
      <c r="DP202" s="141"/>
      <c r="DQ202" s="141"/>
      <c r="DR202" s="141"/>
      <c r="DS202" s="141"/>
      <c r="DT202" s="141"/>
      <c r="DU202" s="141"/>
      <c r="DV202" s="141"/>
      <c r="DW202" s="141"/>
      <c r="DX202" s="141"/>
      <c r="DY202" s="141"/>
      <c r="DZ202" s="141"/>
      <c r="EA202" s="141"/>
      <c r="EB202" s="141"/>
      <c r="EC202" s="141"/>
      <c r="ED202" s="342"/>
      <c r="EE202" s="342"/>
    </row>
    <row r="203" spans="1:135" s="52" customFormat="1" ht="13.5" hidden="1" customHeight="1" outlineLevel="1" x14ac:dyDescent="0.2">
      <c r="A203" s="141"/>
      <c r="B203" s="171"/>
      <c r="C203" s="141"/>
      <c r="D203" s="143"/>
      <c r="E203" s="142"/>
      <c r="F203" s="141"/>
      <c r="G203" s="144"/>
      <c r="H203" s="142"/>
      <c r="I203" s="142"/>
      <c r="J203" s="125"/>
      <c r="K203" s="125"/>
      <c r="L203" s="125"/>
      <c r="M203" s="125"/>
      <c r="N203" s="125"/>
      <c r="O203" s="125"/>
      <c r="P203" s="125"/>
      <c r="Q203" s="323"/>
      <c r="R203" s="125"/>
      <c r="S203" s="125"/>
      <c r="T203" s="145"/>
      <c r="U203" s="145"/>
      <c r="V203" s="145"/>
      <c r="W203" s="125"/>
      <c r="X203" s="278"/>
      <c r="Y203" s="278"/>
      <c r="Z203" s="125"/>
      <c r="AA203" s="125"/>
      <c r="AB203" s="125"/>
      <c r="AC203" s="278"/>
      <c r="AD203" s="278"/>
      <c r="AE203" s="279"/>
      <c r="AF203" s="278"/>
      <c r="AG203" s="278"/>
      <c r="AH203" s="278"/>
      <c r="AI203" s="278"/>
      <c r="AJ203" s="125"/>
      <c r="AK203" s="125"/>
      <c r="AL203" s="125"/>
      <c r="AM203" s="125"/>
      <c r="AN203" s="125"/>
      <c r="AO203" s="125"/>
      <c r="AP203" s="125"/>
      <c r="AQ203" s="278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256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U203" s="141"/>
      <c r="CX203" s="225"/>
      <c r="CY203" s="225"/>
      <c r="CZ203" s="225"/>
      <c r="DA203" s="225"/>
      <c r="DB203" s="141"/>
      <c r="DC203" s="141"/>
      <c r="DD203" s="141"/>
      <c r="DE203" s="141"/>
      <c r="DF203" s="141"/>
      <c r="DG203" s="141"/>
      <c r="DH203" s="141"/>
      <c r="DI203" s="141"/>
      <c r="DJ203" s="141"/>
      <c r="DK203" s="141"/>
      <c r="DL203" s="141"/>
      <c r="DM203" s="141"/>
      <c r="DN203" s="141"/>
      <c r="DO203" s="141"/>
      <c r="DP203" s="141"/>
      <c r="DQ203" s="141"/>
      <c r="DR203" s="141"/>
      <c r="DS203" s="141"/>
      <c r="DT203" s="141"/>
      <c r="DU203" s="141"/>
      <c r="DV203" s="141"/>
      <c r="DW203" s="141"/>
      <c r="DX203" s="141"/>
      <c r="DY203" s="141"/>
      <c r="DZ203" s="141"/>
      <c r="EA203" s="141"/>
      <c r="EB203" s="141"/>
      <c r="EC203" s="141"/>
      <c r="ED203" s="342"/>
      <c r="EE203" s="342"/>
    </row>
    <row r="204" spans="1:135" s="52" customFormat="1" ht="13.5" hidden="1" customHeight="1" outlineLevel="1" x14ac:dyDescent="0.2">
      <c r="A204" s="141"/>
      <c r="B204" s="171"/>
      <c r="C204" s="141"/>
      <c r="D204" s="143"/>
      <c r="E204" s="142"/>
      <c r="F204" s="141"/>
      <c r="G204" s="144"/>
      <c r="H204" s="142"/>
      <c r="I204" s="142"/>
      <c r="J204" s="125"/>
      <c r="K204" s="125"/>
      <c r="L204" s="125"/>
      <c r="M204" s="125"/>
      <c r="N204" s="125"/>
      <c r="O204" s="125"/>
      <c r="P204" s="125"/>
      <c r="Q204" s="323"/>
      <c r="R204" s="125"/>
      <c r="S204" s="125"/>
      <c r="T204" s="145"/>
      <c r="U204" s="145"/>
      <c r="V204" s="145"/>
      <c r="W204" s="125"/>
      <c r="X204" s="278"/>
      <c r="Y204" s="278"/>
      <c r="Z204" s="125"/>
      <c r="AA204" s="125"/>
      <c r="AB204" s="125"/>
      <c r="AC204" s="278"/>
      <c r="AD204" s="278"/>
      <c r="AE204" s="279"/>
      <c r="AF204" s="278"/>
      <c r="AG204" s="278"/>
      <c r="AH204" s="278"/>
      <c r="AI204" s="278"/>
      <c r="AJ204" s="125"/>
      <c r="AK204" s="125"/>
      <c r="AL204" s="125"/>
      <c r="AM204" s="125"/>
      <c r="AN204" s="125"/>
      <c r="AO204" s="125"/>
      <c r="AP204" s="125"/>
      <c r="AQ204" s="278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256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U204" s="141"/>
      <c r="CX204" s="225"/>
      <c r="CY204" s="225"/>
      <c r="CZ204" s="225"/>
      <c r="DA204" s="225"/>
      <c r="DB204" s="141"/>
      <c r="DC204" s="141"/>
      <c r="DD204" s="141"/>
      <c r="DE204" s="141"/>
      <c r="DF204" s="141"/>
      <c r="DG204" s="141"/>
      <c r="DH204" s="141"/>
      <c r="DI204" s="141"/>
      <c r="DJ204" s="141"/>
      <c r="DK204" s="141"/>
      <c r="DL204" s="141"/>
      <c r="DM204" s="141"/>
      <c r="DN204" s="141"/>
      <c r="DO204" s="141"/>
      <c r="DP204" s="141"/>
      <c r="DQ204" s="141"/>
      <c r="DR204" s="141"/>
      <c r="DS204" s="141"/>
      <c r="DT204" s="141"/>
      <c r="DU204" s="141"/>
      <c r="DV204" s="141"/>
      <c r="DW204" s="141"/>
      <c r="DX204" s="141"/>
      <c r="DY204" s="141"/>
      <c r="DZ204" s="141"/>
      <c r="EA204" s="141"/>
      <c r="EB204" s="141"/>
      <c r="EC204" s="141"/>
      <c r="ED204" s="342"/>
      <c r="EE204" s="342"/>
    </row>
    <row r="205" spans="1:135" s="52" customFormat="1" ht="13.5" hidden="1" customHeight="1" outlineLevel="1" x14ac:dyDescent="0.2">
      <c r="A205" s="141"/>
      <c r="B205" s="171"/>
      <c r="C205" s="141"/>
      <c r="D205" s="143"/>
      <c r="E205" s="142"/>
      <c r="F205" s="141"/>
      <c r="G205" s="144"/>
      <c r="H205" s="142"/>
      <c r="I205" s="142"/>
      <c r="J205" s="125"/>
      <c r="K205" s="125"/>
      <c r="L205" s="125"/>
      <c r="M205" s="125"/>
      <c r="N205" s="125"/>
      <c r="O205" s="125"/>
      <c r="P205" s="125"/>
      <c r="Q205" s="323"/>
      <c r="R205" s="125"/>
      <c r="S205" s="125"/>
      <c r="T205" s="145"/>
      <c r="U205" s="145"/>
      <c r="V205" s="145"/>
      <c r="W205" s="125"/>
      <c r="X205" s="278"/>
      <c r="Y205" s="278"/>
      <c r="Z205" s="125"/>
      <c r="AA205" s="125"/>
      <c r="AB205" s="125"/>
      <c r="AC205" s="278"/>
      <c r="AD205" s="278"/>
      <c r="AE205" s="279"/>
      <c r="AF205" s="278"/>
      <c r="AG205" s="278"/>
      <c r="AH205" s="278"/>
      <c r="AI205" s="278"/>
      <c r="AJ205" s="125"/>
      <c r="AK205" s="125"/>
      <c r="AL205" s="125"/>
      <c r="AM205" s="125"/>
      <c r="AN205" s="125"/>
      <c r="AO205" s="125"/>
      <c r="AP205" s="125"/>
      <c r="AQ205" s="278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256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U205" s="141"/>
      <c r="CX205" s="225"/>
      <c r="CY205" s="225"/>
      <c r="CZ205" s="225"/>
      <c r="DA205" s="225"/>
      <c r="DB205" s="141"/>
      <c r="DC205" s="141"/>
      <c r="DD205" s="141"/>
      <c r="DE205" s="141"/>
      <c r="DF205" s="141"/>
      <c r="DG205" s="141"/>
      <c r="DH205" s="141"/>
      <c r="DI205" s="141"/>
      <c r="DJ205" s="141"/>
      <c r="DK205" s="141"/>
      <c r="DL205" s="141"/>
      <c r="DM205" s="141"/>
      <c r="DN205" s="141"/>
      <c r="DO205" s="141"/>
      <c r="DP205" s="141"/>
      <c r="DQ205" s="141"/>
      <c r="DR205" s="141"/>
      <c r="DS205" s="141"/>
      <c r="DT205" s="141"/>
      <c r="DU205" s="141"/>
      <c r="DV205" s="141"/>
      <c r="DW205" s="141"/>
      <c r="DX205" s="141"/>
      <c r="DY205" s="141"/>
      <c r="DZ205" s="141"/>
      <c r="EA205" s="141"/>
      <c r="EB205" s="141"/>
      <c r="EC205" s="141"/>
      <c r="ED205" s="342"/>
      <c r="EE205" s="342"/>
    </row>
    <row r="206" spans="1:135" s="52" customFormat="1" ht="13.5" hidden="1" customHeight="1" outlineLevel="1" x14ac:dyDescent="0.2">
      <c r="A206" s="141"/>
      <c r="B206" s="171"/>
      <c r="C206" s="141"/>
      <c r="D206" s="143"/>
      <c r="E206" s="142"/>
      <c r="F206" s="141"/>
      <c r="G206" s="144"/>
      <c r="H206" s="142"/>
      <c r="I206" s="142"/>
      <c r="J206" s="125"/>
      <c r="K206" s="125"/>
      <c r="L206" s="125"/>
      <c r="M206" s="125"/>
      <c r="N206" s="125"/>
      <c r="O206" s="125"/>
      <c r="P206" s="125"/>
      <c r="Q206" s="323"/>
      <c r="R206" s="125"/>
      <c r="S206" s="125"/>
      <c r="T206" s="145"/>
      <c r="U206" s="145"/>
      <c r="V206" s="145"/>
      <c r="W206" s="125"/>
      <c r="X206" s="278"/>
      <c r="Y206" s="278"/>
      <c r="Z206" s="125"/>
      <c r="AA206" s="125"/>
      <c r="AB206" s="125"/>
      <c r="AC206" s="278"/>
      <c r="AD206" s="278"/>
      <c r="AE206" s="279"/>
      <c r="AF206" s="278"/>
      <c r="AG206" s="278"/>
      <c r="AH206" s="278"/>
      <c r="AI206" s="278"/>
      <c r="AJ206" s="125"/>
      <c r="AK206" s="125"/>
      <c r="AL206" s="125"/>
      <c r="AM206" s="125"/>
      <c r="AN206" s="125"/>
      <c r="AO206" s="125"/>
      <c r="AP206" s="125"/>
      <c r="AQ206" s="278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256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U206" s="141"/>
      <c r="CX206" s="225"/>
      <c r="CY206" s="225"/>
      <c r="CZ206" s="225"/>
      <c r="DA206" s="225"/>
      <c r="DB206" s="141"/>
      <c r="DC206" s="141"/>
      <c r="DD206" s="141"/>
      <c r="DE206" s="141"/>
      <c r="DF206" s="141"/>
      <c r="DG206" s="141"/>
      <c r="DH206" s="141"/>
      <c r="DI206" s="141"/>
      <c r="DJ206" s="141"/>
      <c r="DK206" s="141"/>
      <c r="DL206" s="141"/>
      <c r="DM206" s="141"/>
      <c r="DN206" s="141"/>
      <c r="DO206" s="141"/>
      <c r="DP206" s="141"/>
      <c r="DQ206" s="141"/>
      <c r="DR206" s="141"/>
      <c r="DS206" s="141"/>
      <c r="DT206" s="141"/>
      <c r="DU206" s="141"/>
      <c r="DV206" s="141"/>
      <c r="DW206" s="141"/>
      <c r="DX206" s="141"/>
      <c r="DY206" s="141"/>
      <c r="DZ206" s="141"/>
      <c r="EA206" s="141"/>
      <c r="EB206" s="141"/>
      <c r="EC206" s="141"/>
      <c r="ED206" s="342"/>
      <c r="EE206" s="342"/>
    </row>
    <row r="207" spans="1:135" s="52" customFormat="1" ht="13.5" hidden="1" customHeight="1" outlineLevel="1" x14ac:dyDescent="0.2">
      <c r="A207" s="141"/>
      <c r="B207" s="171"/>
      <c r="C207" s="141"/>
      <c r="D207" s="143"/>
      <c r="E207" s="142"/>
      <c r="F207" s="141"/>
      <c r="G207" s="144"/>
      <c r="H207" s="142"/>
      <c r="I207" s="142"/>
      <c r="J207" s="125"/>
      <c r="K207" s="125"/>
      <c r="L207" s="125"/>
      <c r="M207" s="125"/>
      <c r="N207" s="125"/>
      <c r="O207" s="125"/>
      <c r="P207" s="125"/>
      <c r="Q207" s="323"/>
      <c r="R207" s="125"/>
      <c r="S207" s="125"/>
      <c r="T207" s="145"/>
      <c r="U207" s="145"/>
      <c r="V207" s="145"/>
      <c r="W207" s="125"/>
      <c r="X207" s="278"/>
      <c r="Y207" s="278"/>
      <c r="Z207" s="125"/>
      <c r="AA207" s="125"/>
      <c r="AB207" s="125"/>
      <c r="AC207" s="278"/>
      <c r="AD207" s="278"/>
      <c r="AE207" s="279"/>
      <c r="AF207" s="278"/>
      <c r="AG207" s="278"/>
      <c r="AH207" s="278"/>
      <c r="AI207" s="278"/>
      <c r="AJ207" s="125"/>
      <c r="AK207" s="125"/>
      <c r="AL207" s="125"/>
      <c r="AM207" s="125"/>
      <c r="AN207" s="125"/>
      <c r="AO207" s="125"/>
      <c r="AP207" s="125"/>
      <c r="AQ207" s="278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256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U207" s="141"/>
      <c r="CX207" s="225"/>
      <c r="CY207" s="225"/>
      <c r="CZ207" s="225"/>
      <c r="DA207" s="225"/>
      <c r="DB207" s="141"/>
      <c r="DC207" s="141"/>
      <c r="DD207" s="141"/>
      <c r="DE207" s="141"/>
      <c r="DF207" s="141"/>
      <c r="DG207" s="141"/>
      <c r="DH207" s="141"/>
      <c r="DI207" s="141"/>
      <c r="DJ207" s="141"/>
      <c r="DK207" s="141"/>
      <c r="DL207" s="141"/>
      <c r="DM207" s="141"/>
      <c r="DN207" s="141"/>
      <c r="DO207" s="141"/>
      <c r="DP207" s="141"/>
      <c r="DQ207" s="141"/>
      <c r="DR207" s="141"/>
      <c r="DS207" s="141"/>
      <c r="DT207" s="141"/>
      <c r="DU207" s="141"/>
      <c r="DV207" s="141"/>
      <c r="DW207" s="141"/>
      <c r="DX207" s="141"/>
      <c r="DY207" s="141"/>
      <c r="DZ207" s="141"/>
      <c r="EA207" s="141"/>
      <c r="EB207" s="141"/>
      <c r="EC207" s="141"/>
      <c r="ED207" s="342"/>
      <c r="EE207" s="342"/>
    </row>
    <row r="208" spans="1:135" s="52" customFormat="1" ht="13.5" hidden="1" customHeight="1" outlineLevel="1" x14ac:dyDescent="0.2">
      <c r="A208" s="141"/>
      <c r="B208" s="171"/>
      <c r="C208" s="141"/>
      <c r="D208" s="143"/>
      <c r="E208" s="142"/>
      <c r="F208" s="141"/>
      <c r="G208" s="144"/>
      <c r="H208" s="142"/>
      <c r="I208" s="142"/>
      <c r="J208" s="125"/>
      <c r="K208" s="125"/>
      <c r="L208" s="125"/>
      <c r="M208" s="125"/>
      <c r="N208" s="125"/>
      <c r="O208" s="125"/>
      <c r="P208" s="125"/>
      <c r="Q208" s="323"/>
      <c r="R208" s="125"/>
      <c r="S208" s="125"/>
      <c r="T208" s="145"/>
      <c r="U208" s="145"/>
      <c r="V208" s="145"/>
      <c r="W208" s="125"/>
      <c r="X208" s="278"/>
      <c r="Y208" s="278"/>
      <c r="Z208" s="125"/>
      <c r="AA208" s="125"/>
      <c r="AB208" s="125"/>
      <c r="AC208" s="278"/>
      <c r="AD208" s="278"/>
      <c r="AE208" s="279"/>
      <c r="AF208" s="278"/>
      <c r="AG208" s="278"/>
      <c r="AH208" s="278"/>
      <c r="AI208" s="278"/>
      <c r="AJ208" s="125"/>
      <c r="AK208" s="125"/>
      <c r="AL208" s="125"/>
      <c r="AM208" s="125"/>
      <c r="AN208" s="125"/>
      <c r="AO208" s="125"/>
      <c r="AP208" s="125"/>
      <c r="AQ208" s="278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256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U208" s="141"/>
      <c r="CX208" s="225"/>
      <c r="CY208" s="225"/>
      <c r="CZ208" s="225"/>
      <c r="DA208" s="225"/>
      <c r="DB208" s="141"/>
      <c r="DC208" s="141"/>
      <c r="DD208" s="141"/>
      <c r="DE208" s="141"/>
      <c r="DF208" s="141"/>
      <c r="DG208" s="141"/>
      <c r="DH208" s="141"/>
      <c r="DI208" s="141"/>
      <c r="DJ208" s="141"/>
      <c r="DK208" s="141"/>
      <c r="DL208" s="141"/>
      <c r="DM208" s="141"/>
      <c r="DN208" s="141"/>
      <c r="DO208" s="141"/>
      <c r="DP208" s="141"/>
      <c r="DQ208" s="141"/>
      <c r="DR208" s="141"/>
      <c r="DS208" s="141"/>
      <c r="DT208" s="141"/>
      <c r="DU208" s="141"/>
      <c r="DV208" s="141"/>
      <c r="DW208" s="141"/>
      <c r="DX208" s="141"/>
      <c r="DY208" s="141"/>
      <c r="DZ208" s="141"/>
      <c r="EA208" s="141"/>
      <c r="EB208" s="141"/>
      <c r="EC208" s="141"/>
      <c r="ED208" s="342"/>
      <c r="EE208" s="342"/>
    </row>
    <row r="209" spans="1:135" s="52" customFormat="1" ht="13.5" hidden="1" customHeight="1" outlineLevel="1" x14ac:dyDescent="0.2">
      <c r="A209" s="141"/>
      <c r="B209" s="171"/>
      <c r="C209" s="141"/>
      <c r="D209" s="143"/>
      <c r="E209" s="142"/>
      <c r="F209" s="141"/>
      <c r="G209" s="144"/>
      <c r="H209" s="142"/>
      <c r="I209" s="142"/>
      <c r="J209" s="125"/>
      <c r="K209" s="125"/>
      <c r="L209" s="125"/>
      <c r="M209" s="125"/>
      <c r="N209" s="125"/>
      <c r="O209" s="125"/>
      <c r="P209" s="125"/>
      <c r="Q209" s="323"/>
      <c r="R209" s="125"/>
      <c r="S209" s="125"/>
      <c r="T209" s="145"/>
      <c r="U209" s="145"/>
      <c r="V209" s="145"/>
      <c r="W209" s="125"/>
      <c r="X209" s="278"/>
      <c r="Y209" s="278"/>
      <c r="Z209" s="125"/>
      <c r="AA209" s="125"/>
      <c r="AB209" s="125"/>
      <c r="AC209" s="278"/>
      <c r="AD209" s="278"/>
      <c r="AE209" s="279"/>
      <c r="AF209" s="278"/>
      <c r="AG209" s="278"/>
      <c r="AH209" s="278"/>
      <c r="AI209" s="278"/>
      <c r="AJ209" s="125"/>
      <c r="AK209" s="125"/>
      <c r="AL209" s="125"/>
      <c r="AM209" s="125"/>
      <c r="AN209" s="125"/>
      <c r="AO209" s="125"/>
      <c r="AP209" s="125"/>
      <c r="AQ209" s="278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256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U209" s="141"/>
      <c r="CX209" s="225"/>
      <c r="CY209" s="225"/>
      <c r="CZ209" s="225"/>
      <c r="DA209" s="225"/>
      <c r="DB209" s="141"/>
      <c r="DC209" s="141"/>
      <c r="DD209" s="141"/>
      <c r="DE209" s="141"/>
      <c r="DF209" s="141"/>
      <c r="DG209" s="141"/>
      <c r="DH209" s="141"/>
      <c r="DI209" s="141"/>
      <c r="DJ209" s="141"/>
      <c r="DK209" s="141"/>
      <c r="DL209" s="141"/>
      <c r="DM209" s="141"/>
      <c r="DN209" s="141"/>
      <c r="DO209" s="141"/>
      <c r="DP209" s="141"/>
      <c r="DQ209" s="141"/>
      <c r="DR209" s="141"/>
      <c r="DS209" s="141"/>
      <c r="DT209" s="141"/>
      <c r="DU209" s="141"/>
      <c r="DV209" s="141"/>
      <c r="DW209" s="141"/>
      <c r="DX209" s="141"/>
      <c r="DY209" s="141"/>
      <c r="DZ209" s="141"/>
      <c r="EA209" s="141"/>
      <c r="EB209" s="141"/>
      <c r="EC209" s="141"/>
      <c r="ED209" s="342"/>
      <c r="EE209" s="342"/>
    </row>
    <row r="210" spans="1:135" s="52" customFormat="1" ht="13.5" hidden="1" customHeight="1" outlineLevel="1" x14ac:dyDescent="0.2">
      <c r="A210" s="141"/>
      <c r="B210" s="171"/>
      <c r="C210" s="141"/>
      <c r="D210" s="143"/>
      <c r="E210" s="142"/>
      <c r="F210" s="141"/>
      <c r="G210" s="144"/>
      <c r="H210" s="142"/>
      <c r="I210" s="142"/>
      <c r="J210" s="125"/>
      <c r="K210" s="125"/>
      <c r="L210" s="125"/>
      <c r="M210" s="125"/>
      <c r="N210" s="125"/>
      <c r="O210" s="125"/>
      <c r="P210" s="125"/>
      <c r="Q210" s="323"/>
      <c r="R210" s="125"/>
      <c r="S210" s="125"/>
      <c r="T210" s="145"/>
      <c r="U210" s="145"/>
      <c r="V210" s="145"/>
      <c r="W210" s="125"/>
      <c r="X210" s="278"/>
      <c r="Y210" s="278"/>
      <c r="Z210" s="125"/>
      <c r="AA210" s="125"/>
      <c r="AB210" s="125"/>
      <c r="AC210" s="278"/>
      <c r="AD210" s="278"/>
      <c r="AE210" s="279"/>
      <c r="AF210" s="278"/>
      <c r="AG210" s="278"/>
      <c r="AH210" s="278"/>
      <c r="AI210" s="278"/>
      <c r="AJ210" s="125"/>
      <c r="AK210" s="125"/>
      <c r="AL210" s="125"/>
      <c r="AM210" s="125"/>
      <c r="AN210" s="125"/>
      <c r="AO210" s="125"/>
      <c r="AP210" s="125"/>
      <c r="AQ210" s="278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256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U210" s="141"/>
      <c r="CX210" s="225"/>
      <c r="CY210" s="225"/>
      <c r="CZ210" s="225"/>
      <c r="DA210" s="225"/>
      <c r="DB210" s="141"/>
      <c r="DC210" s="141"/>
      <c r="DD210" s="141"/>
      <c r="DE210" s="141"/>
      <c r="DF210" s="141"/>
      <c r="DG210" s="141"/>
      <c r="DH210" s="141"/>
      <c r="DI210" s="141"/>
      <c r="DJ210" s="141"/>
      <c r="DK210" s="141"/>
      <c r="DL210" s="141"/>
      <c r="DM210" s="141"/>
      <c r="DN210" s="141"/>
      <c r="DO210" s="141"/>
      <c r="DP210" s="141"/>
      <c r="DQ210" s="141"/>
      <c r="DR210" s="141"/>
      <c r="DS210" s="141"/>
      <c r="DT210" s="141"/>
      <c r="DU210" s="141"/>
      <c r="DV210" s="141"/>
      <c r="DW210" s="141"/>
      <c r="DX210" s="141"/>
      <c r="DY210" s="141"/>
      <c r="DZ210" s="141"/>
      <c r="EA210" s="141"/>
      <c r="EB210" s="141"/>
      <c r="EC210" s="141"/>
      <c r="ED210" s="342"/>
      <c r="EE210" s="342"/>
    </row>
    <row r="211" spans="1:135" s="52" customFormat="1" ht="13.5" hidden="1" customHeight="1" outlineLevel="1" x14ac:dyDescent="0.2">
      <c r="A211" s="141"/>
      <c r="B211" s="171"/>
      <c r="C211" s="141"/>
      <c r="D211" s="143"/>
      <c r="E211" s="142"/>
      <c r="F211" s="141"/>
      <c r="G211" s="144"/>
      <c r="H211" s="142"/>
      <c r="I211" s="142"/>
      <c r="J211" s="125"/>
      <c r="K211" s="125"/>
      <c r="L211" s="125"/>
      <c r="M211" s="125"/>
      <c r="N211" s="125"/>
      <c r="O211" s="125"/>
      <c r="P211" s="125"/>
      <c r="Q211" s="323"/>
      <c r="R211" s="125"/>
      <c r="S211" s="125"/>
      <c r="T211" s="145"/>
      <c r="U211" s="145"/>
      <c r="V211" s="145"/>
      <c r="W211" s="125"/>
      <c r="X211" s="278"/>
      <c r="Y211" s="278"/>
      <c r="Z211" s="125"/>
      <c r="AA211" s="125"/>
      <c r="AB211" s="125"/>
      <c r="AC211" s="278"/>
      <c r="AD211" s="278"/>
      <c r="AE211" s="279"/>
      <c r="AF211" s="278"/>
      <c r="AG211" s="278"/>
      <c r="AH211" s="278"/>
      <c r="AI211" s="278"/>
      <c r="AJ211" s="125"/>
      <c r="AK211" s="125"/>
      <c r="AL211" s="125"/>
      <c r="AM211" s="125"/>
      <c r="AN211" s="125"/>
      <c r="AO211" s="125"/>
      <c r="AP211" s="125"/>
      <c r="AQ211" s="278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256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U211" s="141"/>
      <c r="CX211" s="225"/>
      <c r="CY211" s="225"/>
      <c r="CZ211" s="225"/>
      <c r="DA211" s="225"/>
      <c r="DB211" s="141"/>
      <c r="DC211" s="141"/>
      <c r="DD211" s="141"/>
      <c r="DE211" s="141"/>
      <c r="DF211" s="141"/>
      <c r="DG211" s="141"/>
      <c r="DH211" s="141"/>
      <c r="DI211" s="141"/>
      <c r="DJ211" s="141"/>
      <c r="DK211" s="141"/>
      <c r="DL211" s="141"/>
      <c r="DM211" s="141"/>
      <c r="DN211" s="141"/>
      <c r="DO211" s="141"/>
      <c r="DP211" s="141"/>
      <c r="DQ211" s="141"/>
      <c r="DR211" s="141"/>
      <c r="DS211" s="141"/>
      <c r="DT211" s="141"/>
      <c r="DU211" s="141"/>
      <c r="DV211" s="141"/>
      <c r="DW211" s="141"/>
      <c r="DX211" s="141"/>
      <c r="DY211" s="141"/>
      <c r="DZ211" s="141"/>
      <c r="EA211" s="141"/>
      <c r="EB211" s="141"/>
      <c r="EC211" s="141"/>
      <c r="ED211" s="342"/>
      <c r="EE211" s="342"/>
    </row>
    <row r="212" spans="1:135" s="52" customFormat="1" ht="13.5" hidden="1" customHeight="1" outlineLevel="1" x14ac:dyDescent="0.2">
      <c r="A212" s="141"/>
      <c r="B212" s="171"/>
      <c r="C212" s="141"/>
      <c r="D212" s="143"/>
      <c r="E212" s="142"/>
      <c r="F212" s="141"/>
      <c r="G212" s="144"/>
      <c r="H212" s="142"/>
      <c r="I212" s="142"/>
      <c r="J212" s="125"/>
      <c r="K212" s="125"/>
      <c r="L212" s="125"/>
      <c r="M212" s="125"/>
      <c r="N212" s="125"/>
      <c r="O212" s="125"/>
      <c r="P212" s="125"/>
      <c r="Q212" s="323"/>
      <c r="R212" s="125"/>
      <c r="S212" s="125"/>
      <c r="T212" s="145"/>
      <c r="U212" s="145"/>
      <c r="V212" s="145"/>
      <c r="W212" s="125"/>
      <c r="X212" s="278"/>
      <c r="Y212" s="278"/>
      <c r="Z212" s="125"/>
      <c r="AA212" s="125"/>
      <c r="AB212" s="125"/>
      <c r="AC212" s="278"/>
      <c r="AD212" s="278"/>
      <c r="AE212" s="279"/>
      <c r="AF212" s="278"/>
      <c r="AG212" s="278"/>
      <c r="AH212" s="278"/>
      <c r="AI212" s="278"/>
      <c r="AJ212" s="125"/>
      <c r="AK212" s="125"/>
      <c r="AL212" s="125"/>
      <c r="AM212" s="125"/>
      <c r="AN212" s="125"/>
      <c r="AO212" s="125"/>
      <c r="AP212" s="125"/>
      <c r="AQ212" s="278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256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U212" s="141"/>
      <c r="CX212" s="225"/>
      <c r="CY212" s="225"/>
      <c r="CZ212" s="225"/>
      <c r="DA212" s="225"/>
      <c r="DB212" s="141"/>
      <c r="DC212" s="141"/>
      <c r="DD212" s="141"/>
      <c r="DE212" s="141"/>
      <c r="DF212" s="141"/>
      <c r="DG212" s="141"/>
      <c r="DH212" s="141"/>
      <c r="DI212" s="141"/>
      <c r="DJ212" s="141"/>
      <c r="DK212" s="141"/>
      <c r="DL212" s="141"/>
      <c r="DM212" s="141"/>
      <c r="DN212" s="141"/>
      <c r="DO212" s="141"/>
      <c r="DP212" s="141"/>
      <c r="DQ212" s="141"/>
      <c r="DR212" s="141"/>
      <c r="DS212" s="141"/>
      <c r="DT212" s="141"/>
      <c r="DU212" s="141"/>
      <c r="DV212" s="141"/>
      <c r="DW212" s="141"/>
      <c r="DX212" s="141"/>
      <c r="DY212" s="141"/>
      <c r="DZ212" s="141"/>
      <c r="EA212" s="141"/>
      <c r="EB212" s="141"/>
      <c r="EC212" s="141"/>
      <c r="ED212" s="342"/>
      <c r="EE212" s="342"/>
    </row>
    <row r="213" spans="1:135" s="52" customFormat="1" ht="13.5" hidden="1" customHeight="1" outlineLevel="1" x14ac:dyDescent="0.2">
      <c r="A213" s="141"/>
      <c r="B213" s="171"/>
      <c r="C213" s="141"/>
      <c r="D213" s="143"/>
      <c r="E213" s="142"/>
      <c r="F213" s="141"/>
      <c r="G213" s="144"/>
      <c r="H213" s="142"/>
      <c r="I213" s="142"/>
      <c r="J213" s="125"/>
      <c r="K213" s="125"/>
      <c r="L213" s="125"/>
      <c r="M213" s="125"/>
      <c r="N213" s="125"/>
      <c r="O213" s="125"/>
      <c r="P213" s="125"/>
      <c r="Q213" s="323"/>
      <c r="R213" s="125"/>
      <c r="S213" s="125"/>
      <c r="T213" s="145"/>
      <c r="U213" s="145"/>
      <c r="V213" s="145"/>
      <c r="W213" s="125"/>
      <c r="X213" s="278"/>
      <c r="Y213" s="278"/>
      <c r="Z213" s="125"/>
      <c r="AA213" s="125"/>
      <c r="AB213" s="125"/>
      <c r="AC213" s="278"/>
      <c r="AD213" s="278"/>
      <c r="AE213" s="279"/>
      <c r="AF213" s="278"/>
      <c r="AG213" s="278"/>
      <c r="AH213" s="278"/>
      <c r="AI213" s="278"/>
      <c r="AJ213" s="125"/>
      <c r="AK213" s="125"/>
      <c r="AL213" s="125"/>
      <c r="AM213" s="125"/>
      <c r="AN213" s="125"/>
      <c r="AO213" s="125"/>
      <c r="AP213" s="125"/>
      <c r="AQ213" s="278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256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U213" s="141"/>
      <c r="CX213" s="225"/>
      <c r="CY213" s="225"/>
      <c r="CZ213" s="225"/>
      <c r="DA213" s="225"/>
      <c r="DB213" s="141"/>
      <c r="DC213" s="141"/>
      <c r="DD213" s="141"/>
      <c r="DE213" s="141"/>
      <c r="DF213" s="141"/>
      <c r="DG213" s="141"/>
      <c r="DH213" s="141"/>
      <c r="DI213" s="141"/>
      <c r="DJ213" s="141"/>
      <c r="DK213" s="141"/>
      <c r="DL213" s="141"/>
      <c r="DM213" s="141"/>
      <c r="DN213" s="141"/>
      <c r="DO213" s="141"/>
      <c r="DP213" s="141"/>
      <c r="DQ213" s="141"/>
      <c r="DR213" s="141"/>
      <c r="DS213" s="141"/>
      <c r="DT213" s="141"/>
      <c r="DU213" s="141"/>
      <c r="DV213" s="141"/>
      <c r="DW213" s="141"/>
      <c r="DX213" s="141"/>
      <c r="DY213" s="141"/>
      <c r="DZ213" s="141"/>
      <c r="EA213" s="141"/>
      <c r="EB213" s="141"/>
      <c r="EC213" s="141"/>
      <c r="ED213" s="342"/>
      <c r="EE213" s="342"/>
    </row>
    <row r="214" spans="1:135" s="52" customFormat="1" ht="13.5" hidden="1" customHeight="1" outlineLevel="1" x14ac:dyDescent="0.2">
      <c r="A214" s="141"/>
      <c r="B214" s="171"/>
      <c r="C214" s="141"/>
      <c r="D214" s="143"/>
      <c r="E214" s="142"/>
      <c r="F214" s="141"/>
      <c r="G214" s="144"/>
      <c r="H214" s="142"/>
      <c r="I214" s="142"/>
      <c r="J214" s="125"/>
      <c r="K214" s="125"/>
      <c r="L214" s="125"/>
      <c r="M214" s="125"/>
      <c r="N214" s="125"/>
      <c r="O214" s="125"/>
      <c r="P214" s="125"/>
      <c r="Q214" s="323"/>
      <c r="R214" s="125"/>
      <c r="S214" s="125"/>
      <c r="T214" s="145"/>
      <c r="U214" s="145"/>
      <c r="V214" s="145"/>
      <c r="W214" s="125"/>
      <c r="X214" s="278"/>
      <c r="Y214" s="278"/>
      <c r="Z214" s="125"/>
      <c r="AA214" s="125"/>
      <c r="AB214" s="125"/>
      <c r="AC214" s="278"/>
      <c r="AD214" s="278"/>
      <c r="AE214" s="279"/>
      <c r="AF214" s="278"/>
      <c r="AG214" s="278"/>
      <c r="AH214" s="278"/>
      <c r="AI214" s="278"/>
      <c r="AJ214" s="125"/>
      <c r="AK214" s="125"/>
      <c r="AL214" s="125"/>
      <c r="AM214" s="125"/>
      <c r="AN214" s="125"/>
      <c r="AO214" s="125"/>
      <c r="AP214" s="125"/>
      <c r="AQ214" s="278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256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U214" s="141"/>
      <c r="CX214" s="225"/>
      <c r="CY214" s="225"/>
      <c r="CZ214" s="225"/>
      <c r="DA214" s="225"/>
      <c r="DB214" s="141"/>
      <c r="DC214" s="141"/>
      <c r="DD214" s="141"/>
      <c r="DE214" s="141"/>
      <c r="DF214" s="141"/>
      <c r="DG214" s="141"/>
      <c r="DH214" s="141"/>
      <c r="DI214" s="141"/>
      <c r="DJ214" s="141"/>
      <c r="DK214" s="141"/>
      <c r="DL214" s="141"/>
      <c r="DM214" s="141"/>
      <c r="DN214" s="141"/>
      <c r="DO214" s="141"/>
      <c r="DP214" s="141"/>
      <c r="DQ214" s="141"/>
      <c r="DR214" s="141"/>
      <c r="DS214" s="141"/>
      <c r="DT214" s="141"/>
      <c r="DU214" s="141"/>
      <c r="DV214" s="141"/>
      <c r="DW214" s="141"/>
      <c r="DX214" s="141"/>
      <c r="DY214" s="141"/>
      <c r="DZ214" s="141"/>
      <c r="EA214" s="141"/>
      <c r="EB214" s="141"/>
      <c r="EC214" s="141"/>
      <c r="ED214" s="342"/>
      <c r="EE214" s="342"/>
    </row>
    <row r="215" spans="1:135" s="52" customFormat="1" ht="13.5" hidden="1" customHeight="1" outlineLevel="1" x14ac:dyDescent="0.2">
      <c r="A215" s="141"/>
      <c r="B215" s="171"/>
      <c r="C215" s="141"/>
      <c r="D215" s="143"/>
      <c r="E215" s="142"/>
      <c r="F215" s="141"/>
      <c r="G215" s="144"/>
      <c r="H215" s="142"/>
      <c r="I215" s="142"/>
      <c r="J215" s="125"/>
      <c r="K215" s="125"/>
      <c r="L215" s="125"/>
      <c r="M215" s="125"/>
      <c r="N215" s="125"/>
      <c r="O215" s="125"/>
      <c r="P215" s="125"/>
      <c r="Q215" s="323"/>
      <c r="R215" s="125"/>
      <c r="S215" s="125"/>
      <c r="T215" s="145"/>
      <c r="U215" s="145"/>
      <c r="V215" s="145"/>
      <c r="W215" s="125"/>
      <c r="X215" s="278"/>
      <c r="Y215" s="278"/>
      <c r="Z215" s="125"/>
      <c r="AA215" s="125"/>
      <c r="AB215" s="125"/>
      <c r="AC215" s="278"/>
      <c r="AD215" s="278"/>
      <c r="AE215" s="279"/>
      <c r="AF215" s="278"/>
      <c r="AG215" s="278"/>
      <c r="AH215" s="278"/>
      <c r="AI215" s="278"/>
      <c r="AJ215" s="125"/>
      <c r="AK215" s="125"/>
      <c r="AL215" s="125"/>
      <c r="AM215" s="125"/>
      <c r="AN215" s="125"/>
      <c r="AO215" s="125"/>
      <c r="AP215" s="125"/>
      <c r="AQ215" s="278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256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U215" s="141"/>
      <c r="CX215" s="225"/>
      <c r="CY215" s="225"/>
      <c r="CZ215" s="225"/>
      <c r="DA215" s="225"/>
      <c r="DB215" s="141"/>
      <c r="DC215" s="141"/>
      <c r="DD215" s="141"/>
      <c r="DE215" s="141"/>
      <c r="DF215" s="141"/>
      <c r="DG215" s="141"/>
      <c r="DH215" s="141"/>
      <c r="DI215" s="141"/>
      <c r="DJ215" s="141"/>
      <c r="DK215" s="141"/>
      <c r="DL215" s="141"/>
      <c r="DM215" s="141"/>
      <c r="DN215" s="141"/>
      <c r="DO215" s="141"/>
      <c r="DP215" s="141"/>
      <c r="DQ215" s="141"/>
      <c r="DR215" s="141"/>
      <c r="DS215" s="141"/>
      <c r="DT215" s="141"/>
      <c r="DU215" s="141"/>
      <c r="DV215" s="141"/>
      <c r="DW215" s="141"/>
      <c r="DX215" s="141"/>
      <c r="DY215" s="141"/>
      <c r="DZ215" s="141"/>
      <c r="EA215" s="141"/>
      <c r="EB215" s="141"/>
      <c r="EC215" s="141"/>
      <c r="ED215" s="342"/>
      <c r="EE215" s="342"/>
    </row>
    <row r="216" spans="1:135" s="52" customFormat="1" ht="13.5" hidden="1" customHeight="1" outlineLevel="1" x14ac:dyDescent="0.2">
      <c r="A216" s="141"/>
      <c r="B216" s="171"/>
      <c r="C216" s="141"/>
      <c r="D216" s="143"/>
      <c r="E216" s="142"/>
      <c r="F216" s="141"/>
      <c r="G216" s="144"/>
      <c r="H216" s="142"/>
      <c r="I216" s="142"/>
      <c r="J216" s="125"/>
      <c r="K216" s="125"/>
      <c r="L216" s="125"/>
      <c r="M216" s="125"/>
      <c r="N216" s="125"/>
      <c r="O216" s="125"/>
      <c r="P216" s="125"/>
      <c r="Q216" s="323"/>
      <c r="R216" s="125"/>
      <c r="S216" s="125"/>
      <c r="T216" s="145"/>
      <c r="U216" s="145"/>
      <c r="V216" s="145"/>
      <c r="W216" s="125"/>
      <c r="X216" s="278"/>
      <c r="Y216" s="278"/>
      <c r="Z216" s="125"/>
      <c r="AA216" s="125"/>
      <c r="AB216" s="125"/>
      <c r="AC216" s="278"/>
      <c r="AD216" s="278"/>
      <c r="AE216" s="279"/>
      <c r="AF216" s="278"/>
      <c r="AG216" s="278"/>
      <c r="AH216" s="278"/>
      <c r="AI216" s="278"/>
      <c r="AJ216" s="125"/>
      <c r="AK216" s="125"/>
      <c r="AL216" s="125"/>
      <c r="AM216" s="125"/>
      <c r="AN216" s="125"/>
      <c r="AO216" s="125"/>
      <c r="AP216" s="125"/>
      <c r="AQ216" s="278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256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U216" s="141"/>
      <c r="CX216" s="225"/>
      <c r="CY216" s="225"/>
      <c r="CZ216" s="225"/>
      <c r="DA216" s="225"/>
      <c r="DB216" s="141"/>
      <c r="DC216" s="141"/>
      <c r="DD216" s="141"/>
      <c r="DE216" s="141"/>
      <c r="DF216" s="141"/>
      <c r="DG216" s="141"/>
      <c r="DH216" s="141"/>
      <c r="DI216" s="141"/>
      <c r="DJ216" s="141"/>
      <c r="DK216" s="141"/>
      <c r="DL216" s="141"/>
      <c r="DM216" s="141"/>
      <c r="DN216" s="141"/>
      <c r="DO216" s="141"/>
      <c r="DP216" s="141"/>
      <c r="DQ216" s="141"/>
      <c r="DR216" s="141"/>
      <c r="DS216" s="141"/>
      <c r="DT216" s="141"/>
      <c r="DU216" s="141"/>
      <c r="DV216" s="141"/>
      <c r="DW216" s="141"/>
      <c r="DX216" s="141"/>
      <c r="DY216" s="141"/>
      <c r="DZ216" s="141"/>
      <c r="EA216" s="141"/>
      <c r="EB216" s="141"/>
      <c r="EC216" s="141"/>
      <c r="ED216" s="342"/>
      <c r="EE216" s="342"/>
    </row>
    <row r="217" spans="1:135" s="52" customFormat="1" ht="13.5" hidden="1" customHeight="1" outlineLevel="1" x14ac:dyDescent="0.2">
      <c r="A217" s="141"/>
      <c r="B217" s="171"/>
      <c r="C217" s="141"/>
      <c r="D217" s="143"/>
      <c r="E217" s="142"/>
      <c r="F217" s="141"/>
      <c r="G217" s="144"/>
      <c r="H217" s="142"/>
      <c r="I217" s="142"/>
      <c r="J217" s="125"/>
      <c r="K217" s="125"/>
      <c r="L217" s="125"/>
      <c r="M217" s="125"/>
      <c r="N217" s="125"/>
      <c r="O217" s="125"/>
      <c r="P217" s="125"/>
      <c r="Q217" s="323"/>
      <c r="R217" s="125"/>
      <c r="S217" s="125"/>
      <c r="T217" s="145"/>
      <c r="U217" s="145"/>
      <c r="V217" s="145"/>
      <c r="W217" s="125"/>
      <c r="X217" s="278"/>
      <c r="Y217" s="278"/>
      <c r="Z217" s="125"/>
      <c r="AA217" s="125"/>
      <c r="AB217" s="125"/>
      <c r="AC217" s="278"/>
      <c r="AD217" s="278"/>
      <c r="AE217" s="279"/>
      <c r="AF217" s="278"/>
      <c r="AG217" s="278"/>
      <c r="AH217" s="278"/>
      <c r="AI217" s="278"/>
      <c r="AJ217" s="125"/>
      <c r="AK217" s="125"/>
      <c r="AL217" s="125"/>
      <c r="AM217" s="125"/>
      <c r="AN217" s="125"/>
      <c r="AO217" s="125"/>
      <c r="AP217" s="125"/>
      <c r="AQ217" s="278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256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U217" s="141"/>
      <c r="CX217" s="225"/>
      <c r="CY217" s="225"/>
      <c r="CZ217" s="225"/>
      <c r="DA217" s="225"/>
      <c r="DB217" s="141"/>
      <c r="DC217" s="141"/>
      <c r="DD217" s="141"/>
      <c r="DE217" s="141"/>
      <c r="DF217" s="141"/>
      <c r="DG217" s="141"/>
      <c r="DH217" s="141"/>
      <c r="DI217" s="141"/>
      <c r="DJ217" s="141"/>
      <c r="DK217" s="141"/>
      <c r="DL217" s="141"/>
      <c r="DM217" s="141"/>
      <c r="DN217" s="141"/>
      <c r="DO217" s="141"/>
      <c r="DP217" s="141"/>
      <c r="DQ217" s="141"/>
      <c r="DR217" s="141"/>
      <c r="DS217" s="141"/>
      <c r="DT217" s="141"/>
      <c r="DU217" s="141"/>
      <c r="DV217" s="141"/>
      <c r="DW217" s="141"/>
      <c r="DX217" s="141"/>
      <c r="DY217" s="141"/>
      <c r="DZ217" s="141"/>
      <c r="EA217" s="141"/>
      <c r="EB217" s="141"/>
      <c r="EC217" s="141"/>
      <c r="ED217" s="342"/>
      <c r="EE217" s="342"/>
    </row>
    <row r="218" spans="1:135" s="52" customFormat="1" ht="13.5" hidden="1" customHeight="1" outlineLevel="1" x14ac:dyDescent="0.2">
      <c r="A218" s="141"/>
      <c r="B218" s="171"/>
      <c r="C218" s="141"/>
      <c r="D218" s="143"/>
      <c r="E218" s="142"/>
      <c r="F218" s="141"/>
      <c r="G218" s="144"/>
      <c r="H218" s="142"/>
      <c r="I218" s="142"/>
      <c r="J218" s="125"/>
      <c r="K218" s="125"/>
      <c r="L218" s="125"/>
      <c r="M218" s="125"/>
      <c r="N218" s="125"/>
      <c r="O218" s="125"/>
      <c r="P218" s="125"/>
      <c r="Q218" s="323"/>
      <c r="R218" s="125"/>
      <c r="S218" s="125"/>
      <c r="T218" s="145"/>
      <c r="U218" s="145"/>
      <c r="V218" s="145"/>
      <c r="W218" s="125"/>
      <c r="X218" s="278"/>
      <c r="Y218" s="278"/>
      <c r="Z218" s="125"/>
      <c r="AA218" s="125"/>
      <c r="AB218" s="125"/>
      <c r="AC218" s="278"/>
      <c r="AD218" s="278"/>
      <c r="AE218" s="279"/>
      <c r="AF218" s="278"/>
      <c r="AG218" s="278"/>
      <c r="AH218" s="278"/>
      <c r="AI218" s="278"/>
      <c r="AJ218" s="125"/>
      <c r="AK218" s="125"/>
      <c r="AL218" s="125"/>
      <c r="AM218" s="125"/>
      <c r="AN218" s="125"/>
      <c r="AO218" s="125"/>
      <c r="AP218" s="125"/>
      <c r="AQ218" s="278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256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U218" s="141"/>
      <c r="CX218" s="225"/>
      <c r="CY218" s="225"/>
      <c r="CZ218" s="225"/>
      <c r="DA218" s="225"/>
      <c r="DB218" s="141"/>
      <c r="DC218" s="141"/>
      <c r="DD218" s="141"/>
      <c r="DE218" s="141"/>
      <c r="DF218" s="141"/>
      <c r="DG218" s="141"/>
      <c r="DH218" s="141"/>
      <c r="DI218" s="141"/>
      <c r="DJ218" s="141"/>
      <c r="DK218" s="141"/>
      <c r="DL218" s="141"/>
      <c r="DM218" s="141"/>
      <c r="DN218" s="141"/>
      <c r="DO218" s="141"/>
      <c r="DP218" s="141"/>
      <c r="DQ218" s="141"/>
      <c r="DR218" s="141"/>
      <c r="DS218" s="141"/>
      <c r="DT218" s="141"/>
      <c r="DU218" s="141"/>
      <c r="DV218" s="141"/>
      <c r="DW218" s="141"/>
      <c r="DX218" s="141"/>
      <c r="DY218" s="141"/>
      <c r="DZ218" s="141"/>
      <c r="EA218" s="141"/>
      <c r="EB218" s="141"/>
      <c r="EC218" s="141"/>
      <c r="ED218" s="342"/>
      <c r="EE218" s="342"/>
    </row>
    <row r="219" spans="1:135" s="52" customFormat="1" ht="13.5" hidden="1" customHeight="1" outlineLevel="1" x14ac:dyDescent="0.2">
      <c r="A219" s="141"/>
      <c r="B219" s="171"/>
      <c r="C219" s="141"/>
      <c r="D219" s="143"/>
      <c r="E219" s="142"/>
      <c r="F219" s="141"/>
      <c r="G219" s="144"/>
      <c r="H219" s="142"/>
      <c r="I219" s="142"/>
      <c r="J219" s="125"/>
      <c r="K219" s="125"/>
      <c r="L219" s="125"/>
      <c r="M219" s="125"/>
      <c r="N219" s="125"/>
      <c r="O219" s="125"/>
      <c r="P219" s="125"/>
      <c r="Q219" s="323"/>
      <c r="R219" s="125"/>
      <c r="S219" s="125"/>
      <c r="T219" s="145"/>
      <c r="U219" s="145"/>
      <c r="V219" s="145"/>
      <c r="W219" s="125"/>
      <c r="X219" s="278"/>
      <c r="Y219" s="278"/>
      <c r="Z219" s="125"/>
      <c r="AA219" s="125"/>
      <c r="AB219" s="125"/>
      <c r="AC219" s="278"/>
      <c r="AD219" s="278"/>
      <c r="AE219" s="279"/>
      <c r="AF219" s="278"/>
      <c r="AG219" s="278"/>
      <c r="AH219" s="278"/>
      <c r="AI219" s="278"/>
      <c r="AJ219" s="125"/>
      <c r="AK219" s="125"/>
      <c r="AL219" s="125"/>
      <c r="AM219" s="125"/>
      <c r="AN219" s="125"/>
      <c r="AO219" s="125"/>
      <c r="AP219" s="125"/>
      <c r="AQ219" s="278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256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U219" s="141"/>
      <c r="CX219" s="225"/>
      <c r="CY219" s="225"/>
      <c r="CZ219" s="225"/>
      <c r="DA219" s="225"/>
      <c r="DB219" s="141"/>
      <c r="DC219" s="141"/>
      <c r="DD219" s="141"/>
      <c r="DE219" s="141"/>
      <c r="DF219" s="141"/>
      <c r="DG219" s="141"/>
      <c r="DH219" s="141"/>
      <c r="DI219" s="141"/>
      <c r="DJ219" s="141"/>
      <c r="DK219" s="141"/>
      <c r="DL219" s="141"/>
      <c r="DM219" s="141"/>
      <c r="DN219" s="141"/>
      <c r="DO219" s="141"/>
      <c r="DP219" s="141"/>
      <c r="DQ219" s="141"/>
      <c r="DR219" s="141"/>
      <c r="DS219" s="141"/>
      <c r="DT219" s="141"/>
      <c r="DU219" s="141"/>
      <c r="DV219" s="141"/>
      <c r="DW219" s="141"/>
      <c r="DX219" s="141"/>
      <c r="DY219" s="141"/>
      <c r="DZ219" s="141"/>
      <c r="EA219" s="141"/>
      <c r="EB219" s="141"/>
      <c r="EC219" s="141"/>
      <c r="ED219" s="342"/>
      <c r="EE219" s="342"/>
    </row>
    <row r="220" spans="1:135" s="52" customFormat="1" ht="13.5" hidden="1" customHeight="1" outlineLevel="1" x14ac:dyDescent="0.2">
      <c r="A220" s="141"/>
      <c r="B220" s="171"/>
      <c r="C220" s="141"/>
      <c r="D220" s="143"/>
      <c r="E220" s="142"/>
      <c r="F220" s="141"/>
      <c r="G220" s="144"/>
      <c r="H220" s="142"/>
      <c r="I220" s="142"/>
      <c r="J220" s="125"/>
      <c r="K220" s="125"/>
      <c r="L220" s="125"/>
      <c r="M220" s="125"/>
      <c r="N220" s="125"/>
      <c r="O220" s="125"/>
      <c r="P220" s="125"/>
      <c r="Q220" s="323"/>
      <c r="R220" s="125"/>
      <c r="S220" s="125"/>
      <c r="T220" s="145"/>
      <c r="U220" s="145"/>
      <c r="V220" s="145"/>
      <c r="W220" s="125"/>
      <c r="X220" s="278"/>
      <c r="Y220" s="278"/>
      <c r="Z220" s="125"/>
      <c r="AA220" s="125"/>
      <c r="AB220" s="125"/>
      <c r="AC220" s="278"/>
      <c r="AD220" s="278"/>
      <c r="AE220" s="279"/>
      <c r="AF220" s="278"/>
      <c r="AG220" s="278"/>
      <c r="AH220" s="278"/>
      <c r="AI220" s="278"/>
      <c r="AJ220" s="125"/>
      <c r="AK220" s="125"/>
      <c r="AL220" s="125"/>
      <c r="AM220" s="125"/>
      <c r="AN220" s="125"/>
      <c r="AO220" s="125"/>
      <c r="AP220" s="125"/>
      <c r="AQ220" s="278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256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U220" s="141"/>
      <c r="CX220" s="225"/>
      <c r="CY220" s="225"/>
      <c r="CZ220" s="225"/>
      <c r="DA220" s="225"/>
      <c r="DB220" s="141"/>
      <c r="DC220" s="141"/>
      <c r="DD220" s="141"/>
      <c r="DE220" s="141"/>
      <c r="DF220" s="141"/>
      <c r="DG220" s="141"/>
      <c r="DH220" s="141"/>
      <c r="DI220" s="141"/>
      <c r="DJ220" s="141"/>
      <c r="DK220" s="141"/>
      <c r="DL220" s="141"/>
      <c r="DM220" s="141"/>
      <c r="DN220" s="141"/>
      <c r="DO220" s="141"/>
      <c r="DP220" s="141"/>
      <c r="DQ220" s="141"/>
      <c r="DR220" s="141"/>
      <c r="DS220" s="141"/>
      <c r="DT220" s="141"/>
      <c r="DU220" s="141"/>
      <c r="DV220" s="141"/>
      <c r="DW220" s="141"/>
      <c r="DX220" s="141"/>
      <c r="DY220" s="141"/>
      <c r="DZ220" s="141"/>
      <c r="EA220" s="141"/>
      <c r="EB220" s="141"/>
      <c r="EC220" s="141"/>
      <c r="ED220" s="342"/>
      <c r="EE220" s="342"/>
    </row>
    <row r="221" spans="1:135" s="52" customFormat="1" ht="13.5" hidden="1" customHeight="1" outlineLevel="1" x14ac:dyDescent="0.2">
      <c r="A221" s="141"/>
      <c r="B221" s="171"/>
      <c r="C221" s="141"/>
      <c r="D221" s="143"/>
      <c r="E221" s="142"/>
      <c r="F221" s="141"/>
      <c r="G221" s="144"/>
      <c r="H221" s="142"/>
      <c r="I221" s="142"/>
      <c r="J221" s="125"/>
      <c r="K221" s="125"/>
      <c r="L221" s="125"/>
      <c r="M221" s="125"/>
      <c r="N221" s="125"/>
      <c r="O221" s="125"/>
      <c r="P221" s="125"/>
      <c r="Q221" s="323"/>
      <c r="R221" s="125"/>
      <c r="S221" s="125"/>
      <c r="T221" s="145"/>
      <c r="U221" s="145"/>
      <c r="V221" s="145"/>
      <c r="W221" s="125"/>
      <c r="X221" s="278"/>
      <c r="Y221" s="278"/>
      <c r="Z221" s="125"/>
      <c r="AA221" s="125"/>
      <c r="AB221" s="125"/>
      <c r="AC221" s="278"/>
      <c r="AD221" s="278"/>
      <c r="AE221" s="279"/>
      <c r="AF221" s="278"/>
      <c r="AG221" s="278"/>
      <c r="AH221" s="278"/>
      <c r="AI221" s="278"/>
      <c r="AJ221" s="125"/>
      <c r="AK221" s="125"/>
      <c r="AL221" s="125"/>
      <c r="AM221" s="125"/>
      <c r="AN221" s="125"/>
      <c r="AO221" s="125"/>
      <c r="AP221" s="125"/>
      <c r="AQ221" s="278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256"/>
      <c r="BZ221" s="83"/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U221" s="141"/>
      <c r="CX221" s="225"/>
      <c r="CY221" s="225"/>
      <c r="CZ221" s="225"/>
      <c r="DA221" s="225"/>
      <c r="DB221" s="141"/>
      <c r="DC221" s="141"/>
      <c r="DD221" s="141"/>
      <c r="DE221" s="141"/>
      <c r="DF221" s="141"/>
      <c r="DG221" s="141"/>
      <c r="DH221" s="141"/>
      <c r="DI221" s="141"/>
      <c r="DJ221" s="141"/>
      <c r="DK221" s="141"/>
      <c r="DL221" s="141"/>
      <c r="DM221" s="141"/>
      <c r="DN221" s="141"/>
      <c r="DO221" s="141"/>
      <c r="DP221" s="141"/>
      <c r="DQ221" s="141"/>
      <c r="DR221" s="141"/>
      <c r="DS221" s="141"/>
      <c r="DT221" s="141"/>
      <c r="DU221" s="141"/>
      <c r="DV221" s="141"/>
      <c r="DW221" s="141"/>
      <c r="DX221" s="141"/>
      <c r="DY221" s="141"/>
      <c r="DZ221" s="141"/>
      <c r="EA221" s="141"/>
      <c r="EB221" s="141"/>
      <c r="EC221" s="141"/>
      <c r="ED221" s="342"/>
      <c r="EE221" s="342"/>
    </row>
    <row r="222" spans="1:135" s="52" customFormat="1" ht="13.5" hidden="1" customHeight="1" outlineLevel="1" x14ac:dyDescent="0.2">
      <c r="A222" s="141"/>
      <c r="B222" s="171"/>
      <c r="C222" s="141"/>
      <c r="D222" s="143"/>
      <c r="E222" s="142"/>
      <c r="F222" s="141"/>
      <c r="G222" s="144"/>
      <c r="H222" s="142"/>
      <c r="I222" s="142"/>
      <c r="J222" s="125"/>
      <c r="K222" s="125"/>
      <c r="L222" s="125"/>
      <c r="M222" s="125"/>
      <c r="N222" s="125"/>
      <c r="O222" s="125"/>
      <c r="P222" s="125"/>
      <c r="Q222" s="323"/>
      <c r="R222" s="125"/>
      <c r="S222" s="125"/>
      <c r="T222" s="145"/>
      <c r="U222" s="145"/>
      <c r="V222" s="145"/>
      <c r="W222" s="125"/>
      <c r="X222" s="278"/>
      <c r="Y222" s="278"/>
      <c r="Z222" s="125"/>
      <c r="AA222" s="125"/>
      <c r="AB222" s="125"/>
      <c r="AC222" s="278"/>
      <c r="AD222" s="278"/>
      <c r="AE222" s="279"/>
      <c r="AF222" s="278"/>
      <c r="AG222" s="278"/>
      <c r="AH222" s="278"/>
      <c r="AI222" s="278"/>
      <c r="AJ222" s="125"/>
      <c r="AK222" s="125"/>
      <c r="AL222" s="125"/>
      <c r="AM222" s="125"/>
      <c r="AN222" s="125"/>
      <c r="AO222" s="125"/>
      <c r="AP222" s="125"/>
      <c r="AQ222" s="278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256"/>
      <c r="BZ222" s="83"/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U222" s="141"/>
      <c r="CX222" s="225"/>
      <c r="CY222" s="225"/>
      <c r="CZ222" s="225"/>
      <c r="DA222" s="225"/>
      <c r="DB222" s="141"/>
      <c r="DC222" s="141"/>
      <c r="DD222" s="141"/>
      <c r="DE222" s="141"/>
      <c r="DF222" s="141"/>
      <c r="DG222" s="141"/>
      <c r="DH222" s="141"/>
      <c r="DI222" s="141"/>
      <c r="DJ222" s="141"/>
      <c r="DK222" s="141"/>
      <c r="DL222" s="141"/>
      <c r="DM222" s="141"/>
      <c r="DN222" s="141"/>
      <c r="DO222" s="141"/>
      <c r="DP222" s="141"/>
      <c r="DQ222" s="141"/>
      <c r="DR222" s="141"/>
      <c r="DS222" s="141"/>
      <c r="DT222" s="141"/>
      <c r="DU222" s="141"/>
      <c r="DV222" s="141"/>
      <c r="DW222" s="141"/>
      <c r="DX222" s="141"/>
      <c r="DY222" s="141"/>
      <c r="DZ222" s="141"/>
      <c r="EA222" s="141"/>
      <c r="EB222" s="141"/>
      <c r="EC222" s="141"/>
      <c r="ED222" s="342"/>
      <c r="EE222" s="342"/>
    </row>
    <row r="223" spans="1:135" s="52" customFormat="1" ht="13.5" hidden="1" customHeight="1" outlineLevel="1" x14ac:dyDescent="0.2">
      <c r="A223" s="141"/>
      <c r="B223" s="171"/>
      <c r="C223" s="141"/>
      <c r="D223" s="143"/>
      <c r="E223" s="142"/>
      <c r="F223" s="141"/>
      <c r="G223" s="144"/>
      <c r="H223" s="142"/>
      <c r="I223" s="142"/>
      <c r="J223" s="125"/>
      <c r="K223" s="125"/>
      <c r="L223" s="125"/>
      <c r="M223" s="125"/>
      <c r="N223" s="125"/>
      <c r="O223" s="125"/>
      <c r="P223" s="125"/>
      <c r="Q223" s="323"/>
      <c r="R223" s="125"/>
      <c r="S223" s="125"/>
      <c r="T223" s="145"/>
      <c r="U223" s="145"/>
      <c r="V223" s="145"/>
      <c r="W223" s="125"/>
      <c r="X223" s="278"/>
      <c r="Y223" s="278"/>
      <c r="Z223" s="125"/>
      <c r="AA223" s="125"/>
      <c r="AB223" s="125"/>
      <c r="AC223" s="278"/>
      <c r="AD223" s="278"/>
      <c r="AE223" s="279"/>
      <c r="AF223" s="278"/>
      <c r="AG223" s="278"/>
      <c r="AH223" s="278"/>
      <c r="AI223" s="278"/>
      <c r="AJ223" s="125"/>
      <c r="AK223" s="125"/>
      <c r="AL223" s="125"/>
      <c r="AM223" s="125"/>
      <c r="AN223" s="125"/>
      <c r="AO223" s="125"/>
      <c r="AP223" s="125"/>
      <c r="AQ223" s="278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256"/>
      <c r="BZ223" s="83"/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U223" s="141"/>
      <c r="CX223" s="225"/>
      <c r="CY223" s="225"/>
      <c r="CZ223" s="225"/>
      <c r="DA223" s="225"/>
      <c r="DB223" s="141"/>
      <c r="DC223" s="141"/>
      <c r="DD223" s="141"/>
      <c r="DE223" s="141"/>
      <c r="DF223" s="141"/>
      <c r="DG223" s="141"/>
      <c r="DH223" s="141"/>
      <c r="DI223" s="141"/>
      <c r="DJ223" s="141"/>
      <c r="DK223" s="141"/>
      <c r="DL223" s="141"/>
      <c r="DM223" s="141"/>
      <c r="DN223" s="141"/>
      <c r="DO223" s="141"/>
      <c r="DP223" s="141"/>
      <c r="DQ223" s="141"/>
      <c r="DR223" s="141"/>
      <c r="DS223" s="141"/>
      <c r="DT223" s="141"/>
      <c r="DU223" s="141"/>
      <c r="DV223" s="141"/>
      <c r="DW223" s="141"/>
      <c r="DX223" s="141"/>
      <c r="DY223" s="141"/>
      <c r="DZ223" s="141"/>
      <c r="EA223" s="141"/>
      <c r="EB223" s="141"/>
      <c r="EC223" s="141"/>
      <c r="ED223" s="342"/>
      <c r="EE223" s="342"/>
    </row>
    <row r="224" spans="1:135" s="52" customFormat="1" ht="13.5" hidden="1" customHeight="1" outlineLevel="1" x14ac:dyDescent="0.2">
      <c r="A224" s="141"/>
      <c r="B224" s="171"/>
      <c r="C224" s="141"/>
      <c r="D224" s="143"/>
      <c r="E224" s="142"/>
      <c r="F224" s="141"/>
      <c r="G224" s="144"/>
      <c r="H224" s="142"/>
      <c r="I224" s="142"/>
      <c r="J224" s="125"/>
      <c r="K224" s="125"/>
      <c r="L224" s="125"/>
      <c r="M224" s="125"/>
      <c r="N224" s="125"/>
      <c r="O224" s="125"/>
      <c r="P224" s="125"/>
      <c r="Q224" s="323"/>
      <c r="R224" s="125"/>
      <c r="S224" s="125"/>
      <c r="T224" s="145"/>
      <c r="U224" s="145"/>
      <c r="V224" s="145"/>
      <c r="W224" s="125"/>
      <c r="X224" s="278"/>
      <c r="Y224" s="278"/>
      <c r="Z224" s="125"/>
      <c r="AA224" s="125"/>
      <c r="AB224" s="125"/>
      <c r="AC224" s="278"/>
      <c r="AD224" s="278"/>
      <c r="AE224" s="279"/>
      <c r="AF224" s="278"/>
      <c r="AG224" s="278"/>
      <c r="AH224" s="278"/>
      <c r="AI224" s="278"/>
      <c r="AJ224" s="125"/>
      <c r="AK224" s="125"/>
      <c r="AL224" s="125"/>
      <c r="AM224" s="125"/>
      <c r="AN224" s="125"/>
      <c r="AO224" s="125"/>
      <c r="AP224" s="125"/>
      <c r="AQ224" s="278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256"/>
      <c r="BZ224" s="83"/>
      <c r="CA224" s="83"/>
      <c r="CB224" s="83"/>
      <c r="CC224" s="83"/>
      <c r="CD224" s="83"/>
      <c r="CE224" s="83"/>
      <c r="CF224" s="83"/>
      <c r="CG224" s="83"/>
      <c r="CH224" s="83"/>
      <c r="CI224" s="83"/>
      <c r="CJ224" s="83"/>
      <c r="CK224" s="83"/>
      <c r="CL224" s="83"/>
      <c r="CU224" s="141"/>
      <c r="CX224" s="225"/>
      <c r="CY224" s="225"/>
      <c r="CZ224" s="225"/>
      <c r="DA224" s="225"/>
      <c r="DB224" s="141"/>
      <c r="DC224" s="141"/>
      <c r="DD224" s="141"/>
      <c r="DE224" s="141"/>
      <c r="DF224" s="141"/>
      <c r="DG224" s="141"/>
      <c r="DH224" s="141"/>
      <c r="DI224" s="141"/>
      <c r="DJ224" s="141"/>
      <c r="DK224" s="141"/>
      <c r="DL224" s="141"/>
      <c r="DM224" s="141"/>
      <c r="DN224" s="141"/>
      <c r="DO224" s="141"/>
      <c r="DP224" s="141"/>
      <c r="DQ224" s="141"/>
      <c r="DR224" s="141"/>
      <c r="DS224" s="141"/>
      <c r="DT224" s="141"/>
      <c r="DU224" s="141"/>
      <c r="DV224" s="141"/>
      <c r="DW224" s="141"/>
      <c r="DX224" s="141"/>
      <c r="DY224" s="141"/>
      <c r="DZ224" s="141"/>
      <c r="EA224" s="141"/>
      <c r="EB224" s="141"/>
      <c r="EC224" s="141"/>
      <c r="ED224" s="342"/>
      <c r="EE224" s="342"/>
    </row>
    <row r="225" spans="1:135" s="52" customFormat="1" ht="13.5" hidden="1" customHeight="1" outlineLevel="1" x14ac:dyDescent="0.2">
      <c r="A225" s="141"/>
      <c r="B225" s="171"/>
      <c r="C225" s="141"/>
      <c r="D225" s="143"/>
      <c r="E225" s="142"/>
      <c r="F225" s="141"/>
      <c r="G225" s="144"/>
      <c r="H225" s="142"/>
      <c r="I225" s="142"/>
      <c r="J225" s="125"/>
      <c r="K225" s="125"/>
      <c r="L225" s="125"/>
      <c r="M225" s="125"/>
      <c r="N225" s="125"/>
      <c r="O225" s="125"/>
      <c r="P225" s="125"/>
      <c r="Q225" s="323"/>
      <c r="R225" s="125"/>
      <c r="S225" s="125"/>
      <c r="T225" s="145"/>
      <c r="U225" s="145"/>
      <c r="V225" s="145"/>
      <c r="W225" s="125"/>
      <c r="X225" s="278"/>
      <c r="Y225" s="278"/>
      <c r="Z225" s="125"/>
      <c r="AA225" s="125"/>
      <c r="AB225" s="125"/>
      <c r="AC225" s="278"/>
      <c r="AD225" s="278"/>
      <c r="AE225" s="279"/>
      <c r="AF225" s="278"/>
      <c r="AG225" s="278"/>
      <c r="AH225" s="278"/>
      <c r="AI225" s="278"/>
      <c r="AJ225" s="125"/>
      <c r="AK225" s="125"/>
      <c r="AL225" s="125"/>
      <c r="AM225" s="125"/>
      <c r="AN225" s="125"/>
      <c r="AO225" s="125"/>
      <c r="AP225" s="125"/>
      <c r="AQ225" s="278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256"/>
      <c r="BZ225" s="83"/>
      <c r="CA225" s="83"/>
      <c r="CB225" s="83"/>
      <c r="CC225" s="83"/>
      <c r="CD225" s="83"/>
      <c r="CE225" s="83"/>
      <c r="CF225" s="83"/>
      <c r="CG225" s="83"/>
      <c r="CH225" s="83"/>
      <c r="CI225" s="83"/>
      <c r="CJ225" s="83"/>
      <c r="CK225" s="83"/>
      <c r="CL225" s="83"/>
      <c r="CU225" s="141"/>
      <c r="CX225" s="225"/>
      <c r="CY225" s="225"/>
      <c r="CZ225" s="225"/>
      <c r="DA225" s="225"/>
      <c r="DB225" s="141"/>
      <c r="DC225" s="141"/>
      <c r="DD225" s="141"/>
      <c r="DE225" s="141"/>
      <c r="DF225" s="141"/>
      <c r="DG225" s="141"/>
      <c r="DH225" s="141"/>
      <c r="DI225" s="141"/>
      <c r="DJ225" s="141"/>
      <c r="DK225" s="141"/>
      <c r="DL225" s="141"/>
      <c r="DM225" s="141"/>
      <c r="DN225" s="141"/>
      <c r="DO225" s="141"/>
      <c r="DP225" s="141"/>
      <c r="DQ225" s="141"/>
      <c r="DR225" s="141"/>
      <c r="DS225" s="141"/>
      <c r="DT225" s="141"/>
      <c r="DU225" s="141"/>
      <c r="DV225" s="141"/>
      <c r="DW225" s="141"/>
      <c r="DX225" s="141"/>
      <c r="DY225" s="141"/>
      <c r="DZ225" s="141"/>
      <c r="EA225" s="141"/>
      <c r="EB225" s="141"/>
      <c r="EC225" s="141"/>
      <c r="ED225" s="342"/>
      <c r="EE225" s="342"/>
    </row>
    <row r="226" spans="1:135" s="52" customFormat="1" ht="13.5" hidden="1" customHeight="1" outlineLevel="1" x14ac:dyDescent="0.2">
      <c r="A226" s="141"/>
      <c r="B226" s="171"/>
      <c r="C226" s="141"/>
      <c r="D226" s="143"/>
      <c r="E226" s="142"/>
      <c r="F226" s="141"/>
      <c r="G226" s="144"/>
      <c r="H226" s="142"/>
      <c r="I226" s="142"/>
      <c r="J226" s="125"/>
      <c r="K226" s="125"/>
      <c r="L226" s="125"/>
      <c r="M226" s="125"/>
      <c r="N226" s="125"/>
      <c r="O226" s="125"/>
      <c r="P226" s="125"/>
      <c r="Q226" s="323"/>
      <c r="R226" s="125"/>
      <c r="S226" s="125"/>
      <c r="T226" s="145"/>
      <c r="U226" s="145"/>
      <c r="V226" s="145"/>
      <c r="W226" s="125"/>
      <c r="X226" s="278"/>
      <c r="Y226" s="278"/>
      <c r="Z226" s="125"/>
      <c r="AA226" s="125"/>
      <c r="AB226" s="125"/>
      <c r="AC226" s="278"/>
      <c r="AD226" s="278"/>
      <c r="AE226" s="279"/>
      <c r="AF226" s="278"/>
      <c r="AG226" s="278"/>
      <c r="AH226" s="278"/>
      <c r="AI226" s="278"/>
      <c r="AJ226" s="125"/>
      <c r="AK226" s="125"/>
      <c r="AL226" s="125"/>
      <c r="AM226" s="125"/>
      <c r="AN226" s="125"/>
      <c r="AO226" s="125"/>
      <c r="AP226" s="125"/>
      <c r="AQ226" s="278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256"/>
      <c r="BZ226" s="83"/>
      <c r="CA226" s="83"/>
      <c r="CB226" s="83"/>
      <c r="CC226" s="83"/>
      <c r="CD226" s="83"/>
      <c r="CE226" s="83"/>
      <c r="CF226" s="83"/>
      <c r="CG226" s="83"/>
      <c r="CH226" s="83"/>
      <c r="CI226" s="83"/>
      <c r="CJ226" s="83"/>
      <c r="CK226" s="83"/>
      <c r="CL226" s="83"/>
      <c r="CU226" s="141"/>
      <c r="CX226" s="225"/>
      <c r="CY226" s="225"/>
      <c r="CZ226" s="225"/>
      <c r="DA226" s="225"/>
      <c r="DB226" s="141"/>
      <c r="DC226" s="141"/>
      <c r="DD226" s="141"/>
      <c r="DE226" s="141"/>
      <c r="DF226" s="141"/>
      <c r="DG226" s="141"/>
      <c r="DH226" s="141"/>
      <c r="DI226" s="141"/>
      <c r="DJ226" s="141"/>
      <c r="DK226" s="141"/>
      <c r="DL226" s="141"/>
      <c r="DM226" s="141"/>
      <c r="DN226" s="141"/>
      <c r="DO226" s="141"/>
      <c r="DP226" s="141"/>
      <c r="DQ226" s="141"/>
      <c r="DR226" s="141"/>
      <c r="DS226" s="141"/>
      <c r="DT226" s="141"/>
      <c r="DU226" s="141"/>
      <c r="DV226" s="141"/>
      <c r="DW226" s="141"/>
      <c r="DX226" s="141"/>
      <c r="DY226" s="141"/>
      <c r="DZ226" s="141"/>
      <c r="EA226" s="141"/>
      <c r="EB226" s="141"/>
      <c r="EC226" s="141"/>
      <c r="ED226" s="342"/>
      <c r="EE226" s="342"/>
    </row>
    <row r="227" spans="1:135" s="52" customFormat="1" ht="13.5" hidden="1" customHeight="1" outlineLevel="1" x14ac:dyDescent="0.2">
      <c r="A227" s="141"/>
      <c r="B227" s="171"/>
      <c r="C227" s="141"/>
      <c r="D227" s="143"/>
      <c r="E227" s="142"/>
      <c r="F227" s="141"/>
      <c r="G227" s="144"/>
      <c r="H227" s="142"/>
      <c r="I227" s="142"/>
      <c r="J227" s="125"/>
      <c r="K227" s="125"/>
      <c r="L227" s="125"/>
      <c r="M227" s="125"/>
      <c r="N227" s="125"/>
      <c r="O227" s="125"/>
      <c r="P227" s="125"/>
      <c r="Q227" s="323"/>
      <c r="R227" s="125"/>
      <c r="S227" s="125"/>
      <c r="T227" s="145"/>
      <c r="U227" s="145"/>
      <c r="V227" s="145"/>
      <c r="W227" s="125"/>
      <c r="X227" s="278"/>
      <c r="Y227" s="278"/>
      <c r="Z227" s="125"/>
      <c r="AA227" s="125"/>
      <c r="AB227" s="125"/>
      <c r="AC227" s="278"/>
      <c r="AD227" s="278"/>
      <c r="AE227" s="279"/>
      <c r="AF227" s="278"/>
      <c r="AG227" s="278"/>
      <c r="AH227" s="278"/>
      <c r="AI227" s="278"/>
      <c r="AJ227" s="125"/>
      <c r="AK227" s="125"/>
      <c r="AL227" s="125"/>
      <c r="AM227" s="125"/>
      <c r="AN227" s="125"/>
      <c r="AO227" s="125"/>
      <c r="AP227" s="125"/>
      <c r="AQ227" s="278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256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U227" s="141"/>
      <c r="CX227" s="225"/>
      <c r="CY227" s="225"/>
      <c r="CZ227" s="225"/>
      <c r="DA227" s="225"/>
      <c r="DB227" s="141"/>
      <c r="DC227" s="141"/>
      <c r="DD227" s="141"/>
      <c r="DE227" s="141"/>
      <c r="DF227" s="141"/>
      <c r="DG227" s="141"/>
      <c r="DH227" s="141"/>
      <c r="DI227" s="141"/>
      <c r="DJ227" s="141"/>
      <c r="DK227" s="141"/>
      <c r="DL227" s="141"/>
      <c r="DM227" s="141"/>
      <c r="DN227" s="141"/>
      <c r="DO227" s="141"/>
      <c r="DP227" s="141"/>
      <c r="DQ227" s="141"/>
      <c r="DR227" s="141"/>
      <c r="DS227" s="141"/>
      <c r="DT227" s="141"/>
      <c r="DU227" s="141"/>
      <c r="DV227" s="141"/>
      <c r="DW227" s="141"/>
      <c r="DX227" s="141"/>
      <c r="DY227" s="141"/>
      <c r="DZ227" s="141"/>
      <c r="EA227" s="141"/>
      <c r="EB227" s="141"/>
      <c r="EC227" s="141"/>
      <c r="ED227" s="342"/>
      <c r="EE227" s="342"/>
    </row>
    <row r="228" spans="1:135" s="52" customFormat="1" ht="13.5" hidden="1" customHeight="1" outlineLevel="1" x14ac:dyDescent="0.2">
      <c r="A228" s="141"/>
      <c r="B228" s="171"/>
      <c r="C228" s="141"/>
      <c r="D228" s="143"/>
      <c r="E228" s="142"/>
      <c r="F228" s="141"/>
      <c r="G228" s="144"/>
      <c r="H228" s="142"/>
      <c r="I228" s="142"/>
      <c r="J228" s="125"/>
      <c r="K228" s="125"/>
      <c r="L228" s="125"/>
      <c r="M228" s="125"/>
      <c r="N228" s="125"/>
      <c r="O228" s="125"/>
      <c r="P228" s="125"/>
      <c r="Q228" s="323"/>
      <c r="R228" s="125"/>
      <c r="S228" s="125"/>
      <c r="T228" s="145"/>
      <c r="U228" s="145"/>
      <c r="V228" s="145"/>
      <c r="W228" s="125"/>
      <c r="X228" s="278"/>
      <c r="Y228" s="278"/>
      <c r="Z228" s="125"/>
      <c r="AA228" s="125"/>
      <c r="AB228" s="125"/>
      <c r="AC228" s="278"/>
      <c r="AD228" s="278"/>
      <c r="AE228" s="279"/>
      <c r="AF228" s="278"/>
      <c r="AG228" s="278"/>
      <c r="AH228" s="278"/>
      <c r="AI228" s="278"/>
      <c r="AJ228" s="125"/>
      <c r="AK228" s="125"/>
      <c r="AL228" s="125"/>
      <c r="AM228" s="125"/>
      <c r="AN228" s="125"/>
      <c r="AO228" s="125"/>
      <c r="AP228" s="125"/>
      <c r="AQ228" s="278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256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U228" s="141"/>
      <c r="CX228" s="225"/>
      <c r="CY228" s="225"/>
      <c r="CZ228" s="225"/>
      <c r="DA228" s="225"/>
      <c r="DB228" s="141"/>
      <c r="DC228" s="141"/>
      <c r="DD228" s="141"/>
      <c r="DE228" s="141"/>
      <c r="DF228" s="141"/>
      <c r="DG228" s="141"/>
      <c r="DH228" s="141"/>
      <c r="DI228" s="141"/>
      <c r="DJ228" s="141"/>
      <c r="DK228" s="141"/>
      <c r="DL228" s="141"/>
      <c r="DM228" s="141"/>
      <c r="DN228" s="141"/>
      <c r="DO228" s="141"/>
      <c r="DP228" s="141"/>
      <c r="DQ228" s="141"/>
      <c r="DR228" s="141"/>
      <c r="DS228" s="141"/>
      <c r="DT228" s="141"/>
      <c r="DU228" s="141"/>
      <c r="DV228" s="141"/>
      <c r="DW228" s="141"/>
      <c r="DX228" s="141"/>
      <c r="DY228" s="141"/>
      <c r="DZ228" s="141"/>
      <c r="EA228" s="141"/>
      <c r="EB228" s="141"/>
      <c r="EC228" s="141"/>
      <c r="ED228" s="342"/>
      <c r="EE228" s="342"/>
    </row>
    <row r="229" spans="1:135" s="52" customFormat="1" ht="13.5" hidden="1" customHeight="1" outlineLevel="1" x14ac:dyDescent="0.2">
      <c r="A229" s="141"/>
      <c r="B229" s="171"/>
      <c r="C229" s="141"/>
      <c r="D229" s="143"/>
      <c r="E229" s="142"/>
      <c r="F229" s="141"/>
      <c r="G229" s="144"/>
      <c r="H229" s="142"/>
      <c r="I229" s="142"/>
      <c r="J229" s="125"/>
      <c r="K229" s="125"/>
      <c r="L229" s="125"/>
      <c r="M229" s="125"/>
      <c r="N229" s="125"/>
      <c r="O229" s="125"/>
      <c r="P229" s="125"/>
      <c r="Q229" s="323"/>
      <c r="R229" s="125"/>
      <c r="S229" s="125"/>
      <c r="T229" s="145"/>
      <c r="U229" s="145"/>
      <c r="V229" s="145"/>
      <c r="W229" s="125"/>
      <c r="X229" s="278"/>
      <c r="Y229" s="278"/>
      <c r="Z229" s="125"/>
      <c r="AA229" s="125"/>
      <c r="AB229" s="125"/>
      <c r="AC229" s="278"/>
      <c r="AD229" s="278"/>
      <c r="AE229" s="279"/>
      <c r="AF229" s="278"/>
      <c r="AG229" s="278"/>
      <c r="AH229" s="278"/>
      <c r="AI229" s="278"/>
      <c r="AJ229" s="125"/>
      <c r="AK229" s="125"/>
      <c r="AL229" s="125"/>
      <c r="AM229" s="125"/>
      <c r="AN229" s="125"/>
      <c r="AO229" s="125"/>
      <c r="AP229" s="125"/>
      <c r="AQ229" s="278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256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U229" s="141"/>
      <c r="CX229" s="225"/>
      <c r="CY229" s="225"/>
      <c r="CZ229" s="225"/>
      <c r="DA229" s="225"/>
      <c r="DB229" s="141"/>
      <c r="DC229" s="141"/>
      <c r="DD229" s="141"/>
      <c r="DE229" s="141"/>
      <c r="DF229" s="141"/>
      <c r="DG229" s="141"/>
      <c r="DH229" s="141"/>
      <c r="DI229" s="141"/>
      <c r="DJ229" s="141"/>
      <c r="DK229" s="141"/>
      <c r="DL229" s="141"/>
      <c r="DM229" s="141"/>
      <c r="DN229" s="141"/>
      <c r="DO229" s="141"/>
      <c r="DP229" s="141"/>
      <c r="DQ229" s="141"/>
      <c r="DR229" s="141"/>
      <c r="DS229" s="141"/>
      <c r="DT229" s="141"/>
      <c r="DU229" s="141"/>
      <c r="DV229" s="141"/>
      <c r="DW229" s="141"/>
      <c r="DX229" s="141"/>
      <c r="DY229" s="141"/>
      <c r="DZ229" s="141"/>
      <c r="EA229" s="141"/>
      <c r="EB229" s="141"/>
      <c r="EC229" s="141"/>
      <c r="ED229" s="342"/>
      <c r="EE229" s="342"/>
    </row>
    <row r="230" spans="1:135" s="52" customFormat="1" ht="13.5" hidden="1" customHeight="1" outlineLevel="1" x14ac:dyDescent="0.2">
      <c r="A230" s="141"/>
      <c r="B230" s="171"/>
      <c r="C230" s="141"/>
      <c r="D230" s="143"/>
      <c r="E230" s="142"/>
      <c r="F230" s="141"/>
      <c r="G230" s="144"/>
      <c r="H230" s="142"/>
      <c r="I230" s="142"/>
      <c r="J230" s="125"/>
      <c r="K230" s="125"/>
      <c r="L230" s="125"/>
      <c r="M230" s="125"/>
      <c r="N230" s="125"/>
      <c r="O230" s="125"/>
      <c r="P230" s="125"/>
      <c r="Q230" s="323"/>
      <c r="R230" s="125"/>
      <c r="S230" s="125"/>
      <c r="T230" s="145"/>
      <c r="U230" s="145"/>
      <c r="V230" s="145"/>
      <c r="W230" s="125"/>
      <c r="X230" s="278"/>
      <c r="Y230" s="278"/>
      <c r="Z230" s="125"/>
      <c r="AA230" s="125"/>
      <c r="AB230" s="125"/>
      <c r="AC230" s="278"/>
      <c r="AD230" s="278"/>
      <c r="AE230" s="279"/>
      <c r="AF230" s="278"/>
      <c r="AG230" s="278"/>
      <c r="AH230" s="278"/>
      <c r="AI230" s="278"/>
      <c r="AJ230" s="125"/>
      <c r="AK230" s="125"/>
      <c r="AL230" s="125"/>
      <c r="AM230" s="125"/>
      <c r="AN230" s="125"/>
      <c r="AO230" s="125"/>
      <c r="AP230" s="125"/>
      <c r="AQ230" s="278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256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U230" s="141"/>
      <c r="CX230" s="225"/>
      <c r="CY230" s="225"/>
      <c r="CZ230" s="225"/>
      <c r="DA230" s="225"/>
      <c r="DB230" s="141"/>
      <c r="DC230" s="141"/>
      <c r="DD230" s="141"/>
      <c r="DE230" s="141"/>
      <c r="DF230" s="141"/>
      <c r="DG230" s="141"/>
      <c r="DH230" s="141"/>
      <c r="DI230" s="141"/>
      <c r="DJ230" s="141"/>
      <c r="DK230" s="141"/>
      <c r="DL230" s="141"/>
      <c r="DM230" s="141"/>
      <c r="DN230" s="141"/>
      <c r="DO230" s="141"/>
      <c r="DP230" s="141"/>
      <c r="DQ230" s="141"/>
      <c r="DR230" s="141"/>
      <c r="DS230" s="141"/>
      <c r="DT230" s="141"/>
      <c r="DU230" s="141"/>
      <c r="DV230" s="141"/>
      <c r="DW230" s="141"/>
      <c r="DX230" s="141"/>
      <c r="DY230" s="141"/>
      <c r="DZ230" s="141"/>
      <c r="EA230" s="141"/>
      <c r="EB230" s="141"/>
      <c r="EC230" s="141"/>
      <c r="ED230" s="342"/>
      <c r="EE230" s="342"/>
    </row>
    <row r="231" spans="1:135" s="52" customFormat="1" ht="13.5" hidden="1" customHeight="1" outlineLevel="1" x14ac:dyDescent="0.2">
      <c r="A231" s="141"/>
      <c r="B231" s="171"/>
      <c r="C231" s="141"/>
      <c r="D231" s="143"/>
      <c r="E231" s="142"/>
      <c r="F231" s="141"/>
      <c r="G231" s="144"/>
      <c r="H231" s="142"/>
      <c r="I231" s="142"/>
      <c r="J231" s="125"/>
      <c r="K231" s="125"/>
      <c r="L231" s="125"/>
      <c r="M231" s="125"/>
      <c r="N231" s="125"/>
      <c r="O231" s="125"/>
      <c r="P231" s="125"/>
      <c r="Q231" s="323"/>
      <c r="R231" s="125"/>
      <c r="S231" s="125"/>
      <c r="T231" s="145"/>
      <c r="U231" s="145"/>
      <c r="V231" s="145"/>
      <c r="W231" s="125"/>
      <c r="X231" s="278"/>
      <c r="Y231" s="278"/>
      <c r="Z231" s="125"/>
      <c r="AA231" s="125"/>
      <c r="AB231" s="125"/>
      <c r="AC231" s="278"/>
      <c r="AD231" s="278"/>
      <c r="AE231" s="279"/>
      <c r="AF231" s="278"/>
      <c r="AG231" s="278"/>
      <c r="AH231" s="278"/>
      <c r="AI231" s="278"/>
      <c r="AJ231" s="125"/>
      <c r="AK231" s="125"/>
      <c r="AL231" s="125"/>
      <c r="AM231" s="125"/>
      <c r="AN231" s="125"/>
      <c r="AO231" s="125"/>
      <c r="AP231" s="125"/>
      <c r="AQ231" s="278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256"/>
      <c r="BZ231" s="83"/>
      <c r="CA231" s="83"/>
      <c r="CB231" s="83"/>
      <c r="CC231" s="83"/>
      <c r="CD231" s="83"/>
      <c r="CE231" s="83"/>
      <c r="CF231" s="83"/>
      <c r="CG231" s="83"/>
      <c r="CH231" s="83"/>
      <c r="CI231" s="83"/>
      <c r="CJ231" s="83"/>
      <c r="CK231" s="83"/>
      <c r="CL231" s="83"/>
      <c r="CU231" s="141"/>
      <c r="CX231" s="225"/>
      <c r="CY231" s="225"/>
      <c r="CZ231" s="225"/>
      <c r="DA231" s="225"/>
      <c r="DB231" s="141"/>
      <c r="DC231" s="141"/>
      <c r="DD231" s="141"/>
      <c r="DE231" s="141"/>
      <c r="DF231" s="141"/>
      <c r="DG231" s="141"/>
      <c r="DH231" s="141"/>
      <c r="DI231" s="141"/>
      <c r="DJ231" s="141"/>
      <c r="DK231" s="141"/>
      <c r="DL231" s="141"/>
      <c r="DM231" s="141"/>
      <c r="DN231" s="141"/>
      <c r="DO231" s="141"/>
      <c r="DP231" s="141"/>
      <c r="DQ231" s="141"/>
      <c r="DR231" s="141"/>
      <c r="DS231" s="141"/>
      <c r="DT231" s="141"/>
      <c r="DU231" s="141"/>
      <c r="DV231" s="141"/>
      <c r="DW231" s="141"/>
      <c r="DX231" s="141"/>
      <c r="DY231" s="141"/>
      <c r="DZ231" s="141"/>
      <c r="EA231" s="141"/>
      <c r="EB231" s="141"/>
      <c r="EC231" s="141"/>
      <c r="ED231" s="342"/>
      <c r="EE231" s="342"/>
    </row>
    <row r="232" spans="1:135" s="52" customFormat="1" ht="13.5" hidden="1" customHeight="1" outlineLevel="1" x14ac:dyDescent="0.2">
      <c r="A232" s="141"/>
      <c r="B232" s="171"/>
      <c r="C232" s="141"/>
      <c r="D232" s="143"/>
      <c r="E232" s="142"/>
      <c r="F232" s="141"/>
      <c r="G232" s="144"/>
      <c r="H232" s="142"/>
      <c r="I232" s="142"/>
      <c r="J232" s="125"/>
      <c r="K232" s="125"/>
      <c r="L232" s="125"/>
      <c r="M232" s="125"/>
      <c r="N232" s="125"/>
      <c r="O232" s="125"/>
      <c r="P232" s="125"/>
      <c r="Q232" s="323"/>
      <c r="R232" s="125"/>
      <c r="S232" s="125"/>
      <c r="T232" s="145"/>
      <c r="U232" s="145"/>
      <c r="V232" s="145"/>
      <c r="W232" s="125"/>
      <c r="X232" s="278"/>
      <c r="Y232" s="278"/>
      <c r="Z232" s="125"/>
      <c r="AA232" s="125"/>
      <c r="AB232" s="125"/>
      <c r="AC232" s="278"/>
      <c r="AD232" s="278"/>
      <c r="AE232" s="279"/>
      <c r="AF232" s="278"/>
      <c r="AG232" s="278"/>
      <c r="AH232" s="278"/>
      <c r="AI232" s="278"/>
      <c r="AJ232" s="125"/>
      <c r="AK232" s="125"/>
      <c r="AL232" s="125"/>
      <c r="AM232" s="125"/>
      <c r="AN232" s="125"/>
      <c r="AO232" s="125"/>
      <c r="AP232" s="125"/>
      <c r="AQ232" s="278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256"/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U232" s="141"/>
      <c r="CX232" s="225"/>
      <c r="CY232" s="225"/>
      <c r="CZ232" s="225"/>
      <c r="DA232" s="225"/>
      <c r="DB232" s="141"/>
      <c r="DC232" s="141"/>
      <c r="DD232" s="141"/>
      <c r="DE232" s="141"/>
      <c r="DF232" s="141"/>
      <c r="DG232" s="141"/>
      <c r="DH232" s="141"/>
      <c r="DI232" s="141"/>
      <c r="DJ232" s="141"/>
      <c r="DK232" s="141"/>
      <c r="DL232" s="141"/>
      <c r="DM232" s="141"/>
      <c r="DN232" s="141"/>
      <c r="DO232" s="141"/>
      <c r="DP232" s="141"/>
      <c r="DQ232" s="141"/>
      <c r="DR232" s="141"/>
      <c r="DS232" s="141"/>
      <c r="DT232" s="141"/>
      <c r="DU232" s="141"/>
      <c r="DV232" s="141"/>
      <c r="DW232" s="141"/>
      <c r="DX232" s="141"/>
      <c r="DY232" s="141"/>
      <c r="DZ232" s="141"/>
      <c r="EA232" s="141"/>
      <c r="EB232" s="141"/>
      <c r="EC232" s="141"/>
      <c r="ED232" s="342"/>
      <c r="EE232" s="342"/>
    </row>
    <row r="233" spans="1:135" s="52" customFormat="1" ht="13.5" hidden="1" customHeight="1" outlineLevel="1" x14ac:dyDescent="0.2">
      <c r="A233" s="141"/>
      <c r="B233" s="171"/>
      <c r="C233" s="141"/>
      <c r="D233" s="143"/>
      <c r="E233" s="142"/>
      <c r="F233" s="141"/>
      <c r="G233" s="144"/>
      <c r="H233" s="142"/>
      <c r="I233" s="142"/>
      <c r="J233" s="125"/>
      <c r="K233" s="125"/>
      <c r="L233" s="125"/>
      <c r="M233" s="125"/>
      <c r="N233" s="125"/>
      <c r="O233" s="125"/>
      <c r="P233" s="125"/>
      <c r="Q233" s="323"/>
      <c r="R233" s="125"/>
      <c r="S233" s="125"/>
      <c r="T233" s="145"/>
      <c r="U233" s="145"/>
      <c r="V233" s="145"/>
      <c r="W233" s="125"/>
      <c r="X233" s="278"/>
      <c r="Y233" s="278"/>
      <c r="Z233" s="125"/>
      <c r="AA233" s="125"/>
      <c r="AB233" s="125"/>
      <c r="AC233" s="278"/>
      <c r="AD233" s="278"/>
      <c r="AE233" s="279"/>
      <c r="AF233" s="278"/>
      <c r="AG233" s="278"/>
      <c r="AH233" s="278"/>
      <c r="AI233" s="278"/>
      <c r="AJ233" s="125"/>
      <c r="AK233" s="125"/>
      <c r="AL233" s="125"/>
      <c r="AM233" s="125"/>
      <c r="AN233" s="125"/>
      <c r="AO233" s="125"/>
      <c r="AP233" s="125"/>
      <c r="AQ233" s="278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256"/>
      <c r="BZ233" s="83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U233" s="141"/>
      <c r="CX233" s="225"/>
      <c r="CY233" s="225"/>
      <c r="CZ233" s="225"/>
      <c r="DA233" s="225"/>
      <c r="DB233" s="141"/>
      <c r="DC233" s="141"/>
      <c r="DD233" s="141"/>
      <c r="DE233" s="141"/>
      <c r="DF233" s="141"/>
      <c r="DG233" s="141"/>
      <c r="DH233" s="141"/>
      <c r="DI233" s="141"/>
      <c r="DJ233" s="141"/>
      <c r="DK233" s="141"/>
      <c r="DL233" s="141"/>
      <c r="DM233" s="141"/>
      <c r="DN233" s="141"/>
      <c r="DO233" s="141"/>
      <c r="DP233" s="141"/>
      <c r="DQ233" s="141"/>
      <c r="DR233" s="141"/>
      <c r="DS233" s="141"/>
      <c r="DT233" s="141"/>
      <c r="DU233" s="141"/>
      <c r="DV233" s="141"/>
      <c r="DW233" s="141"/>
      <c r="DX233" s="141"/>
      <c r="DY233" s="141"/>
      <c r="DZ233" s="141"/>
      <c r="EA233" s="141"/>
      <c r="EB233" s="141"/>
      <c r="EC233" s="141"/>
      <c r="ED233" s="342"/>
      <c r="EE233" s="342"/>
    </row>
    <row r="234" spans="1:135" s="52" customFormat="1" ht="13.5" hidden="1" customHeight="1" outlineLevel="1" x14ac:dyDescent="0.2">
      <c r="A234" s="141"/>
      <c r="B234" s="171"/>
      <c r="C234" s="141"/>
      <c r="D234" s="143"/>
      <c r="E234" s="142"/>
      <c r="F234" s="141"/>
      <c r="G234" s="144"/>
      <c r="H234" s="142"/>
      <c r="I234" s="142"/>
      <c r="J234" s="125"/>
      <c r="K234" s="125"/>
      <c r="L234" s="125"/>
      <c r="M234" s="125"/>
      <c r="N234" s="125"/>
      <c r="O234" s="125"/>
      <c r="P234" s="125"/>
      <c r="Q234" s="323"/>
      <c r="R234" s="125"/>
      <c r="S234" s="125"/>
      <c r="T234" s="145"/>
      <c r="U234" s="145"/>
      <c r="V234" s="145"/>
      <c r="W234" s="125"/>
      <c r="X234" s="278"/>
      <c r="Y234" s="278"/>
      <c r="Z234" s="125"/>
      <c r="AA234" s="125"/>
      <c r="AB234" s="125"/>
      <c r="AC234" s="278"/>
      <c r="AD234" s="278"/>
      <c r="AE234" s="279"/>
      <c r="AF234" s="278"/>
      <c r="AG234" s="278"/>
      <c r="AH234" s="278"/>
      <c r="AI234" s="278"/>
      <c r="AJ234" s="125"/>
      <c r="AK234" s="125"/>
      <c r="AL234" s="125"/>
      <c r="AM234" s="125"/>
      <c r="AN234" s="125"/>
      <c r="AO234" s="125"/>
      <c r="AP234" s="125"/>
      <c r="AQ234" s="278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256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U234" s="141"/>
      <c r="CX234" s="225"/>
      <c r="CY234" s="225"/>
      <c r="CZ234" s="225"/>
      <c r="DA234" s="225"/>
      <c r="DB234" s="141"/>
      <c r="DC234" s="141"/>
      <c r="DD234" s="141"/>
      <c r="DE234" s="141"/>
      <c r="DF234" s="141"/>
      <c r="DG234" s="141"/>
      <c r="DH234" s="141"/>
      <c r="DI234" s="141"/>
      <c r="DJ234" s="141"/>
      <c r="DK234" s="141"/>
      <c r="DL234" s="141"/>
      <c r="DM234" s="141"/>
      <c r="DN234" s="141"/>
      <c r="DO234" s="141"/>
      <c r="DP234" s="141"/>
      <c r="DQ234" s="141"/>
      <c r="DR234" s="141"/>
      <c r="DS234" s="141"/>
      <c r="DT234" s="141"/>
      <c r="DU234" s="141"/>
      <c r="DV234" s="141"/>
      <c r="DW234" s="141"/>
      <c r="DX234" s="141"/>
      <c r="DY234" s="141"/>
      <c r="DZ234" s="141"/>
      <c r="EA234" s="141"/>
      <c r="EB234" s="141"/>
      <c r="EC234" s="141"/>
      <c r="ED234" s="342"/>
      <c r="EE234" s="342"/>
    </row>
    <row r="235" spans="1:135" s="52" customFormat="1" ht="13.5" hidden="1" customHeight="1" outlineLevel="1" x14ac:dyDescent="0.2">
      <c r="A235" s="141"/>
      <c r="B235" s="171"/>
      <c r="C235" s="141"/>
      <c r="D235" s="143"/>
      <c r="E235" s="142"/>
      <c r="F235" s="141"/>
      <c r="G235" s="144"/>
      <c r="H235" s="142"/>
      <c r="I235" s="142"/>
      <c r="J235" s="125"/>
      <c r="K235" s="125"/>
      <c r="L235" s="125"/>
      <c r="M235" s="125"/>
      <c r="N235" s="125"/>
      <c r="O235" s="125"/>
      <c r="P235" s="125"/>
      <c r="Q235" s="323"/>
      <c r="R235" s="125"/>
      <c r="S235" s="125"/>
      <c r="T235" s="145"/>
      <c r="U235" s="145"/>
      <c r="V235" s="145"/>
      <c r="W235" s="125"/>
      <c r="X235" s="278"/>
      <c r="Y235" s="278"/>
      <c r="Z235" s="125"/>
      <c r="AA235" s="125"/>
      <c r="AB235" s="125"/>
      <c r="AC235" s="278"/>
      <c r="AD235" s="278"/>
      <c r="AE235" s="279"/>
      <c r="AF235" s="278"/>
      <c r="AG235" s="278"/>
      <c r="AH235" s="278"/>
      <c r="AI235" s="278"/>
      <c r="AJ235" s="125"/>
      <c r="AK235" s="125"/>
      <c r="AL235" s="125"/>
      <c r="AM235" s="125"/>
      <c r="AN235" s="125"/>
      <c r="AO235" s="125"/>
      <c r="AP235" s="125"/>
      <c r="AQ235" s="278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256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U235" s="141"/>
      <c r="CX235" s="225"/>
      <c r="CY235" s="225"/>
      <c r="CZ235" s="225"/>
      <c r="DA235" s="225"/>
      <c r="DB235" s="141"/>
      <c r="DC235" s="141"/>
      <c r="DD235" s="141"/>
      <c r="DE235" s="141"/>
      <c r="DF235" s="141"/>
      <c r="DG235" s="141"/>
      <c r="DH235" s="141"/>
      <c r="DI235" s="141"/>
      <c r="DJ235" s="141"/>
      <c r="DK235" s="141"/>
      <c r="DL235" s="141"/>
      <c r="DM235" s="141"/>
      <c r="DN235" s="141"/>
      <c r="DO235" s="141"/>
      <c r="DP235" s="141"/>
      <c r="DQ235" s="141"/>
      <c r="DR235" s="141"/>
      <c r="DS235" s="141"/>
      <c r="DT235" s="141"/>
      <c r="DU235" s="141"/>
      <c r="DV235" s="141"/>
      <c r="DW235" s="141"/>
      <c r="DX235" s="141"/>
      <c r="DY235" s="141"/>
      <c r="DZ235" s="141"/>
      <c r="EA235" s="141"/>
      <c r="EB235" s="141"/>
      <c r="EC235" s="141"/>
      <c r="ED235" s="342"/>
      <c r="EE235" s="342"/>
    </row>
    <row r="236" spans="1:135" s="52" customFormat="1" ht="13.5" hidden="1" customHeight="1" outlineLevel="1" x14ac:dyDescent="0.2">
      <c r="A236" s="141"/>
      <c r="B236" s="171"/>
      <c r="C236" s="141"/>
      <c r="D236" s="143"/>
      <c r="E236" s="142"/>
      <c r="F236" s="141"/>
      <c r="G236" s="144"/>
      <c r="H236" s="142"/>
      <c r="I236" s="142"/>
      <c r="J236" s="125"/>
      <c r="K236" s="125"/>
      <c r="L236" s="125"/>
      <c r="M236" s="125"/>
      <c r="N236" s="125"/>
      <c r="O236" s="125"/>
      <c r="P236" s="125"/>
      <c r="Q236" s="323"/>
      <c r="R236" s="125"/>
      <c r="S236" s="125"/>
      <c r="T236" s="145"/>
      <c r="U236" s="145"/>
      <c r="V236" s="145"/>
      <c r="W236" s="125"/>
      <c r="X236" s="278"/>
      <c r="Y236" s="278"/>
      <c r="Z236" s="125"/>
      <c r="AA236" s="125"/>
      <c r="AB236" s="125"/>
      <c r="AC236" s="278"/>
      <c r="AD236" s="278"/>
      <c r="AE236" s="279"/>
      <c r="AF236" s="278"/>
      <c r="AG236" s="278"/>
      <c r="AH236" s="278"/>
      <c r="AI236" s="278"/>
      <c r="AJ236" s="125"/>
      <c r="AK236" s="125"/>
      <c r="AL236" s="125"/>
      <c r="AM236" s="125"/>
      <c r="AN236" s="125"/>
      <c r="AO236" s="125"/>
      <c r="AP236" s="125"/>
      <c r="AQ236" s="278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256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U236" s="141"/>
      <c r="CX236" s="225"/>
      <c r="CY236" s="225"/>
      <c r="CZ236" s="225"/>
      <c r="DA236" s="225"/>
      <c r="DB236" s="141"/>
      <c r="DC236" s="141"/>
      <c r="DD236" s="141"/>
      <c r="DE236" s="141"/>
      <c r="DF236" s="141"/>
      <c r="DG236" s="141"/>
      <c r="DH236" s="141"/>
      <c r="DI236" s="141"/>
      <c r="DJ236" s="141"/>
      <c r="DK236" s="141"/>
      <c r="DL236" s="141"/>
      <c r="DM236" s="141"/>
      <c r="DN236" s="141"/>
      <c r="DO236" s="141"/>
      <c r="DP236" s="141"/>
      <c r="DQ236" s="141"/>
      <c r="DR236" s="141"/>
      <c r="DS236" s="141"/>
      <c r="DT236" s="141"/>
      <c r="DU236" s="141"/>
      <c r="DV236" s="141"/>
      <c r="DW236" s="141"/>
      <c r="DX236" s="141"/>
      <c r="DY236" s="141"/>
      <c r="DZ236" s="141"/>
      <c r="EA236" s="141"/>
      <c r="EB236" s="141"/>
      <c r="EC236" s="141"/>
      <c r="ED236" s="342"/>
      <c r="EE236" s="342"/>
    </row>
    <row r="237" spans="1:135" s="52" customFormat="1" ht="13.5" hidden="1" customHeight="1" outlineLevel="1" x14ac:dyDescent="0.2">
      <c r="A237" s="141"/>
      <c r="B237" s="171"/>
      <c r="C237" s="141"/>
      <c r="D237" s="143"/>
      <c r="E237" s="142"/>
      <c r="F237" s="141"/>
      <c r="G237" s="144"/>
      <c r="H237" s="142"/>
      <c r="I237" s="142"/>
      <c r="J237" s="125"/>
      <c r="K237" s="125"/>
      <c r="L237" s="125"/>
      <c r="M237" s="125"/>
      <c r="N237" s="125"/>
      <c r="O237" s="125"/>
      <c r="P237" s="125"/>
      <c r="Q237" s="323"/>
      <c r="R237" s="125"/>
      <c r="S237" s="125"/>
      <c r="T237" s="145"/>
      <c r="U237" s="145"/>
      <c r="V237" s="145"/>
      <c r="W237" s="125"/>
      <c r="X237" s="278"/>
      <c r="Y237" s="278"/>
      <c r="Z237" s="125"/>
      <c r="AA237" s="125"/>
      <c r="AB237" s="125"/>
      <c r="AC237" s="278"/>
      <c r="AD237" s="278"/>
      <c r="AE237" s="279"/>
      <c r="AF237" s="278"/>
      <c r="AG237" s="278"/>
      <c r="AH237" s="278"/>
      <c r="AI237" s="278"/>
      <c r="AJ237" s="125"/>
      <c r="AK237" s="125"/>
      <c r="AL237" s="125"/>
      <c r="AM237" s="125"/>
      <c r="AN237" s="125"/>
      <c r="AO237" s="125"/>
      <c r="AP237" s="125"/>
      <c r="AQ237" s="278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256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U237" s="141"/>
      <c r="CX237" s="225"/>
      <c r="CY237" s="225"/>
      <c r="CZ237" s="225"/>
      <c r="DA237" s="225"/>
      <c r="DB237" s="141"/>
      <c r="DC237" s="141"/>
      <c r="DD237" s="141"/>
      <c r="DE237" s="141"/>
      <c r="DF237" s="141"/>
      <c r="DG237" s="141"/>
      <c r="DH237" s="141"/>
      <c r="DI237" s="141"/>
      <c r="DJ237" s="141"/>
      <c r="DK237" s="141"/>
      <c r="DL237" s="141"/>
      <c r="DM237" s="141"/>
      <c r="DN237" s="141"/>
      <c r="DO237" s="141"/>
      <c r="DP237" s="141"/>
      <c r="DQ237" s="141"/>
      <c r="DR237" s="141"/>
      <c r="DS237" s="141"/>
      <c r="DT237" s="141"/>
      <c r="DU237" s="141"/>
      <c r="DV237" s="141"/>
      <c r="DW237" s="141"/>
      <c r="DX237" s="141"/>
      <c r="DY237" s="141"/>
      <c r="DZ237" s="141"/>
      <c r="EA237" s="141"/>
      <c r="EB237" s="141"/>
      <c r="EC237" s="141"/>
      <c r="ED237" s="342"/>
      <c r="EE237" s="342"/>
    </row>
    <row r="238" spans="1:135" s="52" customFormat="1" ht="13.5" hidden="1" customHeight="1" outlineLevel="1" x14ac:dyDescent="0.2">
      <c r="A238" s="141"/>
      <c r="B238" s="171"/>
      <c r="C238" s="141"/>
      <c r="D238" s="143"/>
      <c r="E238" s="142"/>
      <c r="F238" s="141"/>
      <c r="G238" s="144"/>
      <c r="H238" s="142"/>
      <c r="I238" s="142"/>
      <c r="J238" s="125"/>
      <c r="K238" s="125"/>
      <c r="L238" s="125"/>
      <c r="M238" s="125"/>
      <c r="N238" s="125"/>
      <c r="O238" s="125"/>
      <c r="P238" s="125"/>
      <c r="Q238" s="323"/>
      <c r="R238" s="125"/>
      <c r="S238" s="125"/>
      <c r="T238" s="145"/>
      <c r="U238" s="145"/>
      <c r="V238" s="145"/>
      <c r="W238" s="125"/>
      <c r="X238" s="278"/>
      <c r="Y238" s="278"/>
      <c r="Z238" s="125"/>
      <c r="AA238" s="125"/>
      <c r="AB238" s="125"/>
      <c r="AC238" s="278"/>
      <c r="AD238" s="278"/>
      <c r="AE238" s="279"/>
      <c r="AF238" s="278"/>
      <c r="AG238" s="278"/>
      <c r="AH238" s="278"/>
      <c r="AI238" s="278"/>
      <c r="AJ238" s="125"/>
      <c r="AK238" s="125"/>
      <c r="AL238" s="125"/>
      <c r="AM238" s="125"/>
      <c r="AN238" s="125"/>
      <c r="AO238" s="125"/>
      <c r="AP238" s="125"/>
      <c r="AQ238" s="278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256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U238" s="141"/>
      <c r="CX238" s="225"/>
      <c r="CY238" s="225"/>
      <c r="CZ238" s="225"/>
      <c r="DA238" s="225"/>
      <c r="DB238" s="141"/>
      <c r="DC238" s="141"/>
      <c r="DD238" s="141"/>
      <c r="DE238" s="141"/>
      <c r="DF238" s="141"/>
      <c r="DG238" s="141"/>
      <c r="DH238" s="141"/>
      <c r="DI238" s="141"/>
      <c r="DJ238" s="141"/>
      <c r="DK238" s="141"/>
      <c r="DL238" s="141"/>
      <c r="DM238" s="141"/>
      <c r="DN238" s="141"/>
      <c r="DO238" s="141"/>
      <c r="DP238" s="141"/>
      <c r="DQ238" s="141"/>
      <c r="DR238" s="141"/>
      <c r="DS238" s="141"/>
      <c r="DT238" s="141"/>
      <c r="DU238" s="141"/>
      <c r="DV238" s="141"/>
      <c r="DW238" s="141"/>
      <c r="DX238" s="141"/>
      <c r="DY238" s="141"/>
      <c r="DZ238" s="141"/>
      <c r="EA238" s="141"/>
      <c r="EB238" s="141"/>
      <c r="EC238" s="141"/>
      <c r="ED238" s="342"/>
      <c r="EE238" s="342"/>
    </row>
    <row r="239" spans="1:135" s="52" customFormat="1" ht="13.5" hidden="1" customHeight="1" outlineLevel="1" x14ac:dyDescent="0.2">
      <c r="A239" s="141"/>
      <c r="B239" s="171"/>
      <c r="C239" s="141"/>
      <c r="D239" s="143"/>
      <c r="E239" s="142"/>
      <c r="F239" s="141"/>
      <c r="G239" s="144"/>
      <c r="H239" s="142"/>
      <c r="I239" s="142"/>
      <c r="J239" s="125"/>
      <c r="K239" s="125"/>
      <c r="L239" s="125"/>
      <c r="M239" s="125"/>
      <c r="N239" s="125"/>
      <c r="O239" s="125"/>
      <c r="P239" s="125"/>
      <c r="Q239" s="323"/>
      <c r="R239" s="125"/>
      <c r="S239" s="125"/>
      <c r="T239" s="145"/>
      <c r="U239" s="145"/>
      <c r="V239" s="145"/>
      <c r="W239" s="125"/>
      <c r="X239" s="278"/>
      <c r="Y239" s="278"/>
      <c r="Z239" s="125"/>
      <c r="AA239" s="125"/>
      <c r="AB239" s="125"/>
      <c r="AC239" s="278"/>
      <c r="AD239" s="278"/>
      <c r="AE239" s="279"/>
      <c r="AF239" s="278"/>
      <c r="AG239" s="278"/>
      <c r="AH239" s="278"/>
      <c r="AI239" s="278"/>
      <c r="AJ239" s="125"/>
      <c r="AK239" s="125"/>
      <c r="AL239" s="125"/>
      <c r="AM239" s="125"/>
      <c r="AN239" s="125"/>
      <c r="AO239" s="125"/>
      <c r="AP239" s="125"/>
      <c r="AQ239" s="278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256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U239" s="141"/>
      <c r="CX239" s="225"/>
      <c r="CY239" s="225"/>
      <c r="CZ239" s="225"/>
      <c r="DA239" s="225"/>
      <c r="DB239" s="141"/>
      <c r="DC239" s="141"/>
      <c r="DD239" s="141"/>
      <c r="DE239" s="141"/>
      <c r="DF239" s="141"/>
      <c r="DG239" s="141"/>
      <c r="DH239" s="141"/>
      <c r="DI239" s="141"/>
      <c r="DJ239" s="141"/>
      <c r="DK239" s="141"/>
      <c r="DL239" s="141"/>
      <c r="DM239" s="141"/>
      <c r="DN239" s="141"/>
      <c r="DO239" s="141"/>
      <c r="DP239" s="141"/>
      <c r="DQ239" s="141"/>
      <c r="DR239" s="141"/>
      <c r="DS239" s="141"/>
      <c r="DT239" s="141"/>
      <c r="DU239" s="141"/>
      <c r="DV239" s="141"/>
      <c r="DW239" s="141"/>
      <c r="DX239" s="141"/>
      <c r="DY239" s="141"/>
      <c r="DZ239" s="141"/>
      <c r="EA239" s="141"/>
      <c r="EB239" s="141"/>
      <c r="EC239" s="141"/>
      <c r="ED239" s="342"/>
      <c r="EE239" s="342"/>
    </row>
    <row r="240" spans="1:135" s="52" customFormat="1" ht="13.5" hidden="1" customHeight="1" outlineLevel="1" x14ac:dyDescent="0.2">
      <c r="A240" s="141"/>
      <c r="B240" s="171"/>
      <c r="C240" s="141"/>
      <c r="D240" s="143"/>
      <c r="E240" s="142"/>
      <c r="F240" s="141"/>
      <c r="G240" s="144"/>
      <c r="H240" s="142"/>
      <c r="I240" s="142"/>
      <c r="J240" s="125"/>
      <c r="K240" s="125"/>
      <c r="L240" s="125"/>
      <c r="M240" s="125"/>
      <c r="N240" s="125"/>
      <c r="O240" s="125"/>
      <c r="P240" s="125"/>
      <c r="Q240" s="323"/>
      <c r="R240" s="125"/>
      <c r="S240" s="125"/>
      <c r="T240" s="145"/>
      <c r="U240" s="145"/>
      <c r="V240" s="145"/>
      <c r="W240" s="125"/>
      <c r="X240" s="278"/>
      <c r="Y240" s="278"/>
      <c r="Z240" s="125"/>
      <c r="AA240" s="125"/>
      <c r="AB240" s="125"/>
      <c r="AC240" s="278"/>
      <c r="AD240" s="278"/>
      <c r="AE240" s="279"/>
      <c r="AF240" s="278"/>
      <c r="AG240" s="278"/>
      <c r="AH240" s="278"/>
      <c r="AI240" s="278"/>
      <c r="AJ240" s="125"/>
      <c r="AK240" s="125"/>
      <c r="AL240" s="125"/>
      <c r="AM240" s="125"/>
      <c r="AN240" s="125"/>
      <c r="AO240" s="125"/>
      <c r="AP240" s="125"/>
      <c r="AQ240" s="278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256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U240" s="141"/>
      <c r="CX240" s="225"/>
      <c r="CY240" s="225"/>
      <c r="CZ240" s="225"/>
      <c r="DA240" s="225"/>
      <c r="DB240" s="141"/>
      <c r="DC240" s="141"/>
      <c r="DD240" s="141"/>
      <c r="DE240" s="141"/>
      <c r="DF240" s="141"/>
      <c r="DG240" s="141"/>
      <c r="DH240" s="141"/>
      <c r="DI240" s="141"/>
      <c r="DJ240" s="141"/>
      <c r="DK240" s="141"/>
      <c r="DL240" s="141"/>
      <c r="DM240" s="141"/>
      <c r="DN240" s="141"/>
      <c r="DO240" s="141"/>
      <c r="DP240" s="141"/>
      <c r="DQ240" s="141"/>
      <c r="DR240" s="141"/>
      <c r="DS240" s="141"/>
      <c r="DT240" s="141"/>
      <c r="DU240" s="141"/>
      <c r="DV240" s="141"/>
      <c r="DW240" s="141"/>
      <c r="DX240" s="141"/>
      <c r="DY240" s="141"/>
      <c r="DZ240" s="141"/>
      <c r="EA240" s="141"/>
      <c r="EB240" s="141"/>
      <c r="EC240" s="141"/>
      <c r="ED240" s="342"/>
      <c r="EE240" s="342"/>
    </row>
    <row r="241" spans="1:135" s="52" customFormat="1" ht="13.5" hidden="1" customHeight="1" outlineLevel="1" x14ac:dyDescent="0.2">
      <c r="A241" s="141"/>
      <c r="B241" s="171"/>
      <c r="C241" s="141"/>
      <c r="D241" s="143"/>
      <c r="E241" s="142"/>
      <c r="F241" s="141"/>
      <c r="G241" s="144"/>
      <c r="H241" s="142"/>
      <c r="I241" s="142"/>
      <c r="J241" s="125"/>
      <c r="K241" s="125"/>
      <c r="L241" s="125"/>
      <c r="M241" s="125"/>
      <c r="N241" s="125"/>
      <c r="O241" s="125"/>
      <c r="P241" s="125"/>
      <c r="Q241" s="323"/>
      <c r="R241" s="125"/>
      <c r="S241" s="125"/>
      <c r="T241" s="145"/>
      <c r="U241" s="145"/>
      <c r="V241" s="145"/>
      <c r="W241" s="125"/>
      <c r="X241" s="278"/>
      <c r="Y241" s="278"/>
      <c r="Z241" s="125"/>
      <c r="AA241" s="125"/>
      <c r="AB241" s="125"/>
      <c r="AC241" s="278"/>
      <c r="AD241" s="278"/>
      <c r="AE241" s="279"/>
      <c r="AF241" s="278"/>
      <c r="AG241" s="278"/>
      <c r="AH241" s="278"/>
      <c r="AI241" s="278"/>
      <c r="AJ241" s="125"/>
      <c r="AK241" s="125"/>
      <c r="AL241" s="125"/>
      <c r="AM241" s="125"/>
      <c r="AN241" s="125"/>
      <c r="AO241" s="125"/>
      <c r="AP241" s="125"/>
      <c r="AQ241" s="278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256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U241" s="141"/>
      <c r="CX241" s="225"/>
      <c r="CY241" s="225"/>
      <c r="CZ241" s="225"/>
      <c r="DA241" s="225"/>
      <c r="DB241" s="141"/>
      <c r="DC241" s="141"/>
      <c r="DD241" s="141"/>
      <c r="DE241" s="141"/>
      <c r="DF241" s="141"/>
      <c r="DG241" s="141"/>
      <c r="DH241" s="141"/>
      <c r="DI241" s="141"/>
      <c r="DJ241" s="141"/>
      <c r="DK241" s="141"/>
      <c r="DL241" s="141"/>
      <c r="DM241" s="141"/>
      <c r="DN241" s="141"/>
      <c r="DO241" s="141"/>
      <c r="DP241" s="141"/>
      <c r="DQ241" s="141"/>
      <c r="DR241" s="141"/>
      <c r="DS241" s="141"/>
      <c r="DT241" s="141"/>
      <c r="DU241" s="141"/>
      <c r="DV241" s="141"/>
      <c r="DW241" s="141"/>
      <c r="DX241" s="141"/>
      <c r="DY241" s="141"/>
      <c r="DZ241" s="141"/>
      <c r="EA241" s="141"/>
      <c r="EB241" s="141"/>
      <c r="EC241" s="141"/>
      <c r="ED241" s="342"/>
      <c r="EE241" s="342"/>
    </row>
    <row r="242" spans="1:135" s="52" customFormat="1" ht="13.5" hidden="1" customHeight="1" outlineLevel="1" x14ac:dyDescent="0.2">
      <c r="A242" s="141"/>
      <c r="B242" s="171"/>
      <c r="C242" s="141"/>
      <c r="D242" s="143"/>
      <c r="E242" s="142"/>
      <c r="F242" s="141"/>
      <c r="G242" s="144"/>
      <c r="H242" s="142"/>
      <c r="I242" s="142"/>
      <c r="J242" s="125"/>
      <c r="K242" s="125"/>
      <c r="L242" s="125"/>
      <c r="M242" s="125"/>
      <c r="N242" s="125"/>
      <c r="O242" s="125"/>
      <c r="P242" s="125"/>
      <c r="Q242" s="323"/>
      <c r="R242" s="125"/>
      <c r="S242" s="125"/>
      <c r="T242" s="145"/>
      <c r="U242" s="145"/>
      <c r="V242" s="145"/>
      <c r="W242" s="125"/>
      <c r="X242" s="278"/>
      <c r="Y242" s="278"/>
      <c r="Z242" s="125"/>
      <c r="AA242" s="125"/>
      <c r="AB242" s="125"/>
      <c r="AC242" s="278"/>
      <c r="AD242" s="278"/>
      <c r="AE242" s="279"/>
      <c r="AF242" s="278"/>
      <c r="AG242" s="278"/>
      <c r="AH242" s="278"/>
      <c r="AI242" s="278"/>
      <c r="AJ242" s="125"/>
      <c r="AK242" s="125"/>
      <c r="AL242" s="125"/>
      <c r="AM242" s="125"/>
      <c r="AN242" s="125"/>
      <c r="AO242" s="125"/>
      <c r="AP242" s="125"/>
      <c r="AQ242" s="278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256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U242" s="141"/>
      <c r="CX242" s="225"/>
      <c r="CY242" s="225"/>
      <c r="CZ242" s="225"/>
      <c r="DA242" s="225"/>
      <c r="DB242" s="141"/>
      <c r="DC242" s="141"/>
      <c r="DD242" s="141"/>
      <c r="DE242" s="141"/>
      <c r="DF242" s="141"/>
      <c r="DG242" s="141"/>
      <c r="DH242" s="141"/>
      <c r="DI242" s="141"/>
      <c r="DJ242" s="141"/>
      <c r="DK242" s="141"/>
      <c r="DL242" s="141"/>
      <c r="DM242" s="141"/>
      <c r="DN242" s="141"/>
      <c r="DO242" s="141"/>
      <c r="DP242" s="141"/>
      <c r="DQ242" s="141"/>
      <c r="DR242" s="141"/>
      <c r="DS242" s="141"/>
      <c r="DT242" s="141"/>
      <c r="DU242" s="141"/>
      <c r="DV242" s="141"/>
      <c r="DW242" s="141"/>
      <c r="DX242" s="141"/>
      <c r="DY242" s="141"/>
      <c r="DZ242" s="141"/>
      <c r="EA242" s="141"/>
      <c r="EB242" s="141"/>
      <c r="EC242" s="141"/>
      <c r="ED242" s="342"/>
      <c r="EE242" s="342"/>
    </row>
    <row r="243" spans="1:135" s="52" customFormat="1" ht="13.5" hidden="1" customHeight="1" outlineLevel="1" x14ac:dyDescent="0.2">
      <c r="A243" s="141"/>
      <c r="B243" s="171"/>
      <c r="C243" s="141"/>
      <c r="D243" s="143"/>
      <c r="E243" s="142"/>
      <c r="F243" s="141"/>
      <c r="G243" s="144"/>
      <c r="H243" s="142"/>
      <c r="I243" s="142"/>
      <c r="J243" s="125"/>
      <c r="K243" s="125"/>
      <c r="L243" s="125"/>
      <c r="M243" s="125"/>
      <c r="N243" s="125"/>
      <c r="O243" s="125"/>
      <c r="P243" s="125"/>
      <c r="Q243" s="323"/>
      <c r="R243" s="125"/>
      <c r="S243" s="125"/>
      <c r="T243" s="145"/>
      <c r="U243" s="145"/>
      <c r="V243" s="145"/>
      <c r="W243" s="125"/>
      <c r="X243" s="278"/>
      <c r="Y243" s="278"/>
      <c r="Z243" s="125"/>
      <c r="AA243" s="125"/>
      <c r="AB243" s="125"/>
      <c r="AC243" s="278"/>
      <c r="AD243" s="278"/>
      <c r="AE243" s="279"/>
      <c r="AF243" s="278"/>
      <c r="AG243" s="278"/>
      <c r="AH243" s="278"/>
      <c r="AI243" s="278"/>
      <c r="AJ243" s="125"/>
      <c r="AK243" s="125"/>
      <c r="AL243" s="125"/>
      <c r="AM243" s="125"/>
      <c r="AN243" s="125"/>
      <c r="AO243" s="125"/>
      <c r="AP243" s="125"/>
      <c r="AQ243" s="278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256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U243" s="141"/>
      <c r="CX243" s="225"/>
      <c r="CY243" s="225"/>
      <c r="CZ243" s="225"/>
      <c r="DA243" s="225"/>
      <c r="DB243" s="141"/>
      <c r="DC243" s="141"/>
      <c r="DD243" s="141"/>
      <c r="DE243" s="141"/>
      <c r="DF243" s="141"/>
      <c r="DG243" s="141"/>
      <c r="DH243" s="141"/>
      <c r="DI243" s="141"/>
      <c r="DJ243" s="141"/>
      <c r="DK243" s="141"/>
      <c r="DL243" s="141"/>
      <c r="DM243" s="141"/>
      <c r="DN243" s="141"/>
      <c r="DO243" s="141"/>
      <c r="DP243" s="141"/>
      <c r="DQ243" s="141"/>
      <c r="DR243" s="141"/>
      <c r="DS243" s="141"/>
      <c r="DT243" s="141"/>
      <c r="DU243" s="141"/>
      <c r="DV243" s="141"/>
      <c r="DW243" s="141"/>
      <c r="DX243" s="141"/>
      <c r="DY243" s="141"/>
      <c r="DZ243" s="141"/>
      <c r="EA243" s="141"/>
      <c r="EB243" s="141"/>
      <c r="EC243" s="141"/>
      <c r="ED243" s="342"/>
      <c r="EE243" s="342"/>
    </row>
    <row r="244" spans="1:135" s="52" customFormat="1" ht="13.5" hidden="1" customHeight="1" outlineLevel="1" x14ac:dyDescent="0.2">
      <c r="A244" s="141"/>
      <c r="B244" s="171"/>
      <c r="C244" s="141"/>
      <c r="D244" s="143"/>
      <c r="E244" s="142"/>
      <c r="F244" s="141"/>
      <c r="G244" s="144"/>
      <c r="H244" s="142"/>
      <c r="I244" s="142"/>
      <c r="J244" s="125"/>
      <c r="K244" s="125"/>
      <c r="L244" s="125"/>
      <c r="M244" s="125"/>
      <c r="N244" s="125"/>
      <c r="O244" s="125"/>
      <c r="P244" s="125"/>
      <c r="Q244" s="323"/>
      <c r="R244" s="125"/>
      <c r="S244" s="125"/>
      <c r="T244" s="145"/>
      <c r="U244" s="145"/>
      <c r="V244" s="145"/>
      <c r="W244" s="125"/>
      <c r="X244" s="278"/>
      <c r="Y244" s="278"/>
      <c r="Z244" s="125"/>
      <c r="AA244" s="125"/>
      <c r="AB244" s="125"/>
      <c r="AC244" s="278"/>
      <c r="AD244" s="278"/>
      <c r="AE244" s="279"/>
      <c r="AF244" s="278"/>
      <c r="AG244" s="278"/>
      <c r="AH244" s="278"/>
      <c r="AI244" s="278"/>
      <c r="AJ244" s="125"/>
      <c r="AK244" s="125"/>
      <c r="AL244" s="125"/>
      <c r="AM244" s="125"/>
      <c r="AN244" s="125"/>
      <c r="AO244" s="125"/>
      <c r="AP244" s="125"/>
      <c r="AQ244" s="278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256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U244" s="141"/>
      <c r="CX244" s="225"/>
      <c r="CY244" s="225"/>
      <c r="CZ244" s="225"/>
      <c r="DA244" s="225"/>
      <c r="DB244" s="141"/>
      <c r="DC244" s="141"/>
      <c r="DD244" s="141"/>
      <c r="DE244" s="141"/>
      <c r="DF244" s="141"/>
      <c r="DG244" s="141"/>
      <c r="DH244" s="141"/>
      <c r="DI244" s="141"/>
      <c r="DJ244" s="141"/>
      <c r="DK244" s="141"/>
      <c r="DL244" s="141"/>
      <c r="DM244" s="141"/>
      <c r="DN244" s="141"/>
      <c r="DO244" s="141"/>
      <c r="DP244" s="141"/>
      <c r="DQ244" s="141"/>
      <c r="DR244" s="141"/>
      <c r="DS244" s="141"/>
      <c r="DT244" s="141"/>
      <c r="DU244" s="141"/>
      <c r="DV244" s="141"/>
      <c r="DW244" s="141"/>
      <c r="DX244" s="141"/>
      <c r="DY244" s="141"/>
      <c r="DZ244" s="141"/>
      <c r="EA244" s="141"/>
      <c r="EB244" s="141"/>
      <c r="EC244" s="141"/>
      <c r="ED244" s="342"/>
      <c r="EE244" s="342"/>
    </row>
    <row r="245" spans="1:135" s="52" customFormat="1" ht="13.5" hidden="1" customHeight="1" outlineLevel="1" x14ac:dyDescent="0.2">
      <c r="A245" s="141"/>
      <c r="B245" s="171"/>
      <c r="C245" s="141"/>
      <c r="D245" s="143"/>
      <c r="E245" s="142"/>
      <c r="F245" s="141"/>
      <c r="G245" s="144"/>
      <c r="H245" s="142"/>
      <c r="I245" s="142"/>
      <c r="J245" s="125"/>
      <c r="K245" s="125"/>
      <c r="L245" s="125"/>
      <c r="M245" s="125"/>
      <c r="N245" s="125"/>
      <c r="O245" s="125"/>
      <c r="P245" s="125"/>
      <c r="Q245" s="323"/>
      <c r="R245" s="125"/>
      <c r="S245" s="125"/>
      <c r="T245" s="145"/>
      <c r="U245" s="145"/>
      <c r="V245" s="145"/>
      <c r="W245" s="125"/>
      <c r="X245" s="278"/>
      <c r="Y245" s="278"/>
      <c r="Z245" s="125"/>
      <c r="AA245" s="125"/>
      <c r="AB245" s="125"/>
      <c r="AC245" s="278"/>
      <c r="AD245" s="278"/>
      <c r="AE245" s="279"/>
      <c r="AF245" s="278"/>
      <c r="AG245" s="278"/>
      <c r="AH245" s="278"/>
      <c r="AI245" s="278"/>
      <c r="AJ245" s="125"/>
      <c r="AK245" s="125"/>
      <c r="AL245" s="125"/>
      <c r="AM245" s="125"/>
      <c r="AN245" s="125"/>
      <c r="AO245" s="125"/>
      <c r="AP245" s="125"/>
      <c r="AQ245" s="278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256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U245" s="141"/>
      <c r="CX245" s="225"/>
      <c r="CY245" s="225"/>
      <c r="CZ245" s="225"/>
      <c r="DA245" s="225"/>
      <c r="DB245" s="141"/>
      <c r="DC245" s="141"/>
      <c r="DD245" s="141"/>
      <c r="DE245" s="141"/>
      <c r="DF245" s="141"/>
      <c r="DG245" s="141"/>
      <c r="DH245" s="141"/>
      <c r="DI245" s="141"/>
      <c r="DJ245" s="141"/>
      <c r="DK245" s="141"/>
      <c r="DL245" s="141"/>
      <c r="DM245" s="141"/>
      <c r="DN245" s="141"/>
      <c r="DO245" s="141"/>
      <c r="DP245" s="141"/>
      <c r="DQ245" s="141"/>
      <c r="DR245" s="141"/>
      <c r="DS245" s="141"/>
      <c r="DT245" s="141"/>
      <c r="DU245" s="141"/>
      <c r="DV245" s="141"/>
      <c r="DW245" s="141"/>
      <c r="DX245" s="141"/>
      <c r="DY245" s="141"/>
      <c r="DZ245" s="141"/>
      <c r="EA245" s="141"/>
      <c r="EB245" s="141"/>
      <c r="EC245" s="141"/>
      <c r="ED245" s="342"/>
      <c r="EE245" s="342"/>
    </row>
    <row r="246" spans="1:135" s="52" customFormat="1" ht="13.5" hidden="1" customHeight="1" outlineLevel="1" x14ac:dyDescent="0.2">
      <c r="A246" s="141"/>
      <c r="B246" s="171"/>
      <c r="C246" s="141"/>
      <c r="D246" s="143"/>
      <c r="E246" s="142"/>
      <c r="F246" s="141"/>
      <c r="G246" s="144"/>
      <c r="H246" s="142"/>
      <c r="I246" s="142"/>
      <c r="J246" s="125"/>
      <c r="K246" s="125"/>
      <c r="L246" s="125"/>
      <c r="M246" s="125"/>
      <c r="N246" s="125"/>
      <c r="O246" s="125"/>
      <c r="P246" s="125"/>
      <c r="Q246" s="323"/>
      <c r="R246" s="125"/>
      <c r="S246" s="125"/>
      <c r="T246" s="145"/>
      <c r="U246" s="145"/>
      <c r="V246" s="145"/>
      <c r="W246" s="125"/>
      <c r="X246" s="278"/>
      <c r="Y246" s="278"/>
      <c r="Z246" s="125"/>
      <c r="AA246" s="125"/>
      <c r="AB246" s="125"/>
      <c r="AC246" s="278"/>
      <c r="AD246" s="278"/>
      <c r="AE246" s="279"/>
      <c r="AF246" s="278"/>
      <c r="AG246" s="278"/>
      <c r="AH246" s="278"/>
      <c r="AI246" s="278"/>
      <c r="AJ246" s="125"/>
      <c r="AK246" s="125"/>
      <c r="AL246" s="125"/>
      <c r="AM246" s="125"/>
      <c r="AN246" s="125"/>
      <c r="AO246" s="125"/>
      <c r="AP246" s="125"/>
      <c r="AQ246" s="278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256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U246" s="141"/>
      <c r="CX246" s="225"/>
      <c r="CY246" s="225"/>
      <c r="CZ246" s="225"/>
      <c r="DA246" s="225"/>
      <c r="DB246" s="141"/>
      <c r="DC246" s="141"/>
      <c r="DD246" s="141"/>
      <c r="DE246" s="141"/>
      <c r="DF246" s="141"/>
      <c r="DG246" s="141"/>
      <c r="DH246" s="141"/>
      <c r="DI246" s="141"/>
      <c r="DJ246" s="141"/>
      <c r="DK246" s="141"/>
      <c r="DL246" s="141"/>
      <c r="DM246" s="141"/>
      <c r="DN246" s="141"/>
      <c r="DO246" s="141"/>
      <c r="DP246" s="141"/>
      <c r="DQ246" s="141"/>
      <c r="DR246" s="141"/>
      <c r="DS246" s="141"/>
      <c r="DT246" s="141"/>
      <c r="DU246" s="141"/>
      <c r="DV246" s="141"/>
      <c r="DW246" s="141"/>
      <c r="DX246" s="141"/>
      <c r="DY246" s="141"/>
      <c r="DZ246" s="141"/>
      <c r="EA246" s="141"/>
      <c r="EB246" s="141"/>
      <c r="EC246" s="141"/>
      <c r="ED246" s="342"/>
      <c r="EE246" s="342"/>
    </row>
    <row r="247" spans="1:135" s="52" customFormat="1" ht="13.5" hidden="1" customHeight="1" outlineLevel="1" x14ac:dyDescent="0.2">
      <c r="A247" s="141"/>
      <c r="B247" s="171"/>
      <c r="C247" s="141"/>
      <c r="D247" s="143"/>
      <c r="E247" s="142"/>
      <c r="F247" s="141"/>
      <c r="G247" s="144"/>
      <c r="H247" s="142"/>
      <c r="I247" s="142"/>
      <c r="J247" s="125"/>
      <c r="K247" s="125"/>
      <c r="L247" s="125"/>
      <c r="M247" s="125"/>
      <c r="N247" s="125"/>
      <c r="O247" s="125"/>
      <c r="P247" s="125"/>
      <c r="Q247" s="323"/>
      <c r="R247" s="125"/>
      <c r="S247" s="125"/>
      <c r="T247" s="145"/>
      <c r="U247" s="145"/>
      <c r="V247" s="145"/>
      <c r="W247" s="125"/>
      <c r="X247" s="278"/>
      <c r="Y247" s="278"/>
      <c r="Z247" s="125"/>
      <c r="AA247" s="125"/>
      <c r="AB247" s="125"/>
      <c r="AC247" s="278"/>
      <c r="AD247" s="278"/>
      <c r="AE247" s="279"/>
      <c r="AF247" s="278"/>
      <c r="AG247" s="278"/>
      <c r="AH247" s="278"/>
      <c r="AI247" s="278"/>
      <c r="AJ247" s="125"/>
      <c r="AK247" s="125"/>
      <c r="AL247" s="125"/>
      <c r="AM247" s="125"/>
      <c r="AN247" s="125"/>
      <c r="AO247" s="125"/>
      <c r="AP247" s="125"/>
      <c r="AQ247" s="278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256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U247" s="141"/>
      <c r="CX247" s="225"/>
      <c r="CY247" s="225"/>
      <c r="CZ247" s="225"/>
      <c r="DA247" s="225"/>
      <c r="DB247" s="141"/>
      <c r="DC247" s="141"/>
      <c r="DD247" s="141"/>
      <c r="DE247" s="141"/>
      <c r="DF247" s="141"/>
      <c r="DG247" s="141"/>
      <c r="DH247" s="141"/>
      <c r="DI247" s="141"/>
      <c r="DJ247" s="141"/>
      <c r="DK247" s="141"/>
      <c r="DL247" s="141"/>
      <c r="DM247" s="141"/>
      <c r="DN247" s="141"/>
      <c r="DO247" s="141"/>
      <c r="DP247" s="141"/>
      <c r="DQ247" s="141"/>
      <c r="DR247" s="141"/>
      <c r="DS247" s="141"/>
      <c r="DT247" s="141"/>
      <c r="DU247" s="141"/>
      <c r="DV247" s="141"/>
      <c r="DW247" s="141"/>
      <c r="DX247" s="141"/>
      <c r="DY247" s="141"/>
      <c r="DZ247" s="141"/>
      <c r="EA247" s="141"/>
      <c r="EB247" s="141"/>
      <c r="EC247" s="141"/>
      <c r="ED247" s="342"/>
      <c r="EE247" s="342"/>
    </row>
    <row r="248" spans="1:135" s="159" customFormat="1" ht="13.5" collapsed="1" x14ac:dyDescent="0.2">
      <c r="A248" s="151"/>
      <c r="B248" s="168"/>
      <c r="C248" s="151" t="s">
        <v>27</v>
      </c>
      <c r="D248" s="160"/>
      <c r="E248" s="147"/>
      <c r="F248" s="151"/>
      <c r="G248" s="162">
        <f>SUM(G7:G35)</f>
        <v>29</v>
      </c>
      <c r="H248" s="147"/>
      <c r="I248" s="147"/>
      <c r="J248" s="162">
        <f t="shared" ref="J248:BU248" si="35">SUM(J7:J35)</f>
        <v>570826.5</v>
      </c>
      <c r="K248" s="162">
        <f t="shared" si="35"/>
        <v>23701.1</v>
      </c>
      <c r="L248" s="162">
        <f t="shared" si="35"/>
        <v>0</v>
      </c>
      <c r="M248" s="162">
        <f t="shared" si="35"/>
        <v>21730.799999999999</v>
      </c>
      <c r="N248" s="162">
        <f t="shared" si="35"/>
        <v>2015</v>
      </c>
      <c r="O248" s="162">
        <f t="shared" si="35"/>
        <v>5572</v>
      </c>
      <c r="P248" s="162">
        <f t="shared" si="35"/>
        <v>2038</v>
      </c>
      <c r="Q248" s="324">
        <f t="shared" si="35"/>
        <v>5112</v>
      </c>
      <c r="R248" s="236">
        <f t="shared" si="35"/>
        <v>138346.44999999998</v>
      </c>
      <c r="S248" s="162">
        <f t="shared" si="35"/>
        <v>85150.9</v>
      </c>
      <c r="T248" s="162">
        <f t="shared" si="35"/>
        <v>1642</v>
      </c>
      <c r="U248" s="162">
        <f t="shared" si="35"/>
        <v>110904.88000000002</v>
      </c>
      <c r="V248" s="162">
        <f t="shared" si="35"/>
        <v>68305.67</v>
      </c>
      <c r="W248" s="162">
        <f t="shared" si="35"/>
        <v>373</v>
      </c>
      <c r="X248" s="236">
        <f t="shared" si="35"/>
        <v>27441.569999999996</v>
      </c>
      <c r="Y248" s="236">
        <f t="shared" si="35"/>
        <v>16845.229999999996</v>
      </c>
      <c r="Z248" s="162">
        <f t="shared" si="35"/>
        <v>0</v>
      </c>
      <c r="AA248" s="162">
        <f t="shared" si="35"/>
        <v>0</v>
      </c>
      <c r="AB248" s="162">
        <f t="shared" si="35"/>
        <v>0</v>
      </c>
      <c r="AC248" s="236">
        <f t="shared" si="35"/>
        <v>3779.2000000000003</v>
      </c>
      <c r="AD248" s="236">
        <f t="shared" si="35"/>
        <v>2238.8000000000002</v>
      </c>
      <c r="AE248" s="236">
        <f t="shared" si="35"/>
        <v>0</v>
      </c>
      <c r="AF248" s="236">
        <f t="shared" si="35"/>
        <v>2238.8000000000002</v>
      </c>
      <c r="AG248" s="236">
        <f t="shared" si="35"/>
        <v>777.2</v>
      </c>
      <c r="AH248" s="236">
        <f t="shared" si="35"/>
        <v>763.2</v>
      </c>
      <c r="AI248" s="236">
        <f t="shared" si="35"/>
        <v>142125.65</v>
      </c>
      <c r="AJ248" s="162">
        <f t="shared" si="35"/>
        <v>5100</v>
      </c>
      <c r="AK248" s="162">
        <f t="shared" si="35"/>
        <v>61</v>
      </c>
      <c r="AL248" s="162">
        <f t="shared" si="35"/>
        <v>61</v>
      </c>
      <c r="AM248" s="162">
        <f t="shared" si="35"/>
        <v>61</v>
      </c>
      <c r="AN248" s="162">
        <f t="shared" si="35"/>
        <v>0</v>
      </c>
      <c r="AO248" s="162">
        <f t="shared" si="35"/>
        <v>61</v>
      </c>
      <c r="AP248" s="162">
        <f t="shared" si="35"/>
        <v>108372</v>
      </c>
      <c r="AQ248" s="317">
        <f t="shared" si="35"/>
        <v>751.88499999999999</v>
      </c>
      <c r="AR248" s="162">
        <f t="shared" si="35"/>
        <v>11894</v>
      </c>
      <c r="AS248" s="162">
        <f t="shared" si="35"/>
        <v>9406</v>
      </c>
      <c r="AT248" s="162">
        <f t="shared" si="35"/>
        <v>3212</v>
      </c>
      <c r="AU248" s="162">
        <f t="shared" si="35"/>
        <v>151994</v>
      </c>
      <c r="AV248" s="162">
        <f t="shared" si="35"/>
        <v>15896</v>
      </c>
      <c r="AW248" s="162">
        <f t="shared" si="35"/>
        <v>136098</v>
      </c>
      <c r="AX248" s="162">
        <f t="shared" si="35"/>
        <v>52887</v>
      </c>
      <c r="AY248" s="162">
        <f t="shared" si="35"/>
        <v>5021</v>
      </c>
      <c r="AZ248" s="162">
        <f t="shared" si="35"/>
        <v>21746</v>
      </c>
      <c r="BA248" s="162">
        <f t="shared" si="35"/>
        <v>18251</v>
      </c>
      <c r="BB248" s="162">
        <f t="shared" si="35"/>
        <v>998</v>
      </c>
      <c r="BC248" s="162">
        <f t="shared" si="35"/>
        <v>1303</v>
      </c>
      <c r="BD248" s="162">
        <f t="shared" si="35"/>
        <v>7915</v>
      </c>
      <c r="BE248" s="162">
        <f t="shared" si="35"/>
        <v>16337</v>
      </c>
      <c r="BF248" s="162">
        <f t="shared" si="35"/>
        <v>30</v>
      </c>
      <c r="BG248" s="162">
        <f t="shared" si="35"/>
        <v>86497</v>
      </c>
      <c r="BH248" s="162">
        <f t="shared" si="35"/>
        <v>28792</v>
      </c>
      <c r="BI248" s="162">
        <f t="shared" si="35"/>
        <v>9102</v>
      </c>
      <c r="BJ248" s="162">
        <f t="shared" si="35"/>
        <v>0</v>
      </c>
      <c r="BK248" s="162">
        <f t="shared" si="35"/>
        <v>0</v>
      </c>
      <c r="BL248" s="162">
        <f t="shared" si="35"/>
        <v>0</v>
      </c>
      <c r="BM248" s="162">
        <f t="shared" si="35"/>
        <v>29</v>
      </c>
      <c r="BN248" s="162">
        <f t="shared" si="35"/>
        <v>138346.44999999998</v>
      </c>
      <c r="BO248" s="162">
        <f t="shared" si="35"/>
        <v>85150.9</v>
      </c>
      <c r="BP248" s="162">
        <f t="shared" si="35"/>
        <v>0</v>
      </c>
      <c r="BQ248" s="162">
        <f t="shared" si="35"/>
        <v>0</v>
      </c>
      <c r="BR248" s="162">
        <f t="shared" si="35"/>
        <v>0</v>
      </c>
      <c r="BS248" s="162">
        <f t="shared" si="35"/>
        <v>9</v>
      </c>
      <c r="BT248" s="162">
        <f t="shared" si="35"/>
        <v>59</v>
      </c>
      <c r="BU248" s="162">
        <f t="shared" si="35"/>
        <v>18367</v>
      </c>
      <c r="BV248" s="162">
        <f t="shared" ref="BV248:CU248" si="36">SUM(BV7:BV35)</f>
        <v>4247</v>
      </c>
      <c r="BW248" s="162">
        <f t="shared" si="36"/>
        <v>0</v>
      </c>
      <c r="BX248" s="162">
        <f t="shared" si="36"/>
        <v>0</v>
      </c>
      <c r="BY248" s="236">
        <f t="shared" si="36"/>
        <v>40274.549999999996</v>
      </c>
      <c r="BZ248" s="236">
        <f t="shared" si="36"/>
        <v>19545.900000000001</v>
      </c>
      <c r="CA248" s="236">
        <f t="shared" ref="CA248:CL248" si="37">SUM(CA7:CA35)</f>
        <v>19538.7</v>
      </c>
      <c r="CB248" s="236">
        <f t="shared" si="37"/>
        <v>681.3</v>
      </c>
      <c r="CC248" s="236">
        <f t="shared" si="37"/>
        <v>7.2</v>
      </c>
      <c r="CD248" s="236">
        <f t="shared" si="37"/>
        <v>18338.799999999996</v>
      </c>
      <c r="CE248" s="236">
        <f t="shared" si="37"/>
        <v>750.5999999999998</v>
      </c>
      <c r="CF248" s="236">
        <f t="shared" si="37"/>
        <v>6.8</v>
      </c>
      <c r="CG248" s="236">
        <f t="shared" si="37"/>
        <v>539.65</v>
      </c>
      <c r="CH248" s="236">
        <f t="shared" si="37"/>
        <v>411.49999999999994</v>
      </c>
      <c r="CI248" s="236">
        <f t="shared" si="37"/>
        <v>40274.549999999996</v>
      </c>
      <c r="CJ248" s="236">
        <f t="shared" si="37"/>
        <v>19545.900000000001</v>
      </c>
      <c r="CK248" s="236">
        <f t="shared" si="37"/>
        <v>21746</v>
      </c>
      <c r="CL248" s="236">
        <f t="shared" si="37"/>
        <v>62020.549999999996</v>
      </c>
      <c r="CM248" s="162">
        <f t="shared" si="36"/>
        <v>48357</v>
      </c>
      <c r="CN248" s="162">
        <f t="shared" si="36"/>
        <v>24655.9</v>
      </c>
      <c r="CO248" s="162">
        <f t="shared" si="36"/>
        <v>3</v>
      </c>
      <c r="CP248" s="162">
        <f t="shared" si="36"/>
        <v>15896</v>
      </c>
      <c r="CQ248" s="162">
        <f t="shared" si="36"/>
        <v>26</v>
      </c>
      <c r="CR248" s="162">
        <f t="shared" si="36"/>
        <v>136098</v>
      </c>
      <c r="CS248" s="162">
        <f t="shared" si="36"/>
        <v>29</v>
      </c>
      <c r="CT248" s="162">
        <f t="shared" si="36"/>
        <v>151994</v>
      </c>
      <c r="CU248" s="294">
        <f t="shared" si="36"/>
        <v>1532</v>
      </c>
      <c r="CV248" s="162">
        <f>SUM(CV7:CV35)</f>
        <v>0</v>
      </c>
      <c r="CW248" s="162">
        <f>SUM(CW7:CW35)</f>
        <v>0</v>
      </c>
      <c r="CX248" s="244"/>
      <c r="CY248" s="162">
        <f>SUM(CY7:CY35)</f>
        <v>0</v>
      </c>
      <c r="CZ248" s="162">
        <f>SUM(CZ7:CZ35)</f>
        <v>0</v>
      </c>
      <c r="DA248" s="244"/>
      <c r="DB248" s="162">
        <f t="shared" ref="DB248:EC248" si="38">SUM(DB7:DB35)</f>
        <v>29</v>
      </c>
      <c r="DC248" s="162">
        <f t="shared" si="38"/>
        <v>29</v>
      </c>
      <c r="DD248" s="162">
        <f t="shared" si="38"/>
        <v>29</v>
      </c>
      <c r="DE248" s="162">
        <f t="shared" si="38"/>
        <v>29</v>
      </c>
      <c r="DF248" s="162">
        <f t="shared" si="38"/>
        <v>60</v>
      </c>
      <c r="DG248" s="162">
        <f t="shared" si="38"/>
        <v>33</v>
      </c>
      <c r="DH248" s="162">
        <f t="shared" si="38"/>
        <v>33</v>
      </c>
      <c r="DI248" s="162">
        <f t="shared" si="38"/>
        <v>33</v>
      </c>
      <c r="DJ248" s="162">
        <f t="shared" si="38"/>
        <v>33</v>
      </c>
      <c r="DK248" s="162">
        <f t="shared" si="38"/>
        <v>2014</v>
      </c>
      <c r="DL248" s="162">
        <f t="shared" si="38"/>
        <v>1659</v>
      </c>
      <c r="DM248" s="162">
        <f t="shared" si="38"/>
        <v>355</v>
      </c>
      <c r="DN248" s="162">
        <f t="shared" si="38"/>
        <v>1388</v>
      </c>
      <c r="DO248" s="162">
        <f t="shared" si="38"/>
        <v>1092</v>
      </c>
      <c r="DP248" s="162">
        <f t="shared" si="38"/>
        <v>1388</v>
      </c>
      <c r="DQ248" s="162">
        <f t="shared" si="38"/>
        <v>1585</v>
      </c>
      <c r="DR248" s="162">
        <f t="shared" si="38"/>
        <v>1129</v>
      </c>
      <c r="DS248" s="162">
        <f t="shared" si="38"/>
        <v>1335</v>
      </c>
      <c r="DT248" s="162">
        <f t="shared" si="38"/>
        <v>1639</v>
      </c>
      <c r="DU248" s="162">
        <f t="shared" si="38"/>
        <v>204</v>
      </c>
      <c r="DV248" s="162">
        <f t="shared" si="38"/>
        <v>146</v>
      </c>
      <c r="DW248" s="162">
        <f t="shared" si="38"/>
        <v>157</v>
      </c>
      <c r="DX248" s="162">
        <f t="shared" si="38"/>
        <v>217</v>
      </c>
      <c r="DY248" s="162">
        <f t="shared" si="38"/>
        <v>152</v>
      </c>
      <c r="DZ248" s="162">
        <f t="shared" si="38"/>
        <v>147</v>
      </c>
      <c r="EA248" s="162">
        <f t="shared" si="38"/>
        <v>228</v>
      </c>
      <c r="EB248" s="162">
        <f t="shared" si="38"/>
        <v>2014</v>
      </c>
      <c r="EC248" s="162">
        <f t="shared" si="38"/>
        <v>2014</v>
      </c>
      <c r="ED248" s="342"/>
      <c r="EE248" s="342"/>
    </row>
    <row r="249" spans="1:135" s="75" customFormat="1" x14ac:dyDescent="0.2">
      <c r="B249" s="172"/>
      <c r="C249" s="71"/>
      <c r="D249" s="72"/>
      <c r="E249" s="74"/>
      <c r="F249" s="76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18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295"/>
      <c r="CX249" s="222"/>
      <c r="DA249" s="222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</row>
    <row r="250" spans="1:135" s="20" customFormat="1" ht="25.5" x14ac:dyDescent="0.2">
      <c r="B250" s="173"/>
      <c r="C250" s="79" t="s">
        <v>26</v>
      </c>
      <c r="D250" s="21"/>
      <c r="E250" s="137"/>
      <c r="F250" s="22"/>
      <c r="G250" s="163">
        <f>G251+G252+G253+G254+G255+G256+G257+G258+G259</f>
        <v>29</v>
      </c>
      <c r="H250" s="23"/>
      <c r="I250" s="23"/>
      <c r="J250" s="163">
        <f t="shared" ref="J250:BU250" si="39">J251+J252+J253+J254+J255+J256+J257+J258+J259</f>
        <v>570826.5</v>
      </c>
      <c r="K250" s="163">
        <f t="shared" si="39"/>
        <v>23701.1</v>
      </c>
      <c r="L250" s="163">
        <f t="shared" si="39"/>
        <v>0</v>
      </c>
      <c r="M250" s="163">
        <f t="shared" si="39"/>
        <v>21730.800000000003</v>
      </c>
      <c r="N250" s="163">
        <f t="shared" si="39"/>
        <v>2015</v>
      </c>
      <c r="O250" s="163">
        <f t="shared" si="39"/>
        <v>5572</v>
      </c>
      <c r="P250" s="163">
        <f t="shared" si="39"/>
        <v>2038</v>
      </c>
      <c r="Q250" s="163">
        <f t="shared" si="39"/>
        <v>5112</v>
      </c>
      <c r="R250" s="227">
        <f t="shared" si="39"/>
        <v>138346.45000000001</v>
      </c>
      <c r="S250" s="163">
        <f t="shared" si="39"/>
        <v>85150.9</v>
      </c>
      <c r="T250" s="163">
        <f t="shared" si="39"/>
        <v>1642</v>
      </c>
      <c r="U250" s="163">
        <f t="shared" si="39"/>
        <v>110904.87999999999</v>
      </c>
      <c r="V250" s="163">
        <f t="shared" si="39"/>
        <v>68305.670000000013</v>
      </c>
      <c r="W250" s="163">
        <f t="shared" si="39"/>
        <v>373</v>
      </c>
      <c r="X250" s="163">
        <f t="shared" si="39"/>
        <v>27441.57</v>
      </c>
      <c r="Y250" s="163">
        <f t="shared" si="39"/>
        <v>16845.23</v>
      </c>
      <c r="Z250" s="163">
        <f t="shared" si="39"/>
        <v>0</v>
      </c>
      <c r="AA250" s="163">
        <f t="shared" si="39"/>
        <v>0</v>
      </c>
      <c r="AB250" s="163">
        <f t="shared" si="39"/>
        <v>0</v>
      </c>
      <c r="AC250" s="163">
        <f t="shared" si="39"/>
        <v>3779.2</v>
      </c>
      <c r="AD250" s="163">
        <f t="shared" si="39"/>
        <v>2238.7999999999997</v>
      </c>
      <c r="AE250" s="163">
        <f t="shared" si="39"/>
        <v>0</v>
      </c>
      <c r="AF250" s="163">
        <f t="shared" si="39"/>
        <v>2238.7999999999997</v>
      </c>
      <c r="AG250" s="163">
        <f t="shared" si="39"/>
        <v>777.19999999999993</v>
      </c>
      <c r="AH250" s="163">
        <f t="shared" si="39"/>
        <v>763.2</v>
      </c>
      <c r="AI250" s="163">
        <f t="shared" si="39"/>
        <v>142125.65000000002</v>
      </c>
      <c r="AJ250" s="163">
        <f t="shared" si="39"/>
        <v>5100</v>
      </c>
      <c r="AK250" s="163">
        <f t="shared" si="39"/>
        <v>61</v>
      </c>
      <c r="AL250" s="163">
        <f t="shared" si="39"/>
        <v>61</v>
      </c>
      <c r="AM250" s="163">
        <f t="shared" si="39"/>
        <v>61</v>
      </c>
      <c r="AN250" s="163">
        <f t="shared" si="39"/>
        <v>0</v>
      </c>
      <c r="AO250" s="163">
        <f t="shared" si="39"/>
        <v>61</v>
      </c>
      <c r="AP250" s="163">
        <f t="shared" si="39"/>
        <v>108372</v>
      </c>
      <c r="AQ250" s="163">
        <f t="shared" si="39"/>
        <v>751.88499999999999</v>
      </c>
      <c r="AR250" s="163">
        <f t="shared" si="39"/>
        <v>11894</v>
      </c>
      <c r="AS250" s="163">
        <f t="shared" si="39"/>
        <v>9406</v>
      </c>
      <c r="AT250" s="163">
        <f t="shared" si="39"/>
        <v>3212</v>
      </c>
      <c r="AU250" s="163">
        <f t="shared" si="39"/>
        <v>151994</v>
      </c>
      <c r="AV250" s="163">
        <f t="shared" si="39"/>
        <v>15896</v>
      </c>
      <c r="AW250" s="163">
        <f t="shared" si="39"/>
        <v>136098</v>
      </c>
      <c r="AX250" s="163">
        <f t="shared" si="39"/>
        <v>52887</v>
      </c>
      <c r="AY250" s="163">
        <f t="shared" si="39"/>
        <v>5021</v>
      </c>
      <c r="AZ250" s="163">
        <f t="shared" si="39"/>
        <v>21746</v>
      </c>
      <c r="BA250" s="163">
        <f t="shared" si="39"/>
        <v>18251</v>
      </c>
      <c r="BB250" s="163">
        <f t="shared" si="39"/>
        <v>998</v>
      </c>
      <c r="BC250" s="163">
        <f t="shared" si="39"/>
        <v>1303</v>
      </c>
      <c r="BD250" s="163">
        <f t="shared" si="39"/>
        <v>7915</v>
      </c>
      <c r="BE250" s="163">
        <f t="shared" si="39"/>
        <v>16337</v>
      </c>
      <c r="BF250" s="163">
        <f t="shared" si="39"/>
        <v>30</v>
      </c>
      <c r="BG250" s="163">
        <f t="shared" si="39"/>
        <v>86497</v>
      </c>
      <c r="BH250" s="163">
        <f t="shared" si="39"/>
        <v>28792</v>
      </c>
      <c r="BI250" s="163">
        <f t="shared" si="39"/>
        <v>9102</v>
      </c>
      <c r="BJ250" s="163">
        <f t="shared" ref="BJ250:BR250" si="40">BJ251+BJ252+BJ253+BJ254+BJ255+BJ256+BJ257+BJ258+BJ259</f>
        <v>0</v>
      </c>
      <c r="BK250" s="163">
        <f t="shared" si="40"/>
        <v>0</v>
      </c>
      <c r="BL250" s="163">
        <f t="shared" si="40"/>
        <v>0</v>
      </c>
      <c r="BM250" s="163">
        <f t="shared" si="40"/>
        <v>29</v>
      </c>
      <c r="BN250" s="163">
        <f t="shared" si="40"/>
        <v>138346.45000000001</v>
      </c>
      <c r="BO250" s="163">
        <f t="shared" si="40"/>
        <v>85150.9</v>
      </c>
      <c r="BP250" s="163">
        <f t="shared" si="40"/>
        <v>0</v>
      </c>
      <c r="BQ250" s="163">
        <f t="shared" si="40"/>
        <v>0</v>
      </c>
      <c r="BR250" s="163">
        <f t="shared" si="40"/>
        <v>0</v>
      </c>
      <c r="BS250" s="163">
        <f t="shared" si="39"/>
        <v>9</v>
      </c>
      <c r="BT250" s="163">
        <f t="shared" si="39"/>
        <v>59</v>
      </c>
      <c r="BU250" s="163">
        <f t="shared" si="39"/>
        <v>18367</v>
      </c>
      <c r="BV250" s="163">
        <f t="shared" ref="BV250:CW250" si="41">BV251+BV252+BV253+BV254+BV255+BV256+BV257+BV258+BV259</f>
        <v>4247</v>
      </c>
      <c r="BW250" s="163">
        <f t="shared" si="41"/>
        <v>0</v>
      </c>
      <c r="BX250" s="163">
        <f t="shared" si="41"/>
        <v>0</v>
      </c>
      <c r="BY250" s="163">
        <f t="shared" si="41"/>
        <v>40274.550000000003</v>
      </c>
      <c r="BZ250" s="163">
        <f t="shared" si="41"/>
        <v>19545.900000000001</v>
      </c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>
        <f t="shared" si="41"/>
        <v>48357</v>
      </c>
      <c r="CN250" s="163">
        <f t="shared" si="41"/>
        <v>24655.9</v>
      </c>
      <c r="CO250" s="163">
        <f t="shared" si="41"/>
        <v>3</v>
      </c>
      <c r="CP250" s="163">
        <f t="shared" si="41"/>
        <v>15896</v>
      </c>
      <c r="CQ250" s="163">
        <f t="shared" si="41"/>
        <v>26</v>
      </c>
      <c r="CR250" s="163">
        <f t="shared" si="41"/>
        <v>136098</v>
      </c>
      <c r="CS250" s="163">
        <f t="shared" si="41"/>
        <v>29</v>
      </c>
      <c r="CT250" s="163">
        <f t="shared" si="41"/>
        <v>151994</v>
      </c>
      <c r="CU250" s="296">
        <f t="shared" si="41"/>
        <v>1532</v>
      </c>
      <c r="CV250" s="163">
        <f t="shared" si="41"/>
        <v>0</v>
      </c>
      <c r="CW250" s="163">
        <f t="shared" si="41"/>
        <v>0</v>
      </c>
      <c r="CX250" s="223"/>
      <c r="CY250" s="163">
        <f t="shared" ref="CY250:CZ250" si="42">CY251+CY252+CY253+CY254+CY255+CY256+CY257+CY258+CY259</f>
        <v>0</v>
      </c>
      <c r="CZ250" s="163">
        <f t="shared" si="42"/>
        <v>0</v>
      </c>
      <c r="DA250" s="223"/>
      <c r="DB250" s="163">
        <f t="shared" ref="DB250:EC250" si="43">DB251+DB252+DB253+DB254+DB255+DB256+DB257+DB258+DB259</f>
        <v>29</v>
      </c>
      <c r="DC250" s="163">
        <f t="shared" si="43"/>
        <v>29</v>
      </c>
      <c r="DD250" s="163">
        <f t="shared" si="43"/>
        <v>29</v>
      </c>
      <c r="DE250" s="163">
        <f t="shared" si="43"/>
        <v>29</v>
      </c>
      <c r="DF250" s="163">
        <f t="shared" si="43"/>
        <v>60</v>
      </c>
      <c r="DG250" s="163">
        <f t="shared" si="43"/>
        <v>33</v>
      </c>
      <c r="DH250" s="163">
        <f t="shared" si="43"/>
        <v>33</v>
      </c>
      <c r="DI250" s="163">
        <f t="shared" si="43"/>
        <v>33</v>
      </c>
      <c r="DJ250" s="163">
        <f t="shared" si="43"/>
        <v>33</v>
      </c>
      <c r="DK250" s="163">
        <f t="shared" si="43"/>
        <v>2014</v>
      </c>
      <c r="DL250" s="163">
        <f t="shared" si="43"/>
        <v>1659</v>
      </c>
      <c r="DM250" s="163">
        <f t="shared" si="43"/>
        <v>355</v>
      </c>
      <c r="DN250" s="163">
        <f t="shared" si="43"/>
        <v>1388</v>
      </c>
      <c r="DO250" s="163">
        <f t="shared" si="43"/>
        <v>1092</v>
      </c>
      <c r="DP250" s="163">
        <f t="shared" si="43"/>
        <v>1388</v>
      </c>
      <c r="DQ250" s="163">
        <f t="shared" si="43"/>
        <v>1585</v>
      </c>
      <c r="DR250" s="163">
        <f t="shared" si="43"/>
        <v>1129</v>
      </c>
      <c r="DS250" s="163">
        <f t="shared" si="43"/>
        <v>1335</v>
      </c>
      <c r="DT250" s="163">
        <f t="shared" si="43"/>
        <v>1639</v>
      </c>
      <c r="DU250" s="163">
        <f t="shared" si="43"/>
        <v>204</v>
      </c>
      <c r="DV250" s="163">
        <f t="shared" si="43"/>
        <v>146</v>
      </c>
      <c r="DW250" s="163">
        <f t="shared" si="43"/>
        <v>157</v>
      </c>
      <c r="DX250" s="163">
        <f t="shared" si="43"/>
        <v>217</v>
      </c>
      <c r="DY250" s="163">
        <f t="shared" si="43"/>
        <v>152</v>
      </c>
      <c r="DZ250" s="163">
        <f t="shared" si="43"/>
        <v>147</v>
      </c>
      <c r="EA250" s="163">
        <f t="shared" si="43"/>
        <v>228</v>
      </c>
      <c r="EB250" s="163">
        <f t="shared" si="43"/>
        <v>2014</v>
      </c>
      <c r="EC250" s="163">
        <f t="shared" si="43"/>
        <v>2014</v>
      </c>
    </row>
    <row r="251" spans="1:135" s="7" customFormat="1" x14ac:dyDescent="0.2">
      <c r="B251" s="174"/>
      <c r="C251" s="25" t="s">
        <v>14</v>
      </c>
      <c r="D251" s="16"/>
      <c r="E251" s="26"/>
      <c r="F251" s="17"/>
      <c r="G251" s="37"/>
      <c r="H251" s="263">
        <v>5</v>
      </c>
      <c r="I251" s="26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297"/>
      <c r="CV251" s="37"/>
      <c r="CW251" s="37"/>
      <c r="CX251" s="224"/>
      <c r="CY251" s="37"/>
      <c r="CZ251" s="37"/>
      <c r="DA251" s="224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</row>
    <row r="252" spans="1:135" s="7" customFormat="1" x14ac:dyDescent="0.2">
      <c r="B252" s="174"/>
      <c r="C252" s="25" t="s">
        <v>15</v>
      </c>
      <c r="D252" s="16"/>
      <c r="E252" s="26"/>
      <c r="F252" s="17"/>
      <c r="G252" s="41"/>
      <c r="H252" s="263">
        <v>9</v>
      </c>
      <c r="I252" s="26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298"/>
      <c r="CV252" s="41"/>
      <c r="CW252" s="41"/>
      <c r="CX252" s="224"/>
      <c r="CY252" s="41"/>
      <c r="CZ252" s="41"/>
      <c r="DA252" s="224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</row>
    <row r="253" spans="1:135" s="7" customFormat="1" x14ac:dyDescent="0.2">
      <c r="B253" s="174"/>
      <c r="C253" s="25" t="s">
        <v>16</v>
      </c>
      <c r="D253" s="16"/>
      <c r="E253" s="26"/>
      <c r="F253" s="17"/>
      <c r="G253" s="37">
        <f>G8+G9+G10+G11+G14+G16+G23+G24+G25+G26+G29+G30+G35</f>
        <v>13</v>
      </c>
      <c r="H253" s="264">
        <v>9</v>
      </c>
      <c r="I253" s="37"/>
      <c r="J253" s="37">
        <f t="shared" ref="J253:BU253" si="44">J8+J9+J10+J11+J14+J16+J23+J24+J25+J26+J29+J30+J35</f>
        <v>283094</v>
      </c>
      <c r="K253" s="37">
        <f t="shared" si="44"/>
        <v>12019</v>
      </c>
      <c r="L253" s="37">
        <f t="shared" si="44"/>
        <v>0</v>
      </c>
      <c r="M253" s="37">
        <f t="shared" si="44"/>
        <v>11188.78</v>
      </c>
      <c r="N253" s="37">
        <f t="shared" si="44"/>
        <v>1039</v>
      </c>
      <c r="O253" s="37">
        <f t="shared" si="44"/>
        <v>2843</v>
      </c>
      <c r="P253" s="37">
        <f t="shared" si="44"/>
        <v>1046</v>
      </c>
      <c r="Q253" s="37">
        <f t="shared" si="44"/>
        <v>2707</v>
      </c>
      <c r="R253" s="37">
        <f t="shared" si="44"/>
        <v>74530.66</v>
      </c>
      <c r="S253" s="37">
        <f t="shared" si="44"/>
        <v>45353</v>
      </c>
      <c r="T253" s="37">
        <f t="shared" si="44"/>
        <v>837</v>
      </c>
      <c r="U253" s="37">
        <f t="shared" si="44"/>
        <v>59085.099999999991</v>
      </c>
      <c r="V253" s="37">
        <f t="shared" si="44"/>
        <v>36141.320000000007</v>
      </c>
      <c r="W253" s="37">
        <f t="shared" si="44"/>
        <v>202</v>
      </c>
      <c r="X253" s="37">
        <f t="shared" si="44"/>
        <v>15445.559999999998</v>
      </c>
      <c r="Y253" s="37">
        <f t="shared" si="44"/>
        <v>9211.68</v>
      </c>
      <c r="Z253" s="37">
        <f t="shared" si="44"/>
        <v>0</v>
      </c>
      <c r="AA253" s="37">
        <f t="shared" si="44"/>
        <v>0</v>
      </c>
      <c r="AB253" s="37">
        <f t="shared" si="44"/>
        <v>0</v>
      </c>
      <c r="AC253" s="37">
        <f t="shared" si="44"/>
        <v>1034.5</v>
      </c>
      <c r="AD253" s="37">
        <f t="shared" si="44"/>
        <v>561.6</v>
      </c>
      <c r="AE253" s="37">
        <f t="shared" si="44"/>
        <v>0</v>
      </c>
      <c r="AF253" s="37">
        <f t="shared" si="44"/>
        <v>561.6</v>
      </c>
      <c r="AG253" s="37">
        <f t="shared" si="44"/>
        <v>472.9</v>
      </c>
      <c r="AH253" s="37">
        <f t="shared" si="44"/>
        <v>0</v>
      </c>
      <c r="AI253" s="37">
        <f t="shared" si="44"/>
        <v>75565.16</v>
      </c>
      <c r="AJ253" s="37">
        <f t="shared" si="44"/>
        <v>2494</v>
      </c>
      <c r="AK253" s="37">
        <f t="shared" si="44"/>
        <v>32</v>
      </c>
      <c r="AL253" s="37">
        <f t="shared" si="44"/>
        <v>32</v>
      </c>
      <c r="AM253" s="37">
        <f t="shared" si="44"/>
        <v>32</v>
      </c>
      <c r="AN253" s="37">
        <f t="shared" si="44"/>
        <v>0</v>
      </c>
      <c r="AO253" s="37">
        <f t="shared" si="44"/>
        <v>32</v>
      </c>
      <c r="AP253" s="37">
        <f t="shared" si="44"/>
        <v>53740</v>
      </c>
      <c r="AQ253" s="37">
        <f t="shared" si="44"/>
        <v>541.76</v>
      </c>
      <c r="AR253" s="37">
        <f t="shared" si="44"/>
        <v>6088</v>
      </c>
      <c r="AS253" s="37">
        <f t="shared" si="44"/>
        <v>4620</v>
      </c>
      <c r="AT253" s="37">
        <f t="shared" si="44"/>
        <v>1024</v>
      </c>
      <c r="AU253" s="37">
        <f t="shared" si="44"/>
        <v>70613</v>
      </c>
      <c r="AV253" s="37">
        <f t="shared" si="44"/>
        <v>5648</v>
      </c>
      <c r="AW253" s="37">
        <f t="shared" si="44"/>
        <v>64965</v>
      </c>
      <c r="AX253" s="37">
        <f t="shared" si="44"/>
        <v>25856</v>
      </c>
      <c r="AY253" s="37">
        <f t="shared" si="44"/>
        <v>2449</v>
      </c>
      <c r="AZ253" s="37">
        <f t="shared" si="44"/>
        <v>11190</v>
      </c>
      <c r="BA253" s="37">
        <f t="shared" si="44"/>
        <v>9489</v>
      </c>
      <c r="BB253" s="37">
        <f t="shared" si="44"/>
        <v>512</v>
      </c>
      <c r="BC253" s="37">
        <f t="shared" si="44"/>
        <v>740</v>
      </c>
      <c r="BD253" s="37">
        <f t="shared" si="44"/>
        <v>4034</v>
      </c>
      <c r="BE253" s="37">
        <f t="shared" si="44"/>
        <v>8120</v>
      </c>
      <c r="BF253" s="37">
        <f t="shared" si="44"/>
        <v>14</v>
      </c>
      <c r="BG253" s="37">
        <f t="shared" si="44"/>
        <v>44678</v>
      </c>
      <c r="BH253" s="37">
        <f t="shared" si="44"/>
        <v>15104</v>
      </c>
      <c r="BI253" s="37">
        <f t="shared" si="44"/>
        <v>4854</v>
      </c>
      <c r="BJ253" s="37">
        <f t="shared" ref="BJ253:BR253" si="45">BJ8+BJ9+BJ10+BJ11+BJ14+BJ16+BJ23+BJ24+BJ25+BJ26+BJ29+BJ30+BJ35</f>
        <v>0</v>
      </c>
      <c r="BK253" s="37">
        <f t="shared" si="45"/>
        <v>0</v>
      </c>
      <c r="BL253" s="37">
        <f t="shared" si="45"/>
        <v>0</v>
      </c>
      <c r="BM253" s="37">
        <f t="shared" si="45"/>
        <v>13</v>
      </c>
      <c r="BN253" s="37">
        <f t="shared" si="45"/>
        <v>74530.66</v>
      </c>
      <c r="BO253" s="37">
        <f t="shared" si="45"/>
        <v>45353</v>
      </c>
      <c r="BP253" s="37">
        <f t="shared" si="45"/>
        <v>0</v>
      </c>
      <c r="BQ253" s="37">
        <f t="shared" si="45"/>
        <v>0</v>
      </c>
      <c r="BR253" s="37">
        <f t="shared" si="45"/>
        <v>0</v>
      </c>
      <c r="BS253" s="37">
        <f t="shared" si="44"/>
        <v>4</v>
      </c>
      <c r="BT253" s="37">
        <f t="shared" si="44"/>
        <v>34</v>
      </c>
      <c r="BU253" s="37">
        <f t="shared" si="44"/>
        <v>9605</v>
      </c>
      <c r="BV253" s="37">
        <f t="shared" ref="BV253:CU253" si="46">BV8+BV9+BV10+BV11+BV14+BV16+BV23+BV24+BV25+BV26+BV29+BV30+BV35</f>
        <v>3691</v>
      </c>
      <c r="BW253" s="37">
        <f t="shared" si="46"/>
        <v>0</v>
      </c>
      <c r="BX253" s="37">
        <f t="shared" si="46"/>
        <v>0</v>
      </c>
      <c r="BY253" s="37">
        <f t="shared" si="46"/>
        <v>19120.499999999996</v>
      </c>
      <c r="BZ253" s="37">
        <f t="shared" si="46"/>
        <v>8560</v>
      </c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>
        <f t="shared" si="46"/>
        <v>24275</v>
      </c>
      <c r="CN253" s="37">
        <f t="shared" si="46"/>
        <v>12256</v>
      </c>
      <c r="CO253" s="37">
        <f t="shared" si="46"/>
        <v>2</v>
      </c>
      <c r="CP253" s="37">
        <f t="shared" si="46"/>
        <v>5648</v>
      </c>
      <c r="CQ253" s="37">
        <f t="shared" si="46"/>
        <v>11</v>
      </c>
      <c r="CR253" s="37">
        <f t="shared" si="46"/>
        <v>64965</v>
      </c>
      <c r="CS253" s="37">
        <f t="shared" si="46"/>
        <v>13</v>
      </c>
      <c r="CT253" s="37">
        <f t="shared" si="46"/>
        <v>70613</v>
      </c>
      <c r="CU253" s="297">
        <f t="shared" si="46"/>
        <v>698</v>
      </c>
      <c r="CV253" s="37">
        <f t="shared" ref="CV253:CW253" si="47">CV8+CV9+CV10+CV11+CV14+CV16+CV23+CV24+CV25+CV26+CV29+CV30+CV35</f>
        <v>0</v>
      </c>
      <c r="CW253" s="37">
        <f t="shared" si="47"/>
        <v>0</v>
      </c>
      <c r="CX253" s="224"/>
      <c r="CY253" s="37">
        <f t="shared" ref="CY253:CZ253" si="48">CY8+CY9+CY10+CY11+CY14+CY16+CY23+CY24+CY25+CY26+CY29+CY30+CY35</f>
        <v>0</v>
      </c>
      <c r="CZ253" s="37">
        <f t="shared" si="48"/>
        <v>0</v>
      </c>
      <c r="DA253" s="224"/>
      <c r="DB253" s="37">
        <f t="shared" ref="DB253:EC253" si="49">DB8+DB9+DB10+DB11+DB14+DB16+DB23+DB24+DB25+DB26+DB29+DB30+DB35</f>
        <v>13</v>
      </c>
      <c r="DC253" s="37">
        <f t="shared" si="49"/>
        <v>13</v>
      </c>
      <c r="DD253" s="37">
        <f t="shared" si="49"/>
        <v>13</v>
      </c>
      <c r="DE253" s="37">
        <f t="shared" si="49"/>
        <v>13</v>
      </c>
      <c r="DF253" s="37">
        <f t="shared" si="49"/>
        <v>28</v>
      </c>
      <c r="DG253" s="37">
        <f t="shared" si="49"/>
        <v>17</v>
      </c>
      <c r="DH253" s="37">
        <f t="shared" si="49"/>
        <v>17</v>
      </c>
      <c r="DI253" s="37">
        <f t="shared" si="49"/>
        <v>17</v>
      </c>
      <c r="DJ253" s="37">
        <f t="shared" si="49"/>
        <v>17</v>
      </c>
      <c r="DK253" s="37">
        <f t="shared" si="49"/>
        <v>1039</v>
      </c>
      <c r="DL253" s="37">
        <f t="shared" si="49"/>
        <v>845</v>
      </c>
      <c r="DM253" s="37">
        <f t="shared" si="49"/>
        <v>194</v>
      </c>
      <c r="DN253" s="37">
        <f t="shared" si="49"/>
        <v>707</v>
      </c>
      <c r="DO253" s="37">
        <f t="shared" si="49"/>
        <v>537</v>
      </c>
      <c r="DP253" s="37">
        <f t="shared" si="49"/>
        <v>844</v>
      </c>
      <c r="DQ253" s="37">
        <f t="shared" si="49"/>
        <v>903</v>
      </c>
      <c r="DR253" s="37">
        <f t="shared" si="49"/>
        <v>556</v>
      </c>
      <c r="DS253" s="37">
        <f t="shared" si="49"/>
        <v>812</v>
      </c>
      <c r="DT253" s="37">
        <f t="shared" si="49"/>
        <v>935</v>
      </c>
      <c r="DU253" s="37">
        <f t="shared" si="49"/>
        <v>125</v>
      </c>
      <c r="DV253" s="37">
        <f t="shared" si="49"/>
        <v>76</v>
      </c>
      <c r="DW253" s="37">
        <f t="shared" si="49"/>
        <v>97</v>
      </c>
      <c r="DX253" s="37">
        <f t="shared" si="49"/>
        <v>135</v>
      </c>
      <c r="DY253" s="37">
        <f t="shared" si="49"/>
        <v>81</v>
      </c>
      <c r="DZ253" s="37">
        <f t="shared" si="49"/>
        <v>87</v>
      </c>
      <c r="EA253" s="37">
        <f t="shared" si="49"/>
        <v>145</v>
      </c>
      <c r="EB253" s="37">
        <f t="shared" si="49"/>
        <v>1039</v>
      </c>
      <c r="EC253" s="37">
        <f t="shared" si="49"/>
        <v>1039</v>
      </c>
    </row>
    <row r="254" spans="1:135" s="7" customFormat="1" x14ac:dyDescent="0.2">
      <c r="B254" s="174"/>
      <c r="C254" s="25" t="s">
        <v>17</v>
      </c>
      <c r="D254" s="16"/>
      <c r="E254" s="26"/>
      <c r="F254" s="17"/>
      <c r="G254" s="37">
        <f>G7+G12+G13+G15+G17+G18+G19+G20+G21+G22+G27+G28+G31+G32+G33+G34</f>
        <v>16</v>
      </c>
      <c r="H254" s="264">
        <v>9</v>
      </c>
      <c r="I254" s="37"/>
      <c r="J254" s="37">
        <f t="shared" ref="J254:BU254" si="50">J7+J12+J13+J15+J17+J18+J19+J20+J21+J22+J27+J28+J31+J32+J33+J34</f>
        <v>287732.5</v>
      </c>
      <c r="K254" s="37">
        <f t="shared" si="50"/>
        <v>11682.1</v>
      </c>
      <c r="L254" s="37">
        <f t="shared" si="50"/>
        <v>0</v>
      </c>
      <c r="M254" s="37">
        <f t="shared" si="50"/>
        <v>10542.02</v>
      </c>
      <c r="N254" s="37">
        <f t="shared" si="50"/>
        <v>976</v>
      </c>
      <c r="O254" s="37">
        <f t="shared" si="50"/>
        <v>2729</v>
      </c>
      <c r="P254" s="37">
        <f t="shared" si="50"/>
        <v>992</v>
      </c>
      <c r="Q254" s="37">
        <f t="shared" si="50"/>
        <v>2405</v>
      </c>
      <c r="R254" s="37">
        <f t="shared" si="50"/>
        <v>63815.79</v>
      </c>
      <c r="S254" s="37">
        <f t="shared" si="50"/>
        <v>39797.899999999994</v>
      </c>
      <c r="T254" s="37">
        <f t="shared" si="50"/>
        <v>805</v>
      </c>
      <c r="U254" s="37">
        <f t="shared" si="50"/>
        <v>51819.78</v>
      </c>
      <c r="V254" s="37">
        <f t="shared" si="50"/>
        <v>32164.35</v>
      </c>
      <c r="W254" s="37">
        <f t="shared" si="50"/>
        <v>171</v>
      </c>
      <c r="X254" s="37">
        <f t="shared" si="50"/>
        <v>11996.01</v>
      </c>
      <c r="Y254" s="37">
        <f t="shared" si="50"/>
        <v>7633.5499999999993</v>
      </c>
      <c r="Z254" s="37">
        <f t="shared" si="50"/>
        <v>0</v>
      </c>
      <c r="AA254" s="37">
        <f t="shared" si="50"/>
        <v>0</v>
      </c>
      <c r="AB254" s="37">
        <f t="shared" si="50"/>
        <v>0</v>
      </c>
      <c r="AC254" s="37">
        <f t="shared" si="50"/>
        <v>2744.7</v>
      </c>
      <c r="AD254" s="37">
        <f t="shared" si="50"/>
        <v>1677.1999999999998</v>
      </c>
      <c r="AE254" s="37">
        <f t="shared" si="50"/>
        <v>0</v>
      </c>
      <c r="AF254" s="37">
        <f t="shared" si="50"/>
        <v>1677.1999999999998</v>
      </c>
      <c r="AG254" s="37">
        <f t="shared" si="50"/>
        <v>304.29999999999995</v>
      </c>
      <c r="AH254" s="37">
        <f t="shared" si="50"/>
        <v>763.2</v>
      </c>
      <c r="AI254" s="37">
        <f t="shared" si="50"/>
        <v>66560.490000000005</v>
      </c>
      <c r="AJ254" s="37">
        <f t="shared" si="50"/>
        <v>2606</v>
      </c>
      <c r="AK254" s="37">
        <f t="shared" si="50"/>
        <v>29</v>
      </c>
      <c r="AL254" s="37">
        <f t="shared" si="50"/>
        <v>29</v>
      </c>
      <c r="AM254" s="37">
        <f t="shared" si="50"/>
        <v>29</v>
      </c>
      <c r="AN254" s="37">
        <f t="shared" si="50"/>
        <v>0</v>
      </c>
      <c r="AO254" s="37">
        <f t="shared" si="50"/>
        <v>29</v>
      </c>
      <c r="AP254" s="37">
        <f t="shared" si="50"/>
        <v>54632</v>
      </c>
      <c r="AQ254" s="37">
        <f t="shared" si="50"/>
        <v>210.125</v>
      </c>
      <c r="AR254" s="37">
        <f t="shared" si="50"/>
        <v>5806</v>
      </c>
      <c r="AS254" s="37">
        <f t="shared" si="50"/>
        <v>4786</v>
      </c>
      <c r="AT254" s="37">
        <f t="shared" si="50"/>
        <v>2188</v>
      </c>
      <c r="AU254" s="37">
        <f t="shared" si="50"/>
        <v>81381</v>
      </c>
      <c r="AV254" s="37">
        <f t="shared" si="50"/>
        <v>10248</v>
      </c>
      <c r="AW254" s="37">
        <f t="shared" si="50"/>
        <v>71133</v>
      </c>
      <c r="AX254" s="37">
        <f t="shared" si="50"/>
        <v>27031</v>
      </c>
      <c r="AY254" s="37">
        <f t="shared" si="50"/>
        <v>2572</v>
      </c>
      <c r="AZ254" s="37">
        <f t="shared" si="50"/>
        <v>10556</v>
      </c>
      <c r="BA254" s="37">
        <f t="shared" si="50"/>
        <v>8762</v>
      </c>
      <c r="BB254" s="37">
        <f t="shared" si="50"/>
        <v>486</v>
      </c>
      <c r="BC254" s="37">
        <f t="shared" si="50"/>
        <v>563</v>
      </c>
      <c r="BD254" s="37">
        <f t="shared" si="50"/>
        <v>3881</v>
      </c>
      <c r="BE254" s="37">
        <f t="shared" si="50"/>
        <v>8217</v>
      </c>
      <c r="BF254" s="37">
        <f t="shared" si="50"/>
        <v>16</v>
      </c>
      <c r="BG254" s="37">
        <f t="shared" si="50"/>
        <v>41819</v>
      </c>
      <c r="BH254" s="37">
        <f t="shared" si="50"/>
        <v>13688</v>
      </c>
      <c r="BI254" s="37">
        <f t="shared" si="50"/>
        <v>4248</v>
      </c>
      <c r="BJ254" s="37">
        <f t="shared" ref="BJ254:BR254" si="51">BJ7+BJ12+BJ13+BJ15+BJ17+BJ18+BJ19+BJ20+BJ21+BJ22+BJ27+BJ28+BJ31+BJ32+BJ33+BJ34</f>
        <v>0</v>
      </c>
      <c r="BK254" s="37">
        <f t="shared" si="51"/>
        <v>0</v>
      </c>
      <c r="BL254" s="37">
        <f t="shared" si="51"/>
        <v>0</v>
      </c>
      <c r="BM254" s="37">
        <f t="shared" si="51"/>
        <v>16</v>
      </c>
      <c r="BN254" s="37">
        <f t="shared" si="51"/>
        <v>63815.79</v>
      </c>
      <c r="BO254" s="37">
        <f t="shared" si="51"/>
        <v>39797.899999999994</v>
      </c>
      <c r="BP254" s="37">
        <f t="shared" si="51"/>
        <v>0</v>
      </c>
      <c r="BQ254" s="37">
        <f t="shared" si="51"/>
        <v>0</v>
      </c>
      <c r="BR254" s="37">
        <f t="shared" si="51"/>
        <v>0</v>
      </c>
      <c r="BS254" s="37">
        <f t="shared" si="50"/>
        <v>5</v>
      </c>
      <c r="BT254" s="37">
        <f t="shared" si="50"/>
        <v>25</v>
      </c>
      <c r="BU254" s="37">
        <f t="shared" si="50"/>
        <v>8762</v>
      </c>
      <c r="BV254" s="37">
        <f t="shared" ref="BV254:CU254" si="52">BV7+BV12+BV13+BV15+BV17+BV18+BV19+BV20+BV21+BV22+BV27+BV28+BV31+BV32+BV33+BV34</f>
        <v>556</v>
      </c>
      <c r="BW254" s="37">
        <f t="shared" si="52"/>
        <v>0</v>
      </c>
      <c r="BX254" s="37">
        <f t="shared" si="52"/>
        <v>0</v>
      </c>
      <c r="BY254" s="37">
        <f t="shared" si="52"/>
        <v>21154.050000000003</v>
      </c>
      <c r="BZ254" s="37">
        <f t="shared" si="52"/>
        <v>10985.900000000001</v>
      </c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>
        <f t="shared" si="52"/>
        <v>24082</v>
      </c>
      <c r="CN254" s="37">
        <f t="shared" si="52"/>
        <v>12399.9</v>
      </c>
      <c r="CO254" s="37">
        <f t="shared" si="52"/>
        <v>1</v>
      </c>
      <c r="CP254" s="37">
        <f t="shared" si="52"/>
        <v>10248</v>
      </c>
      <c r="CQ254" s="37">
        <f t="shared" si="52"/>
        <v>15</v>
      </c>
      <c r="CR254" s="37">
        <f t="shared" si="52"/>
        <v>71133</v>
      </c>
      <c r="CS254" s="37">
        <f t="shared" si="52"/>
        <v>16</v>
      </c>
      <c r="CT254" s="37">
        <f t="shared" si="52"/>
        <v>81381</v>
      </c>
      <c r="CU254" s="297">
        <f t="shared" si="52"/>
        <v>834</v>
      </c>
      <c r="CV254" s="37">
        <f t="shared" ref="CV254:CW254" si="53">CV7+CV12+CV13+CV15+CV17+CV18+CV19+CV20+CV21+CV22+CV27+CV28+CV31+CV32+CV33+CV34</f>
        <v>0</v>
      </c>
      <c r="CW254" s="37">
        <f t="shared" si="53"/>
        <v>0</v>
      </c>
      <c r="CX254" s="224"/>
      <c r="CY254" s="37">
        <f t="shared" ref="CY254:CZ254" si="54">CY7+CY12+CY13+CY15+CY17+CY18+CY19+CY20+CY21+CY22+CY27+CY28+CY31+CY32+CY33+CY34</f>
        <v>0</v>
      </c>
      <c r="CZ254" s="37">
        <f t="shared" si="54"/>
        <v>0</v>
      </c>
      <c r="DA254" s="224"/>
      <c r="DB254" s="37">
        <f t="shared" ref="DB254:EC254" si="55">DB7+DB12+DB13+DB15+DB17+DB18+DB19+DB20+DB21+DB22+DB27+DB28+DB31+DB32+DB33+DB34</f>
        <v>16</v>
      </c>
      <c r="DC254" s="37">
        <f t="shared" si="55"/>
        <v>16</v>
      </c>
      <c r="DD254" s="37">
        <f t="shared" si="55"/>
        <v>16</v>
      </c>
      <c r="DE254" s="37">
        <f t="shared" si="55"/>
        <v>16</v>
      </c>
      <c r="DF254" s="37">
        <f t="shared" si="55"/>
        <v>32</v>
      </c>
      <c r="DG254" s="37">
        <f t="shared" si="55"/>
        <v>16</v>
      </c>
      <c r="DH254" s="37">
        <f t="shared" si="55"/>
        <v>16</v>
      </c>
      <c r="DI254" s="37">
        <f t="shared" si="55"/>
        <v>16</v>
      </c>
      <c r="DJ254" s="37">
        <f t="shared" si="55"/>
        <v>16</v>
      </c>
      <c r="DK254" s="37">
        <f t="shared" si="55"/>
        <v>975</v>
      </c>
      <c r="DL254" s="37">
        <f t="shared" si="55"/>
        <v>814</v>
      </c>
      <c r="DM254" s="37">
        <f t="shared" si="55"/>
        <v>161</v>
      </c>
      <c r="DN254" s="37">
        <f t="shared" si="55"/>
        <v>681</v>
      </c>
      <c r="DO254" s="37">
        <f t="shared" si="55"/>
        <v>555</v>
      </c>
      <c r="DP254" s="37">
        <f t="shared" si="55"/>
        <v>544</v>
      </c>
      <c r="DQ254" s="37">
        <f t="shared" si="55"/>
        <v>682</v>
      </c>
      <c r="DR254" s="37">
        <f t="shared" si="55"/>
        <v>573</v>
      </c>
      <c r="DS254" s="37">
        <f t="shared" si="55"/>
        <v>523</v>
      </c>
      <c r="DT254" s="37">
        <f t="shared" si="55"/>
        <v>704</v>
      </c>
      <c r="DU254" s="37">
        <f t="shared" si="55"/>
        <v>79</v>
      </c>
      <c r="DV254" s="37">
        <f t="shared" si="55"/>
        <v>70</v>
      </c>
      <c r="DW254" s="37">
        <f t="shared" si="55"/>
        <v>60</v>
      </c>
      <c r="DX254" s="37">
        <f t="shared" si="55"/>
        <v>82</v>
      </c>
      <c r="DY254" s="37">
        <f t="shared" si="55"/>
        <v>71</v>
      </c>
      <c r="DZ254" s="37">
        <f t="shared" si="55"/>
        <v>60</v>
      </c>
      <c r="EA254" s="37">
        <f t="shared" si="55"/>
        <v>83</v>
      </c>
      <c r="EB254" s="37">
        <f t="shared" si="55"/>
        <v>975</v>
      </c>
      <c r="EC254" s="37">
        <f t="shared" si="55"/>
        <v>975</v>
      </c>
    </row>
    <row r="255" spans="1:135" s="7" customFormat="1" x14ac:dyDescent="0.2">
      <c r="B255" s="174"/>
      <c r="C255" s="27" t="s">
        <v>18</v>
      </c>
      <c r="D255" s="16"/>
      <c r="E255" s="26"/>
      <c r="F255" s="17"/>
      <c r="G255" s="18"/>
      <c r="H255" s="263">
        <v>12</v>
      </c>
      <c r="I255" s="26"/>
      <c r="J255" s="40"/>
      <c r="K255" s="40"/>
      <c r="L255" s="40"/>
      <c r="M255" s="40"/>
      <c r="N255" s="40"/>
      <c r="O255" s="40"/>
      <c r="P255" s="40"/>
      <c r="Q255" s="124"/>
      <c r="R255" s="40"/>
      <c r="S255" s="40"/>
      <c r="T255" s="40"/>
      <c r="U255" s="40"/>
      <c r="V255" s="40"/>
      <c r="W255" s="40"/>
      <c r="X255" s="40"/>
      <c r="Y255" s="40"/>
      <c r="Z255" s="124"/>
      <c r="AA255" s="124"/>
      <c r="AB255" s="124"/>
      <c r="AC255" s="40"/>
      <c r="AD255" s="40"/>
      <c r="AE255" s="85"/>
      <c r="AF255" s="124"/>
      <c r="AG255" s="124"/>
      <c r="AH255" s="124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124"/>
      <c r="BQ255" s="124"/>
      <c r="BR255" s="124"/>
      <c r="BS255" s="63"/>
      <c r="BT255" s="63"/>
      <c r="BU255" s="63"/>
      <c r="BV255" s="63"/>
      <c r="BW255" s="63"/>
      <c r="BX255" s="40"/>
      <c r="BY255" s="86"/>
      <c r="BZ255" s="86"/>
      <c r="CA255" s="86"/>
      <c r="CB255" s="86"/>
      <c r="CC255" s="86"/>
      <c r="CD255" s="86"/>
      <c r="CE255" s="86"/>
      <c r="CF255" s="86"/>
      <c r="CG255" s="86"/>
      <c r="CH255" s="86"/>
      <c r="CI255" s="86"/>
      <c r="CJ255" s="86"/>
      <c r="CK255" s="86"/>
      <c r="CL255" s="86"/>
      <c r="CU255" s="299"/>
      <c r="CX255" s="222"/>
      <c r="CY255" s="222"/>
      <c r="CZ255" s="222"/>
      <c r="DA255" s="222"/>
    </row>
    <row r="256" spans="1:135" s="7" customFormat="1" x14ac:dyDescent="0.2">
      <c r="B256" s="3"/>
      <c r="C256" s="27" t="s">
        <v>315</v>
      </c>
      <c r="D256" s="19"/>
      <c r="E256" s="15"/>
      <c r="F256" s="27"/>
      <c r="H256" s="265">
        <v>5</v>
      </c>
      <c r="I256" s="15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118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84"/>
      <c r="BZ256" s="84"/>
      <c r="CA256" s="84"/>
      <c r="CB256" s="84"/>
      <c r="CC256" s="84"/>
      <c r="CD256" s="84"/>
      <c r="CE256" s="84"/>
      <c r="CF256" s="84"/>
      <c r="CG256" s="84"/>
      <c r="CH256" s="84"/>
      <c r="CI256" s="84"/>
      <c r="CJ256" s="84"/>
      <c r="CK256" s="84"/>
      <c r="CL256" s="84"/>
      <c r="CU256" s="299"/>
      <c r="CX256" s="222"/>
      <c r="CY256" s="222"/>
      <c r="CZ256" s="222"/>
      <c r="DA256" s="222"/>
    </row>
    <row r="257" spans="2:105" s="7" customFormat="1" x14ac:dyDescent="0.2">
      <c r="B257" s="174"/>
      <c r="C257" s="245" t="s">
        <v>337</v>
      </c>
      <c r="D257" s="19"/>
      <c r="E257" s="24"/>
      <c r="H257" s="266">
        <v>9</v>
      </c>
      <c r="I257" s="24"/>
      <c r="J257" s="39"/>
      <c r="R257" s="28"/>
      <c r="S257" s="28"/>
      <c r="AC257" s="39"/>
      <c r="AD257" s="28"/>
      <c r="AE257" s="84"/>
      <c r="AS257" s="24"/>
      <c r="BJ257" s="28"/>
      <c r="BK257" s="28"/>
      <c r="BL257" s="28"/>
      <c r="BM257" s="28"/>
      <c r="BN257" s="28"/>
      <c r="BO257" s="28"/>
      <c r="BP257" s="28"/>
      <c r="BQ257" s="28"/>
      <c r="BR257" s="28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X257" s="222"/>
      <c r="CY257" s="222"/>
      <c r="CZ257" s="222"/>
      <c r="DA257" s="222"/>
    </row>
    <row r="258" spans="2:105" x14ac:dyDescent="0.2">
      <c r="C258" s="245" t="s">
        <v>338</v>
      </c>
      <c r="D258" s="34"/>
      <c r="E258" s="31"/>
      <c r="F258" s="30"/>
      <c r="H258" s="262">
        <v>5</v>
      </c>
      <c r="I258" s="31"/>
      <c r="R258" s="3"/>
      <c r="S258" s="3"/>
      <c r="AD258" s="3"/>
      <c r="AS258" s="3"/>
      <c r="BM258" s="68"/>
      <c r="BN258" s="68"/>
    </row>
    <row r="259" spans="2:105" x14ac:dyDescent="0.2">
      <c r="C259" s="27" t="s">
        <v>343</v>
      </c>
      <c r="E259" s="31"/>
      <c r="F259" s="30"/>
      <c r="H259" s="267">
        <v>5</v>
      </c>
      <c r="K259" s="42"/>
      <c r="R259" s="32"/>
      <c r="S259" s="32"/>
      <c r="U259" s="33"/>
      <c r="V259" s="33"/>
      <c r="AD259" s="32"/>
      <c r="AJ259" s="43"/>
    </row>
    <row r="260" spans="2:105" x14ac:dyDescent="0.2">
      <c r="E260" s="31"/>
      <c r="F260" s="30"/>
      <c r="H260" s="3"/>
      <c r="K260" s="44"/>
      <c r="R260" s="32"/>
      <c r="S260" s="32"/>
      <c r="U260" s="33"/>
      <c r="V260" s="33"/>
      <c r="AD260" s="32"/>
      <c r="AJ260" s="44"/>
    </row>
    <row r="261" spans="2:105" x14ac:dyDescent="0.2">
      <c r="E261" s="31"/>
      <c r="F261" s="30"/>
      <c r="H261" s="3"/>
      <c r="R261" s="32"/>
      <c r="S261" s="32"/>
      <c r="U261" s="33"/>
      <c r="V261" s="33"/>
      <c r="AD261" s="32"/>
      <c r="AJ261" s="43"/>
    </row>
    <row r="262" spans="2:105" x14ac:dyDescent="0.2">
      <c r="E262" s="31"/>
      <c r="F262" s="30"/>
      <c r="H262" s="3"/>
      <c r="R262" s="32"/>
      <c r="S262" s="32"/>
      <c r="U262" s="33"/>
      <c r="V262" s="33"/>
      <c r="AD262" s="32"/>
    </row>
    <row r="263" spans="2:105" x14ac:dyDescent="0.2">
      <c r="E263" s="31"/>
      <c r="H263" s="3"/>
      <c r="R263" s="32"/>
      <c r="S263" s="32"/>
      <c r="U263" s="33"/>
      <c r="V263" s="33"/>
      <c r="AD263" s="32"/>
    </row>
    <row r="264" spans="2:105" x14ac:dyDescent="0.2">
      <c r="D264" s="29"/>
      <c r="E264" s="31"/>
      <c r="H264" s="31"/>
      <c r="I264" s="31"/>
      <c r="R264" s="32"/>
      <c r="S264" s="32"/>
      <c r="U264" s="33"/>
      <c r="V264" s="33"/>
      <c r="AD264" s="32"/>
    </row>
    <row r="265" spans="2:105" x14ac:dyDescent="0.2">
      <c r="D265" s="29"/>
      <c r="E265" s="31"/>
      <c r="H265" s="31"/>
      <c r="I265" s="31"/>
      <c r="R265" s="32"/>
      <c r="S265" s="32"/>
      <c r="U265" s="33"/>
      <c r="V265" s="33"/>
      <c r="AD265" s="32"/>
    </row>
    <row r="266" spans="2:105" s="54" customFormat="1" ht="15.75" x14ac:dyDescent="0.2">
      <c r="B266" s="175"/>
      <c r="D266" s="55"/>
      <c r="E266" s="57"/>
      <c r="F266" s="56"/>
      <c r="H266" s="57"/>
      <c r="I266" s="57"/>
      <c r="Q266" s="325"/>
      <c r="R266" s="58"/>
      <c r="S266" s="58"/>
      <c r="U266" s="59"/>
      <c r="V266" s="59"/>
      <c r="AD266" s="58"/>
      <c r="AE266" s="132"/>
      <c r="AS266" s="53"/>
      <c r="BN266" s="189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X266" s="226"/>
      <c r="CY266" s="226"/>
      <c r="CZ266" s="226"/>
      <c r="DA266" s="226"/>
    </row>
    <row r="267" spans="2:105" x14ac:dyDescent="0.2">
      <c r="D267" s="29"/>
      <c r="E267" s="31"/>
      <c r="F267" s="30"/>
      <c r="H267" s="31"/>
      <c r="I267" s="31"/>
      <c r="N267" s="68"/>
      <c r="R267" s="3"/>
      <c r="S267" s="32"/>
      <c r="U267" s="33"/>
      <c r="V267" s="33"/>
      <c r="AD267" s="32"/>
      <c r="AI267" s="68"/>
    </row>
    <row r="268" spans="2:105" x14ac:dyDescent="0.2">
      <c r="D268" s="29"/>
      <c r="E268" s="31"/>
      <c r="F268" s="30"/>
      <c r="H268" s="31"/>
      <c r="I268" s="31"/>
      <c r="R268" s="3"/>
      <c r="S268" s="32"/>
      <c r="U268" s="33"/>
      <c r="V268" s="33"/>
      <c r="AD268" s="32"/>
    </row>
    <row r="269" spans="2:105" x14ac:dyDescent="0.2">
      <c r="D269" s="29"/>
      <c r="E269" s="31"/>
      <c r="F269" s="30"/>
      <c r="H269" s="31"/>
      <c r="I269" s="31"/>
      <c r="R269" s="3"/>
      <c r="S269" s="32"/>
      <c r="U269" s="33"/>
      <c r="V269" s="33"/>
      <c r="AD269" s="32"/>
      <c r="AI269" s="68"/>
    </row>
    <row r="270" spans="2:105" x14ac:dyDescent="0.2">
      <c r="D270" s="29"/>
      <c r="E270" s="31"/>
      <c r="F270" s="30"/>
      <c r="H270" s="31"/>
      <c r="I270" s="31"/>
      <c r="R270" s="3"/>
      <c r="S270" s="32"/>
      <c r="U270" s="33"/>
      <c r="V270" s="33"/>
      <c r="AD270" s="32"/>
    </row>
    <row r="271" spans="2:105" x14ac:dyDescent="0.2">
      <c r="D271" s="29"/>
      <c r="E271" s="31"/>
      <c r="F271" s="30"/>
      <c r="H271" s="31"/>
      <c r="I271" s="31"/>
      <c r="R271" s="32"/>
      <c r="S271" s="32"/>
      <c r="U271" s="33"/>
      <c r="V271" s="33"/>
      <c r="AD271" s="32"/>
    </row>
    <row r="272" spans="2:105" x14ac:dyDescent="0.2">
      <c r="D272" s="29"/>
      <c r="E272" s="31"/>
      <c r="F272" s="30"/>
      <c r="H272" s="31"/>
      <c r="I272" s="31"/>
      <c r="R272" s="3"/>
      <c r="S272" s="32"/>
      <c r="U272" s="33"/>
      <c r="V272" s="33"/>
      <c r="AD272" s="32"/>
    </row>
    <row r="273" spans="3:40" x14ac:dyDescent="0.2">
      <c r="D273" s="29"/>
      <c r="E273" s="31"/>
      <c r="F273" s="30"/>
      <c r="H273" s="31"/>
      <c r="I273" s="31"/>
      <c r="R273" s="32"/>
      <c r="S273" s="32"/>
      <c r="U273" s="33"/>
      <c r="V273" s="33"/>
      <c r="AD273" s="32"/>
    </row>
    <row r="274" spans="3:40" x14ac:dyDescent="0.2">
      <c r="D274" s="29"/>
      <c r="E274" s="31"/>
      <c r="F274" s="30"/>
      <c r="H274" s="31"/>
      <c r="I274" s="31"/>
      <c r="R274" s="32"/>
      <c r="S274" s="32"/>
      <c r="U274" s="33"/>
      <c r="V274" s="33"/>
      <c r="AD274" s="32"/>
    </row>
    <row r="275" spans="3:40" x14ac:dyDescent="0.2">
      <c r="C275" s="190"/>
      <c r="D275" s="29"/>
      <c r="E275" s="31"/>
      <c r="F275" s="30"/>
      <c r="H275" s="31"/>
      <c r="I275" s="31"/>
      <c r="R275" s="32"/>
      <c r="S275" s="32"/>
      <c r="U275" s="33"/>
      <c r="V275" s="33"/>
      <c r="AD275" s="32"/>
    </row>
    <row r="276" spans="3:40" x14ac:dyDescent="0.2">
      <c r="D276" s="29"/>
      <c r="E276" s="31"/>
      <c r="F276" s="30"/>
      <c r="G276" s="68"/>
      <c r="H276" s="31"/>
      <c r="I276" s="31"/>
      <c r="R276" s="68"/>
      <c r="S276" s="64"/>
      <c r="T276" s="68"/>
      <c r="U276" s="109"/>
      <c r="V276" s="109"/>
      <c r="W276" s="68"/>
      <c r="X276" s="68"/>
      <c r="Y276" s="68"/>
      <c r="Z276" s="68"/>
      <c r="AA276" s="68"/>
      <c r="AB276" s="68"/>
      <c r="AC276" s="68"/>
      <c r="AD276" s="64"/>
      <c r="AE276" s="131"/>
      <c r="AF276" s="68"/>
      <c r="AG276" s="68"/>
      <c r="AH276" s="68"/>
      <c r="AI276" s="68"/>
    </row>
    <row r="277" spans="3:40" x14ac:dyDescent="0.2">
      <c r="D277" s="29"/>
      <c r="E277" s="31"/>
      <c r="F277" s="30"/>
      <c r="G277" s="32"/>
      <c r="H277" s="31"/>
      <c r="I277" s="31"/>
      <c r="J277" s="32"/>
      <c r="K277" s="32"/>
      <c r="N277" s="32"/>
      <c r="O277" s="32"/>
      <c r="P277" s="32"/>
      <c r="Q277" s="32"/>
      <c r="R277" s="32"/>
      <c r="S277" s="32"/>
      <c r="T277" s="32"/>
      <c r="U277" s="32"/>
      <c r="V277" s="32"/>
      <c r="AD277" s="32"/>
      <c r="AE277" s="119"/>
      <c r="AF277" s="32"/>
      <c r="AG277" s="32"/>
      <c r="AH277" s="32"/>
      <c r="AJ277" s="32"/>
      <c r="AK277" s="32"/>
      <c r="AL277" s="32"/>
      <c r="AM277" s="32"/>
      <c r="AN277" s="32"/>
    </row>
    <row r="278" spans="3:40" x14ac:dyDescent="0.2">
      <c r="D278" s="29"/>
      <c r="E278" s="31"/>
      <c r="F278" s="30"/>
      <c r="H278" s="31"/>
      <c r="I278" s="31"/>
      <c r="R278" s="32"/>
      <c r="S278" s="32"/>
      <c r="U278" s="33"/>
      <c r="V278" s="33"/>
      <c r="AD278" s="32"/>
    </row>
    <row r="279" spans="3:40" x14ac:dyDescent="0.2">
      <c r="D279" s="29"/>
      <c r="E279" s="31"/>
      <c r="F279" s="30"/>
      <c r="H279" s="31"/>
      <c r="I279" s="31"/>
      <c r="R279" s="32"/>
      <c r="S279" s="32"/>
      <c r="U279" s="33"/>
      <c r="V279" s="33"/>
      <c r="AD279" s="32"/>
    </row>
    <row r="280" spans="3:40" x14ac:dyDescent="0.2">
      <c r="D280" s="29"/>
      <c r="E280" s="31"/>
      <c r="F280" s="30"/>
      <c r="H280" s="31"/>
      <c r="I280" s="31"/>
      <c r="R280" s="32"/>
      <c r="S280" s="32"/>
      <c r="U280" s="33"/>
      <c r="V280" s="33"/>
      <c r="AD280" s="32"/>
    </row>
    <row r="281" spans="3:40" x14ac:dyDescent="0.2">
      <c r="D281" s="29"/>
      <c r="E281" s="31"/>
      <c r="F281" s="30"/>
      <c r="H281" s="31"/>
      <c r="I281" s="31"/>
      <c r="R281" s="32"/>
      <c r="S281" s="32"/>
      <c r="U281" s="33"/>
      <c r="V281" s="33"/>
      <c r="AD281" s="32"/>
    </row>
    <row r="282" spans="3:40" x14ac:dyDescent="0.2">
      <c r="D282" s="29"/>
      <c r="E282" s="31"/>
      <c r="F282" s="30"/>
      <c r="H282" s="31"/>
      <c r="I282" s="31"/>
      <c r="R282" s="32"/>
      <c r="S282" s="32"/>
      <c r="U282" s="33"/>
      <c r="V282" s="33"/>
      <c r="AD282" s="32"/>
    </row>
    <row r="283" spans="3:40" x14ac:dyDescent="0.2">
      <c r="D283" s="29"/>
      <c r="E283" s="31"/>
      <c r="F283" s="30"/>
      <c r="H283" s="31"/>
      <c r="I283" s="31"/>
      <c r="R283" s="32"/>
      <c r="S283" s="32"/>
      <c r="U283" s="33"/>
      <c r="V283" s="33"/>
      <c r="AD283" s="32"/>
    </row>
    <row r="284" spans="3:40" x14ac:dyDescent="0.2">
      <c r="D284" s="29"/>
      <c r="E284" s="31"/>
      <c r="F284" s="30"/>
      <c r="H284" s="31"/>
      <c r="I284" s="31"/>
      <c r="R284" s="32"/>
      <c r="S284" s="32"/>
      <c r="U284" s="33"/>
      <c r="V284" s="33"/>
      <c r="AD284" s="32"/>
    </row>
    <row r="285" spans="3:40" x14ac:dyDescent="0.2">
      <c r="D285" s="29"/>
      <c r="E285" s="31"/>
      <c r="F285" s="30"/>
      <c r="H285" s="31"/>
      <c r="I285" s="31"/>
      <c r="R285" s="32"/>
      <c r="S285" s="32"/>
      <c r="U285" s="33"/>
      <c r="V285" s="33"/>
      <c r="AD285" s="32"/>
    </row>
    <row r="286" spans="3:40" x14ac:dyDescent="0.2">
      <c r="D286" s="29"/>
      <c r="E286" s="31"/>
      <c r="F286" s="30"/>
      <c r="H286" s="31"/>
      <c r="I286" s="31"/>
      <c r="R286" s="32"/>
      <c r="S286" s="32"/>
      <c r="U286" s="33"/>
      <c r="V286" s="33"/>
      <c r="AD286" s="32"/>
    </row>
    <row r="287" spans="3:40" x14ac:dyDescent="0.2">
      <c r="D287" s="29"/>
      <c r="E287" s="31"/>
      <c r="F287" s="30"/>
      <c r="H287" s="31"/>
      <c r="I287" s="31"/>
      <c r="R287" s="32"/>
      <c r="S287" s="32"/>
      <c r="U287" s="33"/>
      <c r="V287" s="33"/>
      <c r="AD287" s="32"/>
    </row>
    <row r="288" spans="3:40" x14ac:dyDescent="0.2">
      <c r="D288" s="29"/>
      <c r="E288" s="31"/>
      <c r="F288" s="30"/>
      <c r="H288" s="31"/>
      <c r="I288" s="31"/>
      <c r="R288" s="32"/>
      <c r="S288" s="32"/>
      <c r="U288" s="33"/>
      <c r="V288" s="33"/>
      <c r="AD288" s="32"/>
    </row>
    <row r="289" spans="4:30" x14ac:dyDescent="0.2">
      <c r="D289" s="29"/>
      <c r="E289" s="31"/>
      <c r="F289" s="30"/>
      <c r="H289" s="31"/>
      <c r="I289" s="31"/>
      <c r="R289" s="32"/>
      <c r="S289" s="32"/>
      <c r="U289" s="33"/>
      <c r="V289" s="33"/>
      <c r="AD289" s="32"/>
    </row>
    <row r="290" spans="4:30" x14ac:dyDescent="0.2">
      <c r="D290" s="29"/>
      <c r="E290" s="31"/>
      <c r="F290" s="30"/>
      <c r="H290" s="31"/>
      <c r="I290" s="31"/>
      <c r="R290" s="32"/>
      <c r="S290" s="32"/>
      <c r="U290" s="33"/>
      <c r="V290" s="33"/>
      <c r="AD290" s="32"/>
    </row>
    <row r="291" spans="4:30" x14ac:dyDescent="0.2">
      <c r="D291" s="29"/>
      <c r="E291" s="31"/>
      <c r="F291" s="30"/>
      <c r="H291" s="31"/>
      <c r="I291" s="31"/>
      <c r="R291" s="32"/>
      <c r="S291" s="32"/>
      <c r="U291" s="33"/>
      <c r="V291" s="33"/>
      <c r="AD291" s="32"/>
    </row>
    <row r="292" spans="4:30" x14ac:dyDescent="0.2">
      <c r="D292" s="29"/>
      <c r="E292" s="31"/>
      <c r="F292" s="30"/>
      <c r="H292" s="31"/>
      <c r="I292" s="31"/>
      <c r="R292" s="32"/>
      <c r="S292" s="32"/>
      <c r="U292" s="33"/>
      <c r="V292" s="33"/>
      <c r="AD292" s="32"/>
    </row>
    <row r="293" spans="4:30" x14ac:dyDescent="0.2">
      <c r="D293" s="29"/>
      <c r="E293" s="31"/>
      <c r="F293" s="30"/>
      <c r="H293" s="31"/>
      <c r="I293" s="31"/>
      <c r="R293" s="32"/>
      <c r="S293" s="32"/>
      <c r="U293" s="33"/>
      <c r="V293" s="33"/>
      <c r="AD293" s="32"/>
    </row>
    <row r="294" spans="4:30" x14ac:dyDescent="0.2">
      <c r="D294" s="29"/>
      <c r="E294" s="31"/>
      <c r="F294" s="30"/>
      <c r="H294" s="31"/>
      <c r="I294" s="31"/>
      <c r="R294" s="32"/>
      <c r="S294" s="32"/>
      <c r="U294" s="33"/>
      <c r="V294" s="33"/>
      <c r="AD294" s="32"/>
    </row>
    <row r="295" spans="4:30" x14ac:dyDescent="0.2">
      <c r="D295" s="29"/>
      <c r="E295" s="31"/>
      <c r="F295" s="30"/>
      <c r="H295" s="31"/>
      <c r="I295" s="31"/>
      <c r="R295" s="32"/>
      <c r="S295" s="32"/>
      <c r="U295" s="33"/>
      <c r="V295" s="33"/>
      <c r="AD295" s="32"/>
    </row>
    <row r="296" spans="4:30" x14ac:dyDescent="0.2">
      <c r="D296" s="29"/>
      <c r="E296" s="31"/>
      <c r="F296" s="30"/>
      <c r="H296" s="31"/>
      <c r="I296" s="31"/>
      <c r="R296" s="32"/>
      <c r="S296" s="32"/>
      <c r="U296" s="33"/>
      <c r="V296" s="33"/>
      <c r="AD296" s="32"/>
    </row>
    <row r="297" spans="4:30" x14ac:dyDescent="0.2">
      <c r="D297" s="29"/>
      <c r="E297" s="31"/>
      <c r="F297" s="30"/>
      <c r="H297" s="31"/>
      <c r="I297" s="31"/>
      <c r="R297" s="32"/>
      <c r="S297" s="32"/>
      <c r="U297" s="33"/>
      <c r="V297" s="33"/>
      <c r="AD297" s="32"/>
    </row>
    <row r="298" spans="4:30" x14ac:dyDescent="0.2">
      <c r="D298" s="29"/>
      <c r="E298" s="31"/>
      <c r="F298" s="30"/>
      <c r="H298" s="31"/>
      <c r="I298" s="31"/>
      <c r="R298" s="32"/>
      <c r="S298" s="32"/>
      <c r="U298" s="33"/>
      <c r="V298" s="33"/>
      <c r="AD298" s="32"/>
    </row>
    <row r="299" spans="4:30" x14ac:dyDescent="0.2">
      <c r="D299" s="29"/>
      <c r="E299" s="31"/>
      <c r="F299" s="30"/>
      <c r="H299" s="31"/>
      <c r="I299" s="31"/>
      <c r="R299" s="32"/>
      <c r="S299" s="32"/>
      <c r="U299" s="33"/>
      <c r="V299" s="33"/>
      <c r="AD299" s="32"/>
    </row>
    <row r="300" spans="4:30" x14ac:dyDescent="0.2">
      <c r="D300" s="29"/>
      <c r="E300" s="31"/>
      <c r="F300" s="30"/>
      <c r="H300" s="31"/>
      <c r="I300" s="31"/>
      <c r="R300" s="32"/>
      <c r="S300" s="32"/>
      <c r="U300" s="33"/>
      <c r="V300" s="33"/>
      <c r="AD300" s="32"/>
    </row>
    <row r="301" spans="4:30" x14ac:dyDescent="0.2">
      <c r="D301" s="29"/>
      <c r="E301" s="31"/>
      <c r="F301" s="30"/>
      <c r="H301" s="31"/>
      <c r="I301" s="31"/>
      <c r="R301" s="32"/>
      <c r="S301" s="32"/>
      <c r="U301" s="33"/>
      <c r="V301" s="33"/>
      <c r="AD301" s="32"/>
    </row>
    <row r="302" spans="4:30" x14ac:dyDescent="0.2">
      <c r="D302" s="29"/>
      <c r="E302" s="31"/>
      <c r="F302" s="30"/>
      <c r="H302" s="31"/>
      <c r="I302" s="31"/>
      <c r="R302" s="32"/>
      <c r="S302" s="32"/>
      <c r="U302" s="33"/>
      <c r="V302" s="33"/>
      <c r="AD302" s="32"/>
    </row>
    <row r="303" spans="4:30" x14ac:dyDescent="0.2">
      <c r="D303" s="29"/>
      <c r="E303" s="31"/>
      <c r="F303" s="30"/>
      <c r="H303" s="31"/>
      <c r="I303" s="31"/>
      <c r="R303" s="32"/>
      <c r="S303" s="32"/>
      <c r="U303" s="33"/>
      <c r="V303" s="33"/>
      <c r="AD303" s="32"/>
    </row>
    <row r="304" spans="4:30" x14ac:dyDescent="0.2">
      <c r="D304" s="29"/>
      <c r="E304" s="31"/>
      <c r="F304" s="30"/>
      <c r="H304" s="31"/>
      <c r="I304" s="31"/>
      <c r="R304" s="32"/>
      <c r="S304" s="32"/>
      <c r="U304" s="33"/>
      <c r="V304" s="33"/>
      <c r="AD304" s="32"/>
    </row>
    <row r="305" spans="4:30" x14ac:dyDescent="0.2">
      <c r="D305" s="29"/>
      <c r="E305" s="31"/>
      <c r="F305" s="30"/>
      <c r="H305" s="31"/>
      <c r="I305" s="31"/>
      <c r="R305" s="32"/>
      <c r="S305" s="32"/>
      <c r="U305" s="33"/>
      <c r="V305" s="33"/>
      <c r="AD305" s="32"/>
    </row>
    <row r="306" spans="4:30" x14ac:dyDescent="0.2">
      <c r="D306" s="29"/>
      <c r="E306" s="31"/>
      <c r="F306" s="30"/>
      <c r="H306" s="31"/>
      <c r="I306" s="31"/>
      <c r="R306" s="32"/>
      <c r="S306" s="32"/>
      <c r="U306" s="33"/>
      <c r="V306" s="33"/>
      <c r="AD306" s="32"/>
    </row>
    <row r="307" spans="4:30" x14ac:dyDescent="0.2">
      <c r="D307" s="29"/>
      <c r="E307" s="31"/>
      <c r="F307" s="30"/>
      <c r="H307" s="31"/>
      <c r="I307" s="31"/>
      <c r="R307" s="32"/>
      <c r="S307" s="32"/>
      <c r="U307" s="33"/>
      <c r="V307" s="33"/>
      <c r="AD307" s="32"/>
    </row>
    <row r="308" spans="4:30" x14ac:dyDescent="0.2">
      <c r="D308" s="29"/>
      <c r="E308" s="31"/>
      <c r="F308" s="30"/>
      <c r="H308" s="31"/>
      <c r="I308" s="31"/>
      <c r="R308" s="32"/>
      <c r="S308" s="32"/>
      <c r="U308" s="33"/>
      <c r="V308" s="33"/>
      <c r="AD308" s="32"/>
    </row>
    <row r="309" spans="4:30" x14ac:dyDescent="0.2">
      <c r="D309" s="29"/>
      <c r="E309" s="31"/>
      <c r="F309" s="30"/>
      <c r="H309" s="31"/>
      <c r="I309" s="31"/>
      <c r="R309" s="32"/>
      <c r="S309" s="32"/>
      <c r="U309" s="33"/>
      <c r="V309" s="33"/>
      <c r="AD309" s="32"/>
    </row>
    <row r="310" spans="4:30" x14ac:dyDescent="0.2">
      <c r="D310" s="29"/>
      <c r="E310" s="31"/>
      <c r="F310" s="30"/>
      <c r="H310" s="31"/>
      <c r="I310" s="31"/>
      <c r="R310" s="32"/>
      <c r="S310" s="32"/>
      <c r="U310" s="33"/>
      <c r="V310" s="33"/>
      <c r="AD310" s="32"/>
    </row>
    <row r="311" spans="4:30" x14ac:dyDescent="0.2">
      <c r="D311" s="29"/>
      <c r="E311" s="31"/>
      <c r="F311" s="30"/>
      <c r="H311" s="31"/>
      <c r="I311" s="31"/>
      <c r="R311" s="32"/>
      <c r="S311" s="32"/>
      <c r="U311" s="33"/>
      <c r="V311" s="33"/>
      <c r="AD311" s="32"/>
    </row>
    <row r="312" spans="4:30" x14ac:dyDescent="0.2">
      <c r="D312" s="29"/>
      <c r="E312" s="31"/>
      <c r="F312" s="30"/>
      <c r="H312" s="31"/>
      <c r="I312" s="31"/>
      <c r="R312" s="32"/>
      <c r="S312" s="32"/>
      <c r="U312" s="33"/>
      <c r="V312" s="33"/>
      <c r="AD312" s="32"/>
    </row>
    <row r="313" spans="4:30" x14ac:dyDescent="0.2">
      <c r="D313" s="29"/>
      <c r="E313" s="31"/>
      <c r="F313" s="30"/>
      <c r="H313" s="31"/>
      <c r="I313" s="31"/>
      <c r="R313" s="32"/>
      <c r="S313" s="32"/>
      <c r="U313" s="33"/>
      <c r="V313" s="33"/>
      <c r="AD313" s="32"/>
    </row>
    <row r="314" spans="4:30" x14ac:dyDescent="0.2">
      <c r="D314" s="29"/>
      <c r="E314" s="31"/>
      <c r="F314" s="30"/>
      <c r="H314" s="31"/>
      <c r="I314" s="31"/>
      <c r="R314" s="32"/>
      <c r="S314" s="32"/>
      <c r="U314" s="33"/>
      <c r="V314" s="33"/>
      <c r="AD314" s="32"/>
    </row>
    <row r="315" spans="4:30" x14ac:dyDescent="0.2">
      <c r="D315" s="29"/>
      <c r="E315" s="31"/>
      <c r="F315" s="30"/>
      <c r="H315" s="31"/>
      <c r="I315" s="31"/>
      <c r="R315" s="32"/>
      <c r="S315" s="32"/>
      <c r="U315" s="33"/>
      <c r="V315" s="33"/>
      <c r="AD315" s="32"/>
    </row>
    <row r="316" spans="4:30" x14ac:dyDescent="0.2">
      <c r="D316" s="29"/>
      <c r="E316" s="31"/>
      <c r="F316" s="30"/>
      <c r="H316" s="31"/>
      <c r="I316" s="31"/>
      <c r="R316" s="32"/>
      <c r="S316" s="32"/>
      <c r="U316" s="33"/>
      <c r="V316" s="33"/>
      <c r="AD316" s="32"/>
    </row>
    <row r="317" spans="4:30" x14ac:dyDescent="0.2">
      <c r="D317" s="29"/>
      <c r="E317" s="31"/>
      <c r="F317" s="30"/>
      <c r="H317" s="31"/>
      <c r="I317" s="31"/>
      <c r="R317" s="32"/>
      <c r="S317" s="32"/>
      <c r="U317" s="33"/>
      <c r="V317" s="33"/>
      <c r="AD317" s="32"/>
    </row>
    <row r="318" spans="4:30" x14ac:dyDescent="0.2">
      <c r="D318" s="29"/>
      <c r="E318" s="31"/>
      <c r="F318" s="30"/>
      <c r="H318" s="31"/>
      <c r="I318" s="31"/>
      <c r="R318" s="32"/>
      <c r="S318" s="32"/>
      <c r="U318" s="33"/>
      <c r="V318" s="33"/>
      <c r="AD318" s="32"/>
    </row>
    <row r="319" spans="4:30" x14ac:dyDescent="0.2">
      <c r="D319" s="29"/>
      <c r="E319" s="31"/>
      <c r="F319" s="30"/>
      <c r="H319" s="31"/>
      <c r="I319" s="31"/>
      <c r="R319" s="32"/>
      <c r="S319" s="32"/>
      <c r="U319" s="33"/>
      <c r="V319" s="33"/>
      <c r="AD319" s="32"/>
    </row>
    <row r="320" spans="4:30" x14ac:dyDescent="0.2">
      <c r="D320" s="29"/>
      <c r="E320" s="31"/>
      <c r="F320" s="30"/>
      <c r="H320" s="31"/>
      <c r="I320" s="31"/>
      <c r="R320" s="32"/>
      <c r="S320" s="32"/>
      <c r="U320" s="33"/>
      <c r="V320" s="33"/>
      <c r="AD320" s="32"/>
    </row>
    <row r="321" spans="4:30" x14ac:dyDescent="0.2">
      <c r="D321" s="29"/>
      <c r="E321" s="31"/>
      <c r="F321" s="30"/>
      <c r="H321" s="31"/>
      <c r="I321" s="31"/>
      <c r="R321" s="32"/>
      <c r="S321" s="32"/>
      <c r="U321" s="33"/>
      <c r="V321" s="33"/>
      <c r="AD321" s="32"/>
    </row>
    <row r="322" spans="4:30" x14ac:dyDescent="0.2">
      <c r="D322" s="29"/>
      <c r="E322" s="31"/>
      <c r="F322" s="30"/>
      <c r="H322" s="31"/>
      <c r="I322" s="31"/>
      <c r="R322" s="32"/>
      <c r="S322" s="32"/>
      <c r="U322" s="33"/>
      <c r="V322" s="33"/>
      <c r="AD322" s="32"/>
    </row>
    <row r="323" spans="4:30" x14ac:dyDescent="0.2">
      <c r="D323" s="29"/>
      <c r="E323" s="31"/>
      <c r="F323" s="30"/>
      <c r="H323" s="31"/>
      <c r="I323" s="31"/>
      <c r="R323" s="32"/>
      <c r="S323" s="32"/>
      <c r="U323" s="33"/>
      <c r="V323" s="33"/>
      <c r="AD323" s="32"/>
    </row>
    <row r="324" spans="4:30" x14ac:dyDescent="0.2">
      <c r="D324" s="29"/>
      <c r="E324" s="31"/>
      <c r="F324" s="30"/>
      <c r="H324" s="31"/>
      <c r="I324" s="31"/>
      <c r="R324" s="32"/>
      <c r="S324" s="32"/>
      <c r="U324" s="33"/>
      <c r="V324" s="33"/>
      <c r="AD324" s="32"/>
    </row>
    <row r="325" spans="4:30" x14ac:dyDescent="0.2">
      <c r="D325" s="29"/>
      <c r="E325" s="31"/>
      <c r="F325" s="30"/>
      <c r="H325" s="31"/>
      <c r="I325" s="31"/>
      <c r="R325" s="32"/>
      <c r="S325" s="32"/>
      <c r="U325" s="33"/>
      <c r="V325" s="33"/>
      <c r="AD325" s="32"/>
    </row>
    <row r="326" spans="4:30" x14ac:dyDescent="0.2">
      <c r="D326" s="29"/>
      <c r="E326" s="31"/>
      <c r="F326" s="30"/>
      <c r="H326" s="31"/>
      <c r="I326" s="31"/>
      <c r="R326" s="32"/>
      <c r="S326" s="32"/>
      <c r="U326" s="33"/>
      <c r="V326" s="33"/>
      <c r="AD326" s="32"/>
    </row>
    <row r="327" spans="4:30" x14ac:dyDescent="0.2">
      <c r="D327" s="29"/>
      <c r="E327" s="31"/>
      <c r="F327" s="30"/>
      <c r="H327" s="31"/>
      <c r="I327" s="31"/>
      <c r="R327" s="32"/>
      <c r="S327" s="32"/>
      <c r="U327" s="33"/>
      <c r="V327" s="33"/>
      <c r="AD327" s="32"/>
    </row>
    <row r="328" spans="4:30" x14ac:dyDescent="0.2">
      <c r="D328" s="29"/>
      <c r="E328" s="31"/>
      <c r="F328" s="30"/>
      <c r="H328" s="31"/>
      <c r="I328" s="31"/>
      <c r="R328" s="32"/>
      <c r="S328" s="32"/>
      <c r="U328" s="33"/>
      <c r="V328" s="33"/>
      <c r="AD328" s="32"/>
    </row>
    <row r="329" spans="4:30" x14ac:dyDescent="0.2">
      <c r="D329" s="29"/>
      <c r="E329" s="31"/>
      <c r="F329" s="30"/>
      <c r="H329" s="31"/>
      <c r="I329" s="31"/>
      <c r="R329" s="32"/>
      <c r="S329" s="32"/>
      <c r="U329" s="33"/>
      <c r="V329" s="33"/>
      <c r="AD329" s="32"/>
    </row>
    <row r="330" spans="4:30" x14ac:dyDescent="0.2">
      <c r="D330" s="29"/>
      <c r="E330" s="31"/>
      <c r="F330" s="30"/>
      <c r="H330" s="31"/>
      <c r="I330" s="31"/>
      <c r="R330" s="32"/>
      <c r="S330" s="32"/>
      <c r="U330" s="33"/>
      <c r="V330" s="33"/>
      <c r="AD330" s="32"/>
    </row>
    <row r="331" spans="4:30" x14ac:dyDescent="0.2">
      <c r="D331" s="29"/>
      <c r="E331" s="31"/>
      <c r="F331" s="30"/>
      <c r="H331" s="31"/>
      <c r="I331" s="31"/>
      <c r="R331" s="32"/>
      <c r="S331" s="32"/>
      <c r="U331" s="33"/>
      <c r="V331" s="33"/>
      <c r="AD331" s="32"/>
    </row>
    <row r="332" spans="4:30" x14ac:dyDescent="0.2">
      <c r="D332" s="29"/>
      <c r="E332" s="31"/>
      <c r="F332" s="30"/>
      <c r="H332" s="31"/>
      <c r="I332" s="31"/>
      <c r="R332" s="32"/>
      <c r="S332" s="32"/>
      <c r="U332" s="33"/>
      <c r="V332" s="33"/>
      <c r="AD332" s="32"/>
    </row>
    <row r="333" spans="4:30" x14ac:dyDescent="0.2">
      <c r="D333" s="29"/>
      <c r="E333" s="31"/>
      <c r="F333" s="30"/>
      <c r="H333" s="31"/>
      <c r="I333" s="31"/>
      <c r="R333" s="32"/>
      <c r="S333" s="32"/>
      <c r="U333" s="33"/>
      <c r="V333" s="33"/>
      <c r="AD333" s="32"/>
    </row>
    <row r="334" spans="4:30" x14ac:dyDescent="0.2">
      <c r="D334" s="29"/>
      <c r="E334" s="31"/>
      <c r="F334" s="30"/>
      <c r="H334" s="31"/>
      <c r="I334" s="31"/>
      <c r="R334" s="32"/>
      <c r="S334" s="32"/>
      <c r="U334" s="33"/>
      <c r="V334" s="33"/>
      <c r="AD334" s="32"/>
    </row>
    <row r="335" spans="4:30" x14ac:dyDescent="0.2">
      <c r="D335" s="29"/>
      <c r="E335" s="31"/>
      <c r="F335" s="30"/>
      <c r="H335" s="31"/>
      <c r="I335" s="31"/>
      <c r="R335" s="32"/>
      <c r="S335" s="32"/>
      <c r="U335" s="33"/>
      <c r="V335" s="33"/>
      <c r="AD335" s="32"/>
    </row>
    <row r="336" spans="4:30" x14ac:dyDescent="0.2">
      <c r="D336" s="29"/>
      <c r="E336" s="31"/>
      <c r="F336" s="30"/>
      <c r="H336" s="31"/>
      <c r="I336" s="31"/>
      <c r="R336" s="32"/>
      <c r="S336" s="32"/>
      <c r="U336" s="33"/>
      <c r="V336" s="33"/>
      <c r="AD336" s="32"/>
    </row>
    <row r="337" spans="4:30" x14ac:dyDescent="0.2">
      <c r="D337" s="29"/>
      <c r="E337" s="31"/>
      <c r="F337" s="30"/>
      <c r="H337" s="31"/>
      <c r="I337" s="31"/>
      <c r="R337" s="32"/>
      <c r="S337" s="32"/>
      <c r="U337" s="33"/>
      <c r="V337" s="33"/>
      <c r="AD337" s="32"/>
    </row>
    <row r="338" spans="4:30" x14ac:dyDescent="0.2">
      <c r="D338" s="29"/>
      <c r="E338" s="31"/>
      <c r="F338" s="30"/>
      <c r="H338" s="31"/>
      <c r="I338" s="31"/>
      <c r="R338" s="32"/>
      <c r="S338" s="32"/>
      <c r="U338" s="33"/>
      <c r="V338" s="33"/>
      <c r="AD338" s="32"/>
    </row>
    <row r="339" spans="4:30" x14ac:dyDescent="0.2">
      <c r="D339" s="29"/>
      <c r="E339" s="31"/>
      <c r="F339" s="30"/>
      <c r="H339" s="31"/>
      <c r="I339" s="31"/>
      <c r="R339" s="32"/>
      <c r="S339" s="32"/>
      <c r="U339" s="33"/>
      <c r="V339" s="33"/>
      <c r="AD339" s="32"/>
    </row>
    <row r="340" spans="4:30" x14ac:dyDescent="0.2">
      <c r="D340" s="29"/>
      <c r="E340" s="31"/>
      <c r="F340" s="30"/>
      <c r="H340" s="31"/>
      <c r="I340" s="31"/>
      <c r="R340" s="32"/>
      <c r="S340" s="32"/>
      <c r="U340" s="33"/>
      <c r="V340" s="33"/>
      <c r="AD340" s="32"/>
    </row>
    <row r="341" spans="4:30" x14ac:dyDescent="0.2">
      <c r="D341" s="29"/>
      <c r="E341" s="31"/>
      <c r="F341" s="30"/>
      <c r="H341" s="31"/>
      <c r="I341" s="31"/>
      <c r="R341" s="32"/>
      <c r="S341" s="32"/>
      <c r="U341" s="33"/>
      <c r="V341" s="33"/>
      <c r="AD341" s="32"/>
    </row>
    <row r="342" spans="4:30" x14ac:dyDescent="0.2">
      <c r="D342" s="29"/>
      <c r="E342" s="31"/>
      <c r="F342" s="30"/>
      <c r="H342" s="31"/>
      <c r="I342" s="31"/>
      <c r="R342" s="32"/>
      <c r="S342" s="32"/>
      <c r="U342" s="33"/>
      <c r="V342" s="33"/>
      <c r="AD342" s="32"/>
    </row>
    <row r="343" spans="4:30" x14ac:dyDescent="0.2">
      <c r="D343" s="29"/>
      <c r="E343" s="31"/>
      <c r="F343" s="30"/>
      <c r="H343" s="31"/>
      <c r="I343" s="31"/>
      <c r="R343" s="32"/>
      <c r="S343" s="32"/>
      <c r="U343" s="33"/>
      <c r="V343" s="33"/>
      <c r="AD343" s="32"/>
    </row>
    <row r="344" spans="4:30" x14ac:dyDescent="0.2">
      <c r="D344" s="29"/>
      <c r="E344" s="31"/>
      <c r="F344" s="30"/>
      <c r="H344" s="31"/>
      <c r="I344" s="31"/>
      <c r="R344" s="32"/>
      <c r="S344" s="32"/>
      <c r="U344" s="33"/>
      <c r="V344" s="33"/>
      <c r="AD344" s="32"/>
    </row>
    <row r="345" spans="4:30" x14ac:dyDescent="0.2">
      <c r="D345" s="29"/>
      <c r="E345" s="31"/>
      <c r="F345" s="30"/>
      <c r="H345" s="31"/>
      <c r="I345" s="31"/>
      <c r="R345" s="32"/>
      <c r="S345" s="32"/>
      <c r="U345" s="33"/>
      <c r="V345" s="33"/>
      <c r="AD345" s="32"/>
    </row>
    <row r="346" spans="4:30" x14ac:dyDescent="0.2">
      <c r="D346" s="29"/>
      <c r="E346" s="31"/>
      <c r="F346" s="30"/>
      <c r="H346" s="31"/>
      <c r="I346" s="31"/>
      <c r="R346" s="32"/>
      <c r="S346" s="32"/>
      <c r="U346" s="33"/>
      <c r="V346" s="33"/>
      <c r="AD346" s="32"/>
    </row>
    <row r="347" spans="4:30" x14ac:dyDescent="0.2">
      <c r="D347" s="29"/>
      <c r="E347" s="31"/>
      <c r="F347" s="30"/>
      <c r="H347" s="31"/>
      <c r="I347" s="31"/>
      <c r="R347" s="32"/>
      <c r="S347" s="32"/>
      <c r="U347" s="33"/>
      <c r="V347" s="33"/>
      <c r="AD347" s="32"/>
    </row>
    <row r="348" spans="4:30" x14ac:dyDescent="0.2">
      <c r="D348" s="29"/>
      <c r="E348" s="31"/>
      <c r="F348" s="30"/>
      <c r="H348" s="31"/>
      <c r="I348" s="31"/>
      <c r="R348" s="32"/>
      <c r="S348" s="32"/>
      <c r="U348" s="33"/>
      <c r="V348" s="33"/>
      <c r="AD348" s="32"/>
    </row>
    <row r="349" spans="4:30" x14ac:dyDescent="0.2">
      <c r="D349" s="29"/>
      <c r="E349" s="31"/>
      <c r="F349" s="30"/>
      <c r="I349" s="31"/>
      <c r="R349" s="32"/>
      <c r="S349" s="32"/>
      <c r="U349" s="33"/>
      <c r="V349" s="33"/>
      <c r="AD349" s="32"/>
    </row>
    <row r="350" spans="4:30" x14ac:dyDescent="0.2">
      <c r="D350" s="29"/>
      <c r="E350" s="31"/>
      <c r="F350" s="30"/>
      <c r="I350" s="31"/>
      <c r="R350" s="32"/>
      <c r="S350" s="32"/>
      <c r="U350" s="33"/>
      <c r="V350" s="33"/>
      <c r="AD350" s="32"/>
    </row>
    <row r="351" spans="4:30" x14ac:dyDescent="0.2">
      <c r="D351" s="29"/>
      <c r="E351" s="31"/>
      <c r="F351" s="30"/>
      <c r="H351" s="31"/>
      <c r="I351" s="31"/>
      <c r="R351" s="32"/>
      <c r="S351" s="32"/>
      <c r="U351" s="33"/>
      <c r="V351" s="33"/>
      <c r="AD351" s="32"/>
    </row>
    <row r="352" spans="4:30" x14ac:dyDescent="0.2">
      <c r="D352" s="29"/>
      <c r="E352" s="31"/>
      <c r="F352" s="30"/>
      <c r="I352" s="31"/>
      <c r="R352" s="32"/>
      <c r="S352" s="32"/>
      <c r="U352" s="33"/>
      <c r="V352" s="33"/>
      <c r="AD352" s="32"/>
    </row>
    <row r="353" spans="4:40" x14ac:dyDescent="0.2">
      <c r="D353" s="29"/>
      <c r="E353" s="31"/>
      <c r="F353" s="30"/>
      <c r="H353" s="31"/>
      <c r="I353" s="31"/>
      <c r="R353" s="32"/>
      <c r="S353" s="32"/>
      <c r="U353" s="33"/>
      <c r="V353" s="33"/>
      <c r="AD353" s="32"/>
    </row>
    <row r="354" spans="4:40" x14ac:dyDescent="0.2">
      <c r="D354" s="29"/>
      <c r="E354" s="31"/>
      <c r="F354" s="30"/>
      <c r="I354" s="31"/>
      <c r="R354" s="32"/>
      <c r="S354" s="32"/>
      <c r="U354" s="33"/>
      <c r="V354" s="33"/>
      <c r="AD354" s="32"/>
    </row>
    <row r="355" spans="4:40" x14ac:dyDescent="0.2">
      <c r="D355" s="29"/>
      <c r="E355" s="31"/>
      <c r="F355" s="30"/>
      <c r="I355" s="31"/>
      <c r="R355" s="32"/>
      <c r="S355" s="32"/>
      <c r="U355" s="33"/>
      <c r="V355" s="33"/>
      <c r="AD355" s="32"/>
    </row>
    <row r="356" spans="4:40" x14ac:dyDescent="0.2">
      <c r="D356" s="29"/>
      <c r="E356" s="31"/>
      <c r="F356" s="30"/>
      <c r="I356" s="31"/>
      <c r="R356" s="32"/>
      <c r="S356" s="32"/>
      <c r="U356" s="33"/>
      <c r="V356" s="33"/>
      <c r="AD356" s="32"/>
    </row>
    <row r="357" spans="4:40" x14ac:dyDescent="0.2">
      <c r="D357" s="29"/>
      <c r="E357" s="31"/>
      <c r="F357" s="30"/>
      <c r="I357" s="31"/>
      <c r="R357" s="32"/>
      <c r="S357" s="32"/>
      <c r="U357" s="33"/>
      <c r="V357" s="33"/>
      <c r="AD357" s="32"/>
    </row>
    <row r="358" spans="4:40" x14ac:dyDescent="0.2">
      <c r="D358" s="29"/>
      <c r="E358" s="31"/>
      <c r="F358" s="30"/>
      <c r="I358" s="31"/>
      <c r="R358" s="32"/>
      <c r="S358" s="32"/>
      <c r="U358" s="33"/>
      <c r="V358" s="33"/>
      <c r="AD358" s="32"/>
    </row>
    <row r="359" spans="4:40" x14ac:dyDescent="0.2">
      <c r="D359" s="29"/>
      <c r="E359" s="31"/>
      <c r="F359" s="30"/>
      <c r="I359" s="31"/>
      <c r="R359" s="32"/>
      <c r="S359" s="32"/>
      <c r="U359" s="33"/>
      <c r="V359" s="33"/>
      <c r="AD359" s="32"/>
    </row>
    <row r="360" spans="4:40" x14ac:dyDescent="0.2">
      <c r="D360" s="29"/>
      <c r="E360" s="31"/>
      <c r="F360" s="30"/>
      <c r="I360" s="31"/>
      <c r="R360" s="32"/>
      <c r="S360" s="32"/>
      <c r="U360" s="33"/>
      <c r="V360" s="33"/>
      <c r="AD360" s="32"/>
    </row>
    <row r="361" spans="4:40" x14ac:dyDescent="0.2">
      <c r="D361" s="29"/>
      <c r="E361" s="31"/>
      <c r="F361" s="30"/>
      <c r="G361" s="32"/>
      <c r="I361" s="31"/>
      <c r="J361" s="32"/>
      <c r="K361" s="32"/>
      <c r="N361" s="32"/>
      <c r="O361" s="32"/>
      <c r="P361" s="32"/>
      <c r="Q361" s="32"/>
      <c r="R361" s="32"/>
      <c r="S361" s="32"/>
      <c r="T361" s="32"/>
      <c r="U361" s="32"/>
      <c r="V361" s="32"/>
      <c r="AD361" s="32"/>
      <c r="AE361" s="119"/>
      <c r="AF361" s="32"/>
      <c r="AG361" s="32"/>
      <c r="AH361" s="32"/>
      <c r="AJ361" s="32"/>
      <c r="AK361" s="32"/>
      <c r="AL361" s="32"/>
      <c r="AM361" s="32"/>
      <c r="AN361" s="32"/>
    </row>
    <row r="362" spans="4:40" x14ac:dyDescent="0.2">
      <c r="D362" s="29"/>
      <c r="E362" s="31"/>
      <c r="F362" s="30"/>
      <c r="H362" s="31"/>
      <c r="I362" s="31"/>
      <c r="R362" s="32"/>
      <c r="S362" s="32"/>
      <c r="U362" s="33"/>
      <c r="V362" s="33"/>
      <c r="AD362" s="32"/>
    </row>
    <row r="363" spans="4:40" x14ac:dyDescent="0.2">
      <c r="D363" s="29"/>
      <c r="E363" s="31"/>
      <c r="F363" s="30"/>
      <c r="H363" s="31"/>
      <c r="I363" s="31"/>
      <c r="R363" s="32"/>
      <c r="S363" s="32"/>
      <c r="U363" s="33"/>
      <c r="V363" s="33"/>
      <c r="AD363" s="32"/>
    </row>
    <row r="364" spans="4:40" x14ac:dyDescent="0.2">
      <c r="D364" s="29"/>
      <c r="E364" s="31"/>
      <c r="F364" s="30"/>
      <c r="H364" s="31"/>
      <c r="I364" s="31"/>
      <c r="R364" s="32"/>
      <c r="S364" s="32"/>
      <c r="U364" s="33"/>
      <c r="V364" s="33"/>
      <c r="AD364" s="32"/>
    </row>
    <row r="365" spans="4:40" x14ac:dyDescent="0.2">
      <c r="D365" s="29"/>
      <c r="E365" s="31"/>
      <c r="F365" s="30"/>
      <c r="H365" s="31"/>
      <c r="I365" s="31"/>
      <c r="R365" s="32"/>
      <c r="S365" s="32"/>
      <c r="U365" s="33"/>
      <c r="V365" s="33"/>
      <c r="AD365" s="32"/>
    </row>
    <row r="366" spans="4:40" x14ac:dyDescent="0.2">
      <c r="D366" s="29"/>
      <c r="E366" s="31"/>
      <c r="F366" s="30"/>
      <c r="H366" s="31"/>
      <c r="I366" s="31"/>
      <c r="R366" s="32"/>
      <c r="S366" s="32"/>
      <c r="U366" s="33"/>
      <c r="V366" s="33"/>
      <c r="AD366" s="32"/>
    </row>
    <row r="367" spans="4:40" x14ac:dyDescent="0.2">
      <c r="D367" s="29"/>
      <c r="E367" s="31"/>
      <c r="F367" s="30"/>
      <c r="H367" s="31"/>
      <c r="I367" s="31"/>
      <c r="R367" s="32"/>
      <c r="S367" s="32"/>
      <c r="U367" s="33"/>
      <c r="V367" s="33"/>
      <c r="AD367" s="32"/>
    </row>
    <row r="368" spans="4:40" x14ac:dyDescent="0.2">
      <c r="D368" s="29"/>
      <c r="E368" s="31"/>
      <c r="F368" s="30"/>
      <c r="H368" s="31"/>
      <c r="I368" s="31"/>
      <c r="R368" s="32"/>
      <c r="S368" s="32"/>
      <c r="U368" s="33"/>
      <c r="V368" s="33"/>
      <c r="AD368" s="32"/>
    </row>
    <row r="369" spans="4:30" x14ac:dyDescent="0.2">
      <c r="D369" s="29"/>
      <c r="E369" s="31"/>
      <c r="F369" s="30"/>
      <c r="H369" s="31"/>
      <c r="I369" s="31"/>
      <c r="R369" s="32"/>
      <c r="S369" s="32"/>
      <c r="U369" s="33"/>
      <c r="V369" s="33"/>
      <c r="AD369" s="32"/>
    </row>
    <row r="370" spans="4:30" x14ac:dyDescent="0.2">
      <c r="D370" s="29"/>
      <c r="E370" s="31"/>
      <c r="F370" s="30"/>
      <c r="H370" s="31"/>
      <c r="I370" s="31"/>
      <c r="R370" s="32"/>
      <c r="S370" s="32"/>
      <c r="U370" s="33"/>
      <c r="V370" s="33"/>
      <c r="AD370" s="32"/>
    </row>
    <row r="371" spans="4:30" x14ac:dyDescent="0.2">
      <c r="D371" s="29"/>
      <c r="E371" s="31"/>
      <c r="F371" s="30"/>
      <c r="H371" s="31"/>
      <c r="I371" s="31"/>
      <c r="R371" s="32"/>
      <c r="S371" s="32"/>
      <c r="U371" s="33"/>
      <c r="V371" s="33"/>
      <c r="AD371" s="32"/>
    </row>
    <row r="372" spans="4:30" x14ac:dyDescent="0.2">
      <c r="D372" s="29"/>
      <c r="E372" s="31"/>
      <c r="F372" s="30"/>
      <c r="H372" s="31"/>
      <c r="I372" s="31"/>
      <c r="R372" s="32"/>
      <c r="S372" s="32"/>
      <c r="U372" s="33"/>
      <c r="V372" s="33"/>
      <c r="AD372" s="32"/>
    </row>
    <row r="373" spans="4:30" x14ac:dyDescent="0.2">
      <c r="D373" s="29"/>
      <c r="E373" s="31"/>
      <c r="F373" s="30"/>
      <c r="H373" s="31"/>
      <c r="I373" s="31"/>
      <c r="R373" s="32"/>
      <c r="S373" s="32"/>
      <c r="U373" s="33"/>
      <c r="V373" s="33"/>
      <c r="AD373" s="32"/>
    </row>
    <row r="374" spans="4:30" x14ac:dyDescent="0.2">
      <c r="D374" s="29"/>
      <c r="E374" s="31"/>
      <c r="F374" s="30"/>
      <c r="H374" s="31"/>
      <c r="I374" s="31"/>
      <c r="R374" s="32"/>
      <c r="S374" s="32"/>
      <c r="U374" s="33"/>
      <c r="V374" s="33"/>
      <c r="AD374" s="32"/>
    </row>
    <row r="375" spans="4:30" x14ac:dyDescent="0.2">
      <c r="D375" s="29"/>
      <c r="E375" s="31"/>
      <c r="F375" s="30"/>
      <c r="H375" s="31"/>
      <c r="I375" s="31"/>
      <c r="R375" s="32"/>
      <c r="S375" s="32"/>
      <c r="U375" s="33"/>
      <c r="V375" s="33"/>
      <c r="AD375" s="32"/>
    </row>
    <row r="376" spans="4:30" x14ac:dyDescent="0.2">
      <c r="D376" s="29"/>
      <c r="E376" s="31"/>
      <c r="F376" s="30"/>
      <c r="H376" s="31"/>
      <c r="I376" s="31"/>
      <c r="R376" s="32"/>
      <c r="S376" s="32"/>
      <c r="U376" s="33"/>
      <c r="V376" s="33"/>
      <c r="AD376" s="32"/>
    </row>
    <row r="377" spans="4:30" x14ac:dyDescent="0.2">
      <c r="D377" s="29"/>
      <c r="E377" s="31"/>
      <c r="F377" s="30"/>
      <c r="H377" s="31"/>
      <c r="I377" s="31"/>
      <c r="R377" s="32"/>
      <c r="S377" s="32"/>
      <c r="U377" s="33"/>
      <c r="V377" s="33"/>
      <c r="AD377" s="32"/>
    </row>
    <row r="378" spans="4:30" x14ac:dyDescent="0.2">
      <c r="D378" s="29"/>
      <c r="E378" s="31"/>
      <c r="F378" s="30"/>
      <c r="H378" s="31"/>
      <c r="I378" s="31"/>
      <c r="R378" s="32"/>
      <c r="S378" s="32"/>
      <c r="U378" s="33"/>
      <c r="V378" s="33"/>
      <c r="AD378" s="32"/>
    </row>
    <row r="379" spans="4:30" x14ac:dyDescent="0.2">
      <c r="D379" s="29"/>
      <c r="E379" s="31"/>
      <c r="F379" s="30"/>
      <c r="H379" s="31"/>
      <c r="I379" s="31"/>
      <c r="R379" s="32"/>
      <c r="S379" s="32"/>
      <c r="U379" s="33"/>
      <c r="V379" s="33"/>
      <c r="AD379" s="32"/>
    </row>
    <row r="380" spans="4:30" x14ac:dyDescent="0.2">
      <c r="D380" s="29"/>
      <c r="E380" s="31"/>
      <c r="F380" s="30"/>
      <c r="H380" s="31"/>
      <c r="I380" s="31"/>
      <c r="R380" s="32"/>
      <c r="S380" s="32"/>
      <c r="U380" s="33"/>
      <c r="V380" s="33"/>
      <c r="AD380" s="32"/>
    </row>
    <row r="381" spans="4:30" x14ac:dyDescent="0.2">
      <c r="D381" s="29"/>
      <c r="E381" s="31"/>
      <c r="F381" s="30"/>
      <c r="H381" s="31"/>
      <c r="I381" s="31"/>
      <c r="R381" s="32"/>
      <c r="S381" s="32"/>
      <c r="U381" s="33"/>
      <c r="V381" s="33"/>
      <c r="AD381" s="32"/>
    </row>
    <row r="382" spans="4:30" x14ac:dyDescent="0.2">
      <c r="D382" s="29"/>
      <c r="E382" s="31"/>
      <c r="F382" s="30"/>
      <c r="H382" s="31"/>
      <c r="I382" s="31"/>
      <c r="R382" s="32"/>
      <c r="S382" s="32"/>
      <c r="U382" s="33"/>
      <c r="V382" s="33"/>
      <c r="AD382" s="32"/>
    </row>
    <row r="383" spans="4:30" x14ac:dyDescent="0.2">
      <c r="D383" s="29"/>
      <c r="E383" s="31"/>
      <c r="F383" s="30"/>
      <c r="H383" s="31"/>
      <c r="I383" s="31"/>
      <c r="R383" s="32"/>
      <c r="S383" s="32"/>
      <c r="U383" s="33"/>
      <c r="V383" s="33"/>
      <c r="AD383" s="32"/>
    </row>
    <row r="384" spans="4:30" x14ac:dyDescent="0.2">
      <c r="D384" s="29"/>
      <c r="E384" s="31"/>
      <c r="F384" s="30"/>
      <c r="H384" s="31"/>
      <c r="I384" s="31"/>
      <c r="R384" s="32"/>
      <c r="S384" s="32"/>
      <c r="U384" s="33"/>
      <c r="V384" s="33"/>
      <c r="AD384" s="32"/>
    </row>
    <row r="385" spans="4:30" x14ac:dyDescent="0.2">
      <c r="D385" s="29"/>
      <c r="E385" s="31"/>
      <c r="F385" s="30"/>
      <c r="H385" s="31"/>
      <c r="I385" s="31"/>
      <c r="R385" s="32"/>
      <c r="S385" s="32"/>
      <c r="U385" s="33"/>
      <c r="V385" s="33"/>
      <c r="AD385" s="32"/>
    </row>
    <row r="386" spans="4:30" x14ac:dyDescent="0.2">
      <c r="D386" s="29"/>
      <c r="E386" s="31"/>
      <c r="F386" s="30"/>
      <c r="H386" s="31"/>
      <c r="I386" s="31"/>
      <c r="R386" s="32"/>
      <c r="S386" s="32"/>
      <c r="U386" s="33"/>
      <c r="V386" s="33"/>
      <c r="AD386" s="32"/>
    </row>
    <row r="387" spans="4:30" x14ac:dyDescent="0.2">
      <c r="D387" s="29"/>
      <c r="E387" s="31"/>
      <c r="F387" s="30"/>
      <c r="H387" s="31"/>
      <c r="I387" s="31"/>
      <c r="R387" s="32"/>
      <c r="S387" s="32"/>
      <c r="U387" s="33"/>
      <c r="V387" s="33"/>
      <c r="AD387" s="32"/>
    </row>
    <row r="388" spans="4:30" x14ac:dyDescent="0.2">
      <c r="D388" s="29"/>
      <c r="E388" s="31"/>
      <c r="F388" s="30"/>
      <c r="H388" s="31"/>
      <c r="I388" s="31"/>
      <c r="R388" s="32"/>
      <c r="S388" s="32"/>
      <c r="U388" s="33"/>
      <c r="V388" s="33"/>
      <c r="AD388" s="32"/>
    </row>
    <row r="389" spans="4:30" x14ac:dyDescent="0.2">
      <c r="D389" s="29"/>
      <c r="E389" s="31"/>
      <c r="F389" s="30"/>
      <c r="H389" s="31"/>
      <c r="I389" s="31"/>
      <c r="R389" s="32"/>
      <c r="S389" s="32"/>
      <c r="U389" s="33"/>
      <c r="V389" s="33"/>
      <c r="AD389" s="32"/>
    </row>
    <row r="390" spans="4:30" x14ac:dyDescent="0.2">
      <c r="D390" s="29"/>
      <c r="E390" s="31"/>
      <c r="F390" s="30"/>
      <c r="H390" s="31"/>
      <c r="I390" s="31"/>
      <c r="R390" s="32"/>
      <c r="S390" s="32"/>
      <c r="U390" s="33"/>
      <c r="V390" s="33"/>
      <c r="AD390" s="32"/>
    </row>
    <row r="391" spans="4:30" x14ac:dyDescent="0.2">
      <c r="D391" s="29"/>
      <c r="E391" s="31"/>
      <c r="F391" s="30"/>
      <c r="H391" s="31"/>
      <c r="I391" s="31"/>
      <c r="R391" s="32"/>
      <c r="S391" s="32"/>
      <c r="U391" s="33"/>
      <c r="V391" s="33"/>
      <c r="AD391" s="32"/>
    </row>
    <row r="392" spans="4:30" x14ac:dyDescent="0.2">
      <c r="D392" s="29"/>
      <c r="E392" s="31"/>
      <c r="F392" s="30"/>
      <c r="H392" s="31"/>
      <c r="I392" s="31"/>
      <c r="R392" s="32"/>
      <c r="S392" s="32"/>
      <c r="U392" s="33"/>
      <c r="V392" s="33"/>
      <c r="AD392" s="32"/>
    </row>
    <row r="393" spans="4:30" x14ac:dyDescent="0.2">
      <c r="D393" s="29"/>
      <c r="E393" s="31"/>
      <c r="F393" s="30"/>
      <c r="H393" s="31"/>
      <c r="I393" s="31"/>
      <c r="R393" s="32"/>
      <c r="S393" s="32"/>
      <c r="U393" s="33"/>
      <c r="V393" s="33"/>
      <c r="AD393" s="32"/>
    </row>
    <row r="394" spans="4:30" x14ac:dyDescent="0.2">
      <c r="D394" s="29"/>
      <c r="E394" s="31"/>
      <c r="F394" s="30"/>
      <c r="H394" s="31"/>
      <c r="I394" s="31"/>
      <c r="R394" s="32"/>
      <c r="S394" s="32"/>
      <c r="U394" s="33"/>
      <c r="V394" s="33"/>
      <c r="AD394" s="32"/>
    </row>
    <row r="395" spans="4:30" x14ac:dyDescent="0.2">
      <c r="D395" s="29"/>
      <c r="E395" s="31"/>
      <c r="F395" s="30"/>
      <c r="H395" s="31"/>
      <c r="I395" s="31"/>
      <c r="R395" s="32"/>
      <c r="S395" s="32"/>
      <c r="U395" s="33"/>
      <c r="V395" s="33"/>
      <c r="AD395" s="32"/>
    </row>
    <row r="396" spans="4:30" x14ac:dyDescent="0.2">
      <c r="D396" s="29"/>
      <c r="E396" s="31"/>
      <c r="F396" s="30"/>
      <c r="H396" s="31"/>
      <c r="I396" s="31"/>
      <c r="R396" s="32"/>
      <c r="S396" s="32"/>
      <c r="U396" s="33"/>
      <c r="V396" s="33"/>
      <c r="AD396" s="32"/>
    </row>
    <row r="397" spans="4:30" x14ac:dyDescent="0.2">
      <c r="D397" s="29"/>
      <c r="E397" s="31"/>
      <c r="F397" s="30"/>
      <c r="H397" s="31"/>
      <c r="I397" s="31"/>
      <c r="R397" s="32"/>
      <c r="S397" s="32"/>
      <c r="U397" s="33"/>
      <c r="V397" s="33"/>
      <c r="AD397" s="32"/>
    </row>
    <row r="398" spans="4:30" x14ac:dyDescent="0.2">
      <c r="D398" s="29"/>
      <c r="E398" s="31"/>
      <c r="F398" s="30"/>
      <c r="H398" s="31"/>
      <c r="I398" s="31"/>
      <c r="R398" s="32"/>
      <c r="S398" s="32"/>
      <c r="U398" s="33"/>
      <c r="V398" s="33"/>
      <c r="AD398" s="32"/>
    </row>
    <row r="399" spans="4:30" x14ac:dyDescent="0.2">
      <c r="D399" s="29"/>
      <c r="E399" s="31"/>
      <c r="F399" s="30"/>
      <c r="H399" s="31"/>
      <c r="I399" s="31"/>
      <c r="R399" s="32"/>
      <c r="S399" s="32"/>
      <c r="U399" s="33"/>
      <c r="V399" s="33"/>
      <c r="AD399" s="32"/>
    </row>
    <row r="400" spans="4:30" x14ac:dyDescent="0.2">
      <c r="D400" s="29"/>
      <c r="E400" s="31"/>
      <c r="F400" s="30"/>
      <c r="H400" s="31"/>
      <c r="I400" s="31"/>
      <c r="R400" s="32"/>
      <c r="S400" s="32"/>
      <c r="U400" s="33"/>
      <c r="V400" s="33"/>
      <c r="AD400" s="32"/>
    </row>
    <row r="401" spans="4:30" x14ac:dyDescent="0.2">
      <c r="D401" s="29"/>
      <c r="E401" s="31"/>
      <c r="F401" s="30"/>
      <c r="H401" s="31"/>
      <c r="I401" s="31"/>
      <c r="R401" s="32"/>
      <c r="S401" s="32"/>
      <c r="U401" s="33"/>
      <c r="V401" s="33"/>
      <c r="AD401" s="32"/>
    </row>
    <row r="402" spans="4:30" x14ac:dyDescent="0.2">
      <c r="D402" s="29"/>
      <c r="E402" s="31"/>
      <c r="F402" s="30"/>
      <c r="H402" s="31"/>
      <c r="I402" s="31"/>
      <c r="R402" s="32"/>
      <c r="S402" s="32"/>
      <c r="U402" s="33"/>
      <c r="V402" s="33"/>
      <c r="AD402" s="32"/>
    </row>
    <row r="403" spans="4:30" x14ac:dyDescent="0.2">
      <c r="D403" s="29"/>
      <c r="E403" s="31"/>
      <c r="F403" s="30"/>
      <c r="H403" s="31"/>
      <c r="I403" s="31"/>
      <c r="R403" s="32"/>
      <c r="S403" s="32"/>
      <c r="U403" s="33"/>
      <c r="V403" s="33"/>
      <c r="AD403" s="32"/>
    </row>
    <row r="404" spans="4:30" x14ac:dyDescent="0.2">
      <c r="D404" s="29"/>
      <c r="E404" s="31"/>
      <c r="F404" s="30"/>
      <c r="H404" s="31"/>
      <c r="I404" s="31"/>
      <c r="R404" s="32"/>
      <c r="S404" s="32"/>
      <c r="U404" s="33"/>
      <c r="V404" s="33"/>
      <c r="AD404" s="32"/>
    </row>
    <row r="405" spans="4:30" x14ac:dyDescent="0.2">
      <c r="D405" s="29"/>
      <c r="E405" s="31"/>
      <c r="F405" s="30"/>
      <c r="H405" s="31"/>
      <c r="I405" s="31"/>
      <c r="R405" s="32"/>
      <c r="S405" s="32"/>
      <c r="U405" s="33"/>
      <c r="V405" s="33"/>
      <c r="AD405" s="32"/>
    </row>
    <row r="406" spans="4:30" x14ac:dyDescent="0.2">
      <c r="D406" s="29"/>
      <c r="E406" s="31"/>
      <c r="F406" s="30"/>
      <c r="H406" s="31"/>
      <c r="I406" s="31"/>
      <c r="R406" s="32"/>
      <c r="S406" s="32"/>
      <c r="U406" s="33"/>
      <c r="V406" s="33"/>
      <c r="AD406" s="32"/>
    </row>
    <row r="407" spans="4:30" x14ac:dyDescent="0.2">
      <c r="D407" s="29"/>
      <c r="E407" s="31"/>
      <c r="F407" s="30"/>
      <c r="H407" s="31"/>
      <c r="I407" s="31"/>
      <c r="R407" s="32"/>
      <c r="S407" s="32"/>
      <c r="U407" s="33"/>
      <c r="V407" s="33"/>
      <c r="AD407" s="32"/>
    </row>
    <row r="408" spans="4:30" x14ac:dyDescent="0.2">
      <c r="D408" s="29"/>
      <c r="E408" s="31"/>
      <c r="F408" s="30"/>
      <c r="H408" s="31"/>
      <c r="I408" s="31"/>
      <c r="R408" s="32"/>
      <c r="S408" s="32"/>
      <c r="U408" s="33"/>
      <c r="V408" s="33"/>
      <c r="AD408" s="32"/>
    </row>
    <row r="409" spans="4:30" x14ac:dyDescent="0.2">
      <c r="D409" s="29"/>
      <c r="E409" s="31"/>
      <c r="F409" s="30"/>
      <c r="H409" s="31"/>
      <c r="I409" s="31"/>
      <c r="R409" s="32"/>
      <c r="S409" s="32"/>
      <c r="U409" s="33"/>
      <c r="V409" s="33"/>
      <c r="AD409" s="32"/>
    </row>
    <row r="410" spans="4:30" x14ac:dyDescent="0.2">
      <c r="D410" s="29"/>
      <c r="E410" s="31"/>
      <c r="F410" s="30"/>
      <c r="H410" s="31"/>
      <c r="I410" s="31"/>
      <c r="R410" s="32"/>
      <c r="S410" s="32"/>
      <c r="U410" s="33"/>
      <c r="V410" s="33"/>
      <c r="AD410" s="32"/>
    </row>
    <row r="411" spans="4:30" x14ac:dyDescent="0.2">
      <c r="D411" s="29"/>
      <c r="E411" s="31"/>
      <c r="F411" s="30"/>
      <c r="H411" s="31"/>
      <c r="I411" s="31"/>
      <c r="R411" s="32"/>
      <c r="S411" s="32"/>
      <c r="U411" s="33"/>
      <c r="V411" s="33"/>
      <c r="AD411" s="32"/>
    </row>
    <row r="412" spans="4:30" x14ac:dyDescent="0.2">
      <c r="D412" s="29"/>
      <c r="E412" s="31"/>
      <c r="F412" s="30"/>
      <c r="I412" s="31"/>
      <c r="R412" s="32"/>
      <c r="S412" s="32"/>
      <c r="U412" s="33"/>
      <c r="V412" s="33"/>
      <c r="AD412" s="32"/>
    </row>
    <row r="413" spans="4:30" x14ac:dyDescent="0.2">
      <c r="D413" s="29"/>
      <c r="E413" s="31"/>
      <c r="F413" s="30"/>
      <c r="H413" s="31"/>
      <c r="R413" s="32"/>
      <c r="S413" s="32"/>
      <c r="U413" s="33"/>
      <c r="V413" s="33"/>
      <c r="AD413" s="32"/>
    </row>
    <row r="414" spans="4:30" x14ac:dyDescent="0.2">
      <c r="D414" s="29"/>
      <c r="E414" s="31"/>
      <c r="F414" s="30"/>
      <c r="H414" s="31"/>
      <c r="R414" s="32"/>
      <c r="S414" s="32"/>
      <c r="U414" s="33"/>
      <c r="V414" s="33"/>
      <c r="AD414" s="32"/>
    </row>
    <row r="415" spans="4:30" x14ac:dyDescent="0.2">
      <c r="D415" s="29"/>
      <c r="E415" s="31"/>
      <c r="F415" s="30"/>
      <c r="H415" s="31"/>
      <c r="R415" s="32"/>
      <c r="S415" s="32"/>
      <c r="U415" s="33"/>
      <c r="V415" s="33"/>
      <c r="AD415" s="32"/>
    </row>
    <row r="416" spans="4:30" x14ac:dyDescent="0.2">
      <c r="D416" s="29"/>
      <c r="E416" s="31"/>
      <c r="F416" s="30"/>
      <c r="H416" s="31"/>
      <c r="R416" s="32"/>
      <c r="S416" s="32"/>
      <c r="U416" s="33"/>
      <c r="V416" s="33"/>
      <c r="AD416" s="32"/>
    </row>
    <row r="417" spans="4:40" x14ac:dyDescent="0.2">
      <c r="D417" s="29"/>
      <c r="E417" s="31"/>
      <c r="F417" s="30"/>
      <c r="H417" s="31"/>
      <c r="R417" s="32"/>
      <c r="S417" s="32"/>
      <c r="U417" s="33"/>
      <c r="V417" s="33"/>
      <c r="AD417" s="32"/>
    </row>
    <row r="418" spans="4:40" x14ac:dyDescent="0.2">
      <c r="D418" s="29"/>
      <c r="E418" s="31"/>
      <c r="F418" s="30"/>
      <c r="G418" s="32"/>
      <c r="H418" s="31"/>
      <c r="J418" s="32"/>
      <c r="K418" s="32"/>
      <c r="N418" s="32"/>
      <c r="O418" s="32"/>
      <c r="P418" s="32"/>
      <c r="Q418" s="32"/>
      <c r="R418" s="32"/>
      <c r="S418" s="32"/>
      <c r="T418" s="32"/>
      <c r="U418" s="32"/>
      <c r="V418" s="32"/>
      <c r="AD418" s="32"/>
      <c r="AE418" s="119"/>
      <c r="AF418" s="32"/>
      <c r="AG418" s="32"/>
      <c r="AH418" s="32"/>
      <c r="AJ418" s="32"/>
      <c r="AK418" s="32"/>
      <c r="AL418" s="32"/>
      <c r="AM418" s="32"/>
      <c r="AN418" s="32"/>
    </row>
    <row r="419" spans="4:40" x14ac:dyDescent="0.2">
      <c r="D419" s="29"/>
      <c r="E419" s="31"/>
      <c r="F419" s="30"/>
      <c r="H419" s="31"/>
      <c r="I419" s="31"/>
      <c r="R419" s="32"/>
      <c r="S419" s="32"/>
      <c r="U419" s="33"/>
      <c r="V419" s="33"/>
      <c r="AD419" s="32"/>
    </row>
    <row r="420" spans="4:40" x14ac:dyDescent="0.2">
      <c r="D420" s="29"/>
      <c r="E420" s="31"/>
      <c r="F420" s="30"/>
      <c r="H420" s="31"/>
      <c r="I420" s="31"/>
      <c r="R420" s="32"/>
      <c r="S420" s="32"/>
      <c r="U420" s="33"/>
      <c r="V420" s="33"/>
      <c r="AD420" s="32"/>
    </row>
    <row r="421" spans="4:40" x14ac:dyDescent="0.2">
      <c r="D421" s="29"/>
      <c r="E421" s="31"/>
      <c r="F421" s="30"/>
      <c r="H421" s="31"/>
      <c r="I421" s="31"/>
      <c r="R421" s="32"/>
      <c r="S421" s="32"/>
      <c r="U421" s="33"/>
      <c r="V421" s="33"/>
      <c r="AD421" s="32"/>
    </row>
    <row r="422" spans="4:40" x14ac:dyDescent="0.2">
      <c r="D422" s="29"/>
      <c r="E422" s="31"/>
      <c r="F422" s="30"/>
      <c r="H422" s="31"/>
      <c r="I422" s="31"/>
      <c r="R422" s="32"/>
      <c r="S422" s="32"/>
      <c r="U422" s="33"/>
      <c r="V422" s="33"/>
      <c r="AD422" s="32"/>
    </row>
    <row r="423" spans="4:40" x14ac:dyDescent="0.2">
      <c r="D423" s="29"/>
      <c r="E423" s="31"/>
      <c r="F423" s="30"/>
      <c r="H423" s="31"/>
      <c r="I423" s="31"/>
      <c r="R423" s="32"/>
      <c r="S423" s="32"/>
      <c r="U423" s="33"/>
      <c r="V423" s="33"/>
      <c r="AD423" s="32"/>
    </row>
    <row r="424" spans="4:40" x14ac:dyDescent="0.2">
      <c r="D424" s="29"/>
      <c r="E424" s="31"/>
      <c r="F424" s="30"/>
      <c r="H424" s="31"/>
      <c r="I424" s="31"/>
      <c r="R424" s="32"/>
      <c r="S424" s="32"/>
      <c r="U424" s="33"/>
      <c r="V424" s="33"/>
      <c r="AD424" s="32"/>
    </row>
    <row r="425" spans="4:40" x14ac:dyDescent="0.2">
      <c r="D425" s="29"/>
      <c r="E425" s="31"/>
      <c r="F425" s="30"/>
      <c r="H425" s="31"/>
      <c r="I425" s="31"/>
      <c r="R425" s="32"/>
      <c r="S425" s="32"/>
      <c r="U425" s="33"/>
      <c r="V425" s="33"/>
      <c r="AD425" s="32"/>
    </row>
    <row r="426" spans="4:40" x14ac:dyDescent="0.2">
      <c r="D426" s="29"/>
      <c r="E426" s="31"/>
      <c r="F426" s="30"/>
      <c r="H426" s="31"/>
      <c r="I426" s="31"/>
      <c r="R426" s="32"/>
      <c r="S426" s="32"/>
      <c r="U426" s="33"/>
      <c r="V426" s="33"/>
      <c r="AD426" s="32"/>
    </row>
    <row r="427" spans="4:40" x14ac:dyDescent="0.2">
      <c r="D427" s="29"/>
      <c r="E427" s="31"/>
      <c r="F427" s="30"/>
      <c r="H427" s="31"/>
      <c r="I427" s="31"/>
      <c r="R427" s="32"/>
      <c r="S427" s="32"/>
      <c r="U427" s="33"/>
      <c r="V427" s="33"/>
      <c r="AD427" s="32"/>
    </row>
    <row r="428" spans="4:40" x14ac:dyDescent="0.2">
      <c r="D428" s="29"/>
      <c r="E428" s="31"/>
      <c r="F428" s="30"/>
      <c r="H428" s="31"/>
      <c r="I428" s="31"/>
      <c r="R428" s="32"/>
      <c r="S428" s="32"/>
      <c r="U428" s="33"/>
      <c r="V428" s="33"/>
      <c r="AD428" s="32"/>
    </row>
    <row r="429" spans="4:40" x14ac:dyDescent="0.2">
      <c r="D429" s="29"/>
      <c r="E429" s="31"/>
      <c r="F429" s="30"/>
      <c r="H429" s="31"/>
      <c r="I429" s="31"/>
      <c r="R429" s="32"/>
      <c r="S429" s="32"/>
      <c r="U429" s="33"/>
      <c r="V429" s="33"/>
      <c r="AD429" s="32"/>
    </row>
    <row r="430" spans="4:40" x14ac:dyDescent="0.2">
      <c r="D430" s="29"/>
      <c r="E430" s="31"/>
      <c r="F430" s="30"/>
      <c r="H430" s="31"/>
      <c r="I430" s="31"/>
      <c r="R430" s="32"/>
      <c r="S430" s="32"/>
      <c r="U430" s="33"/>
      <c r="V430" s="33"/>
      <c r="AD430" s="32"/>
    </row>
    <row r="431" spans="4:40" x14ac:dyDescent="0.2">
      <c r="D431" s="29"/>
      <c r="E431" s="31"/>
      <c r="F431" s="30"/>
      <c r="H431" s="31"/>
      <c r="I431" s="31"/>
      <c r="R431" s="32"/>
      <c r="S431" s="32"/>
      <c r="U431" s="33"/>
      <c r="V431" s="33"/>
      <c r="AD431" s="32"/>
    </row>
    <row r="432" spans="4:40" x14ac:dyDescent="0.2">
      <c r="D432" s="29"/>
      <c r="E432" s="31"/>
      <c r="F432" s="30"/>
      <c r="H432" s="31"/>
      <c r="I432" s="31"/>
      <c r="R432" s="32"/>
      <c r="S432" s="32"/>
      <c r="U432" s="33"/>
      <c r="V432" s="33"/>
      <c r="AD432" s="32"/>
    </row>
    <row r="433" spans="4:30" x14ac:dyDescent="0.2">
      <c r="D433" s="29"/>
      <c r="E433" s="31"/>
      <c r="F433" s="30"/>
      <c r="H433" s="31"/>
      <c r="I433" s="31"/>
      <c r="R433" s="32"/>
      <c r="S433" s="32"/>
      <c r="U433" s="33"/>
      <c r="V433" s="33"/>
      <c r="AD433" s="32"/>
    </row>
    <row r="434" spans="4:30" x14ac:dyDescent="0.2">
      <c r="D434" s="29"/>
      <c r="E434" s="31"/>
      <c r="F434" s="30"/>
      <c r="H434" s="31"/>
      <c r="I434" s="31"/>
      <c r="R434" s="32"/>
      <c r="S434" s="32"/>
      <c r="U434" s="33"/>
      <c r="V434" s="33"/>
      <c r="AD434" s="32"/>
    </row>
    <row r="435" spans="4:30" x14ac:dyDescent="0.2">
      <c r="D435" s="29"/>
      <c r="E435" s="31"/>
      <c r="F435" s="30"/>
      <c r="H435" s="31"/>
      <c r="I435" s="31"/>
      <c r="R435" s="32"/>
      <c r="S435" s="32"/>
      <c r="U435" s="33"/>
      <c r="V435" s="33"/>
      <c r="AD435" s="32"/>
    </row>
    <row r="436" spans="4:30" x14ac:dyDescent="0.2">
      <c r="D436" s="29"/>
      <c r="E436" s="31"/>
      <c r="F436" s="30"/>
      <c r="H436" s="31"/>
      <c r="I436" s="31"/>
      <c r="R436" s="32"/>
      <c r="S436" s="32"/>
      <c r="U436" s="33"/>
      <c r="V436" s="33"/>
      <c r="AD436" s="32"/>
    </row>
    <row r="437" spans="4:30" x14ac:dyDescent="0.2">
      <c r="D437" s="29"/>
      <c r="E437" s="31"/>
      <c r="F437" s="30"/>
      <c r="H437" s="31"/>
      <c r="I437" s="31"/>
      <c r="R437" s="32"/>
      <c r="S437" s="32"/>
      <c r="U437" s="33"/>
      <c r="V437" s="33"/>
      <c r="AD437" s="32"/>
    </row>
    <row r="438" spans="4:30" x14ac:dyDescent="0.2">
      <c r="D438" s="29"/>
      <c r="E438" s="31"/>
      <c r="F438" s="30"/>
      <c r="H438" s="31"/>
      <c r="I438" s="31"/>
      <c r="R438" s="32"/>
      <c r="S438" s="32"/>
      <c r="U438" s="33"/>
      <c r="V438" s="33"/>
      <c r="AD438" s="32"/>
    </row>
    <row r="439" spans="4:30" x14ac:dyDescent="0.2">
      <c r="D439" s="29"/>
      <c r="E439" s="31"/>
      <c r="F439" s="30"/>
      <c r="H439" s="31"/>
      <c r="I439" s="31"/>
      <c r="R439" s="32"/>
      <c r="S439" s="32"/>
      <c r="U439" s="33"/>
      <c r="V439" s="33"/>
      <c r="AD439" s="32"/>
    </row>
    <row r="440" spans="4:30" x14ac:dyDescent="0.2">
      <c r="D440" s="29"/>
      <c r="E440" s="31"/>
      <c r="F440" s="30"/>
      <c r="H440" s="31"/>
      <c r="I440" s="31"/>
      <c r="R440" s="32"/>
      <c r="S440" s="32"/>
      <c r="U440" s="33"/>
      <c r="V440" s="33"/>
      <c r="AD440" s="32"/>
    </row>
    <row r="441" spans="4:30" x14ac:dyDescent="0.2">
      <c r="D441" s="29"/>
      <c r="E441" s="31"/>
      <c r="F441" s="30"/>
      <c r="H441" s="31"/>
      <c r="I441" s="31"/>
      <c r="R441" s="32"/>
      <c r="S441" s="32"/>
      <c r="U441" s="33"/>
      <c r="V441" s="33"/>
      <c r="AD441" s="32"/>
    </row>
    <row r="442" spans="4:30" x14ac:dyDescent="0.2">
      <c r="D442" s="29"/>
      <c r="E442" s="31"/>
      <c r="F442" s="30"/>
      <c r="H442" s="31"/>
      <c r="I442" s="31"/>
      <c r="R442" s="32"/>
      <c r="S442" s="32"/>
      <c r="U442" s="33"/>
      <c r="V442" s="33"/>
      <c r="AD442" s="32"/>
    </row>
    <row r="443" spans="4:30" x14ac:dyDescent="0.2">
      <c r="D443" s="29"/>
      <c r="E443" s="31"/>
      <c r="F443" s="30"/>
      <c r="H443" s="31"/>
      <c r="I443" s="31"/>
      <c r="R443" s="32"/>
      <c r="S443" s="32"/>
      <c r="U443" s="33"/>
      <c r="V443" s="33"/>
      <c r="AD443" s="32"/>
    </row>
    <row r="444" spans="4:30" x14ac:dyDescent="0.2">
      <c r="D444" s="29"/>
      <c r="E444" s="31"/>
      <c r="F444" s="30"/>
      <c r="H444" s="31"/>
      <c r="I444" s="31"/>
      <c r="R444" s="32"/>
      <c r="S444" s="32"/>
      <c r="U444" s="33"/>
      <c r="V444" s="33"/>
      <c r="AD444" s="32"/>
    </row>
    <row r="445" spans="4:30" x14ac:dyDescent="0.2">
      <c r="D445" s="29"/>
      <c r="E445" s="31"/>
      <c r="F445" s="30"/>
      <c r="H445" s="31"/>
      <c r="I445" s="31"/>
      <c r="R445" s="32"/>
      <c r="S445" s="32"/>
      <c r="U445" s="33"/>
      <c r="V445" s="33"/>
      <c r="AD445" s="32"/>
    </row>
    <row r="446" spans="4:30" x14ac:dyDescent="0.2">
      <c r="D446" s="29"/>
      <c r="E446" s="31"/>
      <c r="F446" s="30"/>
      <c r="H446" s="31"/>
      <c r="I446" s="31"/>
      <c r="R446" s="32"/>
      <c r="S446" s="32"/>
      <c r="U446" s="33"/>
      <c r="V446" s="33"/>
      <c r="AD446" s="32"/>
    </row>
    <row r="447" spans="4:30" x14ac:dyDescent="0.2">
      <c r="D447" s="29"/>
      <c r="E447" s="31"/>
      <c r="F447" s="30"/>
      <c r="H447" s="31"/>
      <c r="I447" s="31"/>
      <c r="R447" s="32"/>
      <c r="S447" s="32"/>
      <c r="U447" s="33"/>
      <c r="V447" s="33"/>
      <c r="AD447" s="32"/>
    </row>
    <row r="448" spans="4:30" x14ac:dyDescent="0.2">
      <c r="D448" s="29"/>
      <c r="E448" s="31"/>
      <c r="F448" s="30"/>
      <c r="H448" s="31"/>
      <c r="I448" s="31"/>
      <c r="R448" s="32"/>
      <c r="S448" s="32"/>
      <c r="U448" s="33"/>
      <c r="V448" s="33"/>
      <c r="AD448" s="32"/>
    </row>
    <row r="449" spans="4:30" x14ac:dyDescent="0.2">
      <c r="D449" s="29"/>
      <c r="E449" s="31"/>
      <c r="F449" s="30"/>
      <c r="H449" s="31"/>
      <c r="I449" s="31"/>
      <c r="R449" s="32"/>
      <c r="S449" s="32"/>
      <c r="U449" s="33"/>
      <c r="V449" s="33"/>
      <c r="AD449" s="32"/>
    </row>
    <row r="450" spans="4:30" x14ac:dyDescent="0.2">
      <c r="D450" s="29"/>
      <c r="E450" s="31"/>
      <c r="F450" s="30"/>
      <c r="H450" s="31"/>
      <c r="I450" s="31"/>
      <c r="R450" s="32"/>
      <c r="S450" s="32"/>
      <c r="U450" s="33"/>
      <c r="V450" s="33"/>
      <c r="AD450" s="32"/>
    </row>
    <row r="451" spans="4:30" x14ac:dyDescent="0.2">
      <c r="D451" s="29"/>
      <c r="E451" s="31"/>
      <c r="F451" s="30"/>
      <c r="H451" s="31"/>
      <c r="I451" s="31"/>
      <c r="R451" s="32"/>
      <c r="S451" s="32"/>
      <c r="U451" s="33"/>
      <c r="V451" s="33"/>
      <c r="AD451" s="32"/>
    </row>
    <row r="452" spans="4:30" x14ac:dyDescent="0.2">
      <c r="D452" s="29"/>
      <c r="E452" s="31"/>
      <c r="F452" s="30"/>
      <c r="H452" s="31"/>
      <c r="I452" s="31"/>
      <c r="R452" s="32"/>
      <c r="S452" s="32"/>
      <c r="U452" s="33"/>
      <c r="V452" s="33"/>
      <c r="AD452" s="32"/>
    </row>
    <row r="453" spans="4:30" x14ac:dyDescent="0.2">
      <c r="D453" s="29"/>
      <c r="E453" s="31"/>
      <c r="F453" s="30"/>
      <c r="H453" s="31"/>
      <c r="I453" s="31"/>
      <c r="R453" s="32"/>
      <c r="S453" s="32"/>
      <c r="U453" s="33"/>
      <c r="V453" s="33"/>
      <c r="AD453" s="32"/>
    </row>
    <row r="454" spans="4:30" x14ac:dyDescent="0.2">
      <c r="D454" s="29"/>
      <c r="E454" s="31"/>
      <c r="F454" s="30"/>
      <c r="H454" s="31"/>
      <c r="I454" s="31"/>
      <c r="R454" s="32"/>
      <c r="S454" s="32"/>
      <c r="U454" s="33"/>
      <c r="V454" s="33"/>
      <c r="AD454" s="32"/>
    </row>
    <row r="455" spans="4:30" x14ac:dyDescent="0.2">
      <c r="D455" s="29"/>
      <c r="E455" s="31"/>
      <c r="F455" s="30"/>
      <c r="H455" s="31"/>
      <c r="I455" s="31"/>
      <c r="R455" s="32"/>
      <c r="S455" s="32"/>
      <c r="U455" s="33"/>
      <c r="V455" s="33"/>
      <c r="AD455" s="32"/>
    </row>
    <row r="456" spans="4:30" x14ac:dyDescent="0.2">
      <c r="D456" s="29"/>
      <c r="E456" s="31"/>
      <c r="F456" s="30"/>
      <c r="H456" s="31"/>
      <c r="I456" s="31"/>
      <c r="R456" s="32"/>
      <c r="S456" s="32"/>
      <c r="U456" s="33"/>
      <c r="V456" s="33"/>
      <c r="AD456" s="32"/>
    </row>
    <row r="457" spans="4:30" x14ac:dyDescent="0.2">
      <c r="D457" s="29"/>
      <c r="E457" s="31"/>
      <c r="F457" s="30"/>
      <c r="H457" s="31"/>
      <c r="I457" s="31"/>
      <c r="R457" s="32"/>
      <c r="S457" s="32"/>
      <c r="U457" s="33"/>
      <c r="V457" s="33"/>
      <c r="AD457" s="32"/>
    </row>
    <row r="458" spans="4:30" x14ac:dyDescent="0.2">
      <c r="E458" s="31"/>
      <c r="F458" s="30"/>
      <c r="H458" s="31"/>
      <c r="I458" s="31"/>
      <c r="R458" s="32"/>
      <c r="S458" s="32"/>
      <c r="U458" s="33"/>
      <c r="V458" s="33"/>
      <c r="AD458" s="32"/>
    </row>
    <row r="459" spans="4:30" x14ac:dyDescent="0.2">
      <c r="E459" s="31"/>
      <c r="F459" s="30"/>
      <c r="H459" s="31"/>
      <c r="I459" s="31"/>
      <c r="R459" s="32"/>
      <c r="S459" s="32"/>
      <c r="U459" s="33"/>
      <c r="V459" s="33"/>
      <c r="AD459" s="32"/>
    </row>
    <row r="460" spans="4:30" x14ac:dyDescent="0.2">
      <c r="E460" s="31"/>
      <c r="F460" s="30"/>
      <c r="H460" s="31"/>
      <c r="I460" s="31"/>
      <c r="R460" s="32"/>
      <c r="S460" s="32"/>
      <c r="U460" s="33"/>
      <c r="V460" s="33"/>
      <c r="AD460" s="32"/>
    </row>
    <row r="461" spans="4:30" x14ac:dyDescent="0.2">
      <c r="E461" s="31"/>
      <c r="F461" s="30"/>
      <c r="H461" s="31"/>
      <c r="I461" s="31"/>
      <c r="R461" s="32"/>
      <c r="S461" s="32"/>
      <c r="U461" s="33"/>
      <c r="V461" s="33"/>
      <c r="AD461" s="32"/>
    </row>
    <row r="462" spans="4:30" x14ac:dyDescent="0.2">
      <c r="E462" s="31"/>
      <c r="F462" s="30"/>
      <c r="H462" s="31"/>
      <c r="I462" s="31"/>
      <c r="R462" s="32"/>
      <c r="S462" s="32"/>
      <c r="U462" s="33"/>
      <c r="V462" s="33"/>
      <c r="AD462" s="32"/>
    </row>
    <row r="463" spans="4:30" x14ac:dyDescent="0.2">
      <c r="E463" s="31"/>
      <c r="F463" s="30"/>
      <c r="H463" s="31"/>
      <c r="I463" s="31"/>
      <c r="R463" s="32"/>
      <c r="S463" s="32"/>
      <c r="U463" s="33"/>
      <c r="V463" s="33"/>
      <c r="AD463" s="32"/>
    </row>
    <row r="464" spans="4:30" x14ac:dyDescent="0.2">
      <c r="E464" s="31"/>
      <c r="F464" s="30"/>
      <c r="H464" s="31"/>
      <c r="I464" s="31"/>
      <c r="R464" s="32"/>
      <c r="S464" s="32"/>
      <c r="U464" s="33"/>
      <c r="V464" s="33"/>
      <c r="AD464" s="32"/>
    </row>
    <row r="465" spans="5:30" x14ac:dyDescent="0.2">
      <c r="E465" s="31"/>
      <c r="F465" s="30"/>
      <c r="H465" s="31"/>
      <c r="I465" s="31"/>
      <c r="R465" s="32"/>
      <c r="S465" s="32"/>
      <c r="U465" s="33"/>
      <c r="V465" s="33"/>
      <c r="AD465" s="32"/>
    </row>
    <row r="466" spans="5:30" x14ac:dyDescent="0.2">
      <c r="E466" s="31"/>
      <c r="F466" s="30"/>
      <c r="H466" s="31"/>
      <c r="I466" s="31"/>
      <c r="R466" s="32"/>
      <c r="S466" s="32"/>
      <c r="U466" s="33"/>
      <c r="V466" s="33"/>
      <c r="AD466" s="32"/>
    </row>
    <row r="467" spans="5:30" x14ac:dyDescent="0.2">
      <c r="E467" s="31"/>
      <c r="F467" s="30"/>
      <c r="H467" s="31"/>
      <c r="I467" s="31"/>
      <c r="R467" s="32"/>
      <c r="S467" s="32"/>
      <c r="U467" s="33"/>
      <c r="V467" s="33"/>
      <c r="AD467" s="32"/>
    </row>
    <row r="468" spans="5:30" x14ac:dyDescent="0.2">
      <c r="E468" s="31"/>
      <c r="F468" s="30"/>
      <c r="H468" s="31"/>
      <c r="I468" s="31"/>
      <c r="R468" s="32"/>
      <c r="S468" s="32"/>
      <c r="U468" s="33"/>
      <c r="V468" s="33"/>
      <c r="AD468" s="32"/>
    </row>
    <row r="469" spans="5:30" x14ac:dyDescent="0.2">
      <c r="E469" s="31"/>
      <c r="F469" s="30"/>
      <c r="H469" s="31"/>
      <c r="I469" s="31"/>
      <c r="R469" s="32"/>
      <c r="S469" s="32"/>
      <c r="U469" s="33"/>
      <c r="V469" s="33"/>
      <c r="AD469" s="32"/>
    </row>
    <row r="470" spans="5:30" x14ac:dyDescent="0.2">
      <c r="E470" s="31"/>
      <c r="F470" s="30"/>
      <c r="H470" s="31"/>
      <c r="I470" s="31"/>
      <c r="R470" s="32"/>
      <c r="S470" s="32"/>
      <c r="U470" s="33"/>
      <c r="V470" s="33"/>
      <c r="AD470" s="32"/>
    </row>
    <row r="471" spans="5:30" x14ac:dyDescent="0.2">
      <c r="E471" s="31"/>
      <c r="F471" s="30"/>
      <c r="H471" s="31"/>
      <c r="I471" s="31"/>
      <c r="R471" s="32"/>
      <c r="S471" s="32"/>
      <c r="U471" s="33"/>
      <c r="V471" s="33"/>
      <c r="AD471" s="32"/>
    </row>
    <row r="472" spans="5:30" x14ac:dyDescent="0.2">
      <c r="E472" s="31"/>
      <c r="F472" s="30"/>
      <c r="H472" s="31"/>
      <c r="I472" s="31"/>
      <c r="R472" s="32"/>
      <c r="S472" s="32"/>
      <c r="U472" s="33"/>
      <c r="V472" s="33"/>
      <c r="AD472" s="32"/>
    </row>
    <row r="473" spans="5:30" x14ac:dyDescent="0.2">
      <c r="E473" s="31"/>
      <c r="F473" s="30"/>
      <c r="H473" s="31"/>
      <c r="I473" s="31"/>
      <c r="R473" s="32"/>
      <c r="S473" s="32"/>
      <c r="U473" s="33"/>
      <c r="V473" s="33"/>
      <c r="AD473" s="32"/>
    </row>
    <row r="474" spans="5:30" x14ac:dyDescent="0.2">
      <c r="E474" s="31"/>
      <c r="F474" s="30"/>
      <c r="H474" s="31"/>
      <c r="I474" s="31"/>
      <c r="R474" s="32"/>
      <c r="S474" s="32"/>
      <c r="U474" s="33"/>
      <c r="V474" s="33"/>
      <c r="AD474" s="32"/>
    </row>
    <row r="475" spans="5:30" x14ac:dyDescent="0.2">
      <c r="E475" s="31"/>
      <c r="F475" s="30"/>
      <c r="H475" s="31"/>
      <c r="I475" s="31"/>
      <c r="R475" s="32"/>
      <c r="S475" s="32"/>
      <c r="U475" s="33"/>
      <c r="V475" s="33"/>
      <c r="AD475" s="32"/>
    </row>
    <row r="476" spans="5:30" x14ac:dyDescent="0.2">
      <c r="E476" s="31"/>
      <c r="F476" s="30"/>
      <c r="H476" s="31"/>
      <c r="I476" s="31"/>
      <c r="R476" s="32"/>
      <c r="S476" s="32"/>
      <c r="U476" s="33"/>
      <c r="V476" s="33"/>
      <c r="AD476" s="32"/>
    </row>
    <row r="477" spans="5:30" x14ac:dyDescent="0.2">
      <c r="E477" s="31"/>
      <c r="F477" s="30"/>
      <c r="H477" s="31"/>
      <c r="I477" s="31"/>
      <c r="R477" s="32"/>
      <c r="S477" s="32"/>
      <c r="U477" s="33"/>
      <c r="V477" s="33"/>
      <c r="AD477" s="32"/>
    </row>
    <row r="478" spans="5:30" x14ac:dyDescent="0.2">
      <c r="E478" s="31"/>
      <c r="F478" s="30"/>
      <c r="H478" s="31"/>
      <c r="I478" s="31"/>
      <c r="R478" s="32"/>
      <c r="S478" s="32"/>
      <c r="U478" s="33"/>
      <c r="V478" s="33"/>
      <c r="AD478" s="32"/>
    </row>
    <row r="479" spans="5:30" x14ac:dyDescent="0.2">
      <c r="E479" s="31"/>
      <c r="F479" s="30"/>
      <c r="H479" s="31"/>
      <c r="I479" s="31"/>
      <c r="R479" s="32"/>
      <c r="S479" s="32"/>
      <c r="U479" s="33"/>
      <c r="V479" s="33"/>
      <c r="AD479" s="32"/>
    </row>
    <row r="480" spans="5:30" x14ac:dyDescent="0.2">
      <c r="E480" s="31"/>
      <c r="F480" s="30"/>
      <c r="H480" s="31"/>
      <c r="I480" s="31"/>
      <c r="R480" s="32"/>
      <c r="S480" s="32"/>
      <c r="U480" s="33"/>
      <c r="V480" s="33"/>
      <c r="AD480" s="32"/>
    </row>
    <row r="481" spans="5:30" x14ac:dyDescent="0.2">
      <c r="E481" s="31"/>
      <c r="F481" s="30"/>
      <c r="H481" s="31"/>
      <c r="I481" s="31"/>
      <c r="R481" s="32"/>
      <c r="S481" s="32"/>
      <c r="U481" s="33"/>
      <c r="V481" s="33"/>
      <c r="AD481" s="32"/>
    </row>
    <row r="482" spans="5:30" x14ac:dyDescent="0.2">
      <c r="E482" s="31"/>
      <c r="F482" s="30"/>
      <c r="H482" s="31"/>
      <c r="I482" s="31"/>
      <c r="R482" s="32"/>
      <c r="S482" s="32"/>
      <c r="U482" s="33"/>
      <c r="V482" s="33"/>
      <c r="AD482" s="32"/>
    </row>
    <row r="483" spans="5:30" x14ac:dyDescent="0.2">
      <c r="E483" s="31"/>
      <c r="F483" s="30"/>
      <c r="H483" s="31"/>
      <c r="I483" s="31"/>
      <c r="R483" s="32"/>
      <c r="S483" s="32"/>
      <c r="U483" s="33"/>
      <c r="V483" s="33"/>
      <c r="AD483" s="32"/>
    </row>
    <row r="484" spans="5:30" x14ac:dyDescent="0.2">
      <c r="E484" s="31"/>
      <c r="F484" s="30"/>
      <c r="H484" s="31"/>
      <c r="I484" s="31"/>
      <c r="R484" s="32"/>
      <c r="S484" s="32"/>
      <c r="U484" s="33"/>
      <c r="V484" s="33"/>
      <c r="AD484" s="32"/>
    </row>
    <row r="485" spans="5:30" x14ac:dyDescent="0.2">
      <c r="E485" s="31"/>
      <c r="F485" s="30"/>
      <c r="H485" s="31"/>
      <c r="I485" s="31"/>
      <c r="R485" s="32"/>
      <c r="S485" s="32"/>
      <c r="U485" s="33"/>
      <c r="V485" s="33"/>
      <c r="AD485" s="32"/>
    </row>
    <row r="486" spans="5:30" x14ac:dyDescent="0.2">
      <c r="E486" s="31"/>
      <c r="F486" s="30"/>
      <c r="H486" s="31"/>
      <c r="I486" s="31"/>
      <c r="R486" s="32"/>
      <c r="S486" s="32"/>
      <c r="U486" s="33"/>
      <c r="V486" s="33"/>
      <c r="AD486" s="32"/>
    </row>
    <row r="487" spans="5:30" x14ac:dyDescent="0.2">
      <c r="E487" s="31"/>
      <c r="F487" s="30"/>
      <c r="H487" s="31"/>
      <c r="I487" s="31"/>
      <c r="R487" s="32"/>
      <c r="S487" s="32"/>
      <c r="U487" s="33"/>
      <c r="V487" s="33"/>
      <c r="AD487" s="32"/>
    </row>
    <row r="488" spans="5:30" x14ac:dyDescent="0.2">
      <c r="E488" s="31"/>
      <c r="F488" s="30"/>
      <c r="H488" s="31"/>
      <c r="I488" s="31"/>
      <c r="R488" s="32"/>
      <c r="S488" s="32"/>
      <c r="U488" s="33"/>
      <c r="V488" s="33"/>
      <c r="AD488" s="32"/>
    </row>
    <row r="489" spans="5:30" x14ac:dyDescent="0.2">
      <c r="E489" s="31"/>
      <c r="F489" s="30"/>
      <c r="H489" s="31"/>
      <c r="I489" s="31"/>
      <c r="R489" s="32"/>
      <c r="S489" s="32"/>
      <c r="U489" s="33"/>
      <c r="V489" s="33"/>
      <c r="AD489" s="32"/>
    </row>
    <row r="490" spans="5:30" x14ac:dyDescent="0.2">
      <c r="E490" s="31"/>
      <c r="F490" s="30"/>
      <c r="H490" s="31"/>
      <c r="I490" s="31"/>
      <c r="R490" s="32"/>
      <c r="S490" s="32"/>
      <c r="U490" s="33"/>
      <c r="V490" s="33"/>
      <c r="AD490" s="32"/>
    </row>
    <row r="491" spans="5:30" x14ac:dyDescent="0.2">
      <c r="E491" s="31"/>
      <c r="F491" s="30"/>
      <c r="H491" s="31"/>
      <c r="I491" s="31"/>
      <c r="R491" s="32"/>
      <c r="S491" s="32"/>
      <c r="U491" s="33"/>
      <c r="V491" s="33"/>
      <c r="AD491" s="32"/>
    </row>
    <row r="492" spans="5:30" x14ac:dyDescent="0.2">
      <c r="E492" s="31"/>
      <c r="F492" s="30"/>
      <c r="H492" s="31"/>
      <c r="I492" s="31"/>
      <c r="R492" s="32"/>
      <c r="S492" s="32"/>
      <c r="U492" s="33"/>
      <c r="V492" s="33"/>
      <c r="AD492" s="32"/>
    </row>
    <row r="493" spans="5:30" x14ac:dyDescent="0.2">
      <c r="E493" s="31"/>
      <c r="F493" s="30"/>
      <c r="H493" s="31"/>
      <c r="I493" s="31"/>
      <c r="R493" s="32"/>
      <c r="S493" s="32"/>
      <c r="U493" s="33"/>
      <c r="V493" s="33"/>
      <c r="AD493" s="32"/>
    </row>
    <row r="494" spans="5:30" x14ac:dyDescent="0.2">
      <c r="E494" s="31"/>
      <c r="F494" s="30"/>
      <c r="H494" s="31"/>
      <c r="I494" s="31"/>
      <c r="R494" s="32"/>
      <c r="S494" s="32"/>
      <c r="U494" s="33"/>
      <c r="V494" s="33"/>
      <c r="AD494" s="32"/>
    </row>
    <row r="495" spans="5:30" x14ac:dyDescent="0.2">
      <c r="E495" s="31"/>
      <c r="F495" s="30"/>
      <c r="H495" s="31"/>
      <c r="I495" s="31"/>
      <c r="R495" s="32"/>
      <c r="S495" s="32"/>
      <c r="U495" s="33"/>
      <c r="V495" s="33"/>
      <c r="AD495" s="32"/>
    </row>
    <row r="496" spans="5:30" x14ac:dyDescent="0.2">
      <c r="E496" s="31"/>
      <c r="F496" s="30"/>
      <c r="H496" s="31"/>
      <c r="I496" s="31"/>
      <c r="R496" s="32"/>
      <c r="S496" s="32"/>
      <c r="U496" s="33"/>
      <c r="V496" s="33"/>
      <c r="AD496" s="32"/>
    </row>
    <row r="497" spans="5:40" x14ac:dyDescent="0.2">
      <c r="E497" s="31"/>
      <c r="F497" s="30"/>
      <c r="H497" s="31"/>
      <c r="I497" s="31"/>
      <c r="R497" s="32"/>
      <c r="S497" s="32"/>
      <c r="U497" s="33"/>
      <c r="V497" s="33"/>
      <c r="AD497" s="32"/>
    </row>
    <row r="498" spans="5:40" x14ac:dyDescent="0.2">
      <c r="E498" s="31"/>
      <c r="F498" s="30"/>
      <c r="H498" s="31"/>
      <c r="I498" s="31"/>
      <c r="R498" s="32"/>
      <c r="S498" s="32"/>
      <c r="U498" s="33"/>
      <c r="V498" s="33"/>
      <c r="AD498" s="32"/>
    </row>
    <row r="499" spans="5:40" x14ac:dyDescent="0.2">
      <c r="E499" s="31"/>
      <c r="F499" s="30"/>
      <c r="H499" s="31"/>
      <c r="I499" s="31"/>
      <c r="R499" s="32"/>
      <c r="S499" s="32"/>
      <c r="U499" s="33"/>
      <c r="V499" s="33"/>
      <c r="AD499" s="32"/>
    </row>
    <row r="500" spans="5:40" x14ac:dyDescent="0.2">
      <c r="E500" s="31"/>
      <c r="F500" s="30"/>
      <c r="H500" s="31"/>
      <c r="I500" s="31"/>
      <c r="R500" s="32"/>
      <c r="S500" s="32"/>
      <c r="U500" s="33"/>
      <c r="V500" s="33"/>
      <c r="AD500" s="32"/>
    </row>
    <row r="501" spans="5:40" x14ac:dyDescent="0.2">
      <c r="E501" s="31"/>
      <c r="F501" s="30"/>
      <c r="H501" s="31"/>
      <c r="I501" s="31"/>
      <c r="R501" s="32"/>
      <c r="S501" s="32"/>
      <c r="U501" s="33"/>
      <c r="V501" s="33"/>
      <c r="AD501" s="32"/>
    </row>
    <row r="502" spans="5:40" x14ac:dyDescent="0.2">
      <c r="E502" s="31"/>
      <c r="F502" s="30"/>
      <c r="G502" s="32"/>
      <c r="H502" s="31"/>
      <c r="I502" s="31"/>
      <c r="J502" s="32"/>
      <c r="K502" s="32"/>
      <c r="N502" s="32"/>
      <c r="O502" s="32"/>
      <c r="P502" s="32"/>
      <c r="Q502" s="32"/>
      <c r="R502" s="32"/>
      <c r="S502" s="32"/>
      <c r="T502" s="32"/>
      <c r="U502" s="32"/>
      <c r="V502" s="32"/>
      <c r="AD502" s="32"/>
      <c r="AE502" s="119"/>
      <c r="AF502" s="32"/>
      <c r="AG502" s="32"/>
      <c r="AH502" s="32"/>
      <c r="AJ502" s="32"/>
      <c r="AK502" s="32"/>
      <c r="AL502" s="32"/>
      <c r="AM502" s="32"/>
      <c r="AN502" s="32"/>
    </row>
    <row r="503" spans="5:40" x14ac:dyDescent="0.2">
      <c r="E503" s="31"/>
      <c r="F503" s="30"/>
      <c r="H503" s="31"/>
      <c r="I503" s="31"/>
      <c r="R503" s="32"/>
      <c r="S503" s="32"/>
      <c r="U503" s="33"/>
      <c r="V503" s="33"/>
      <c r="AD503" s="32"/>
    </row>
    <row r="504" spans="5:40" x14ac:dyDescent="0.2">
      <c r="E504" s="31"/>
      <c r="F504" s="30"/>
      <c r="H504" s="31"/>
      <c r="I504" s="31"/>
      <c r="R504" s="32"/>
      <c r="S504" s="32"/>
      <c r="U504" s="33"/>
      <c r="V504" s="33"/>
      <c r="AD504" s="32"/>
    </row>
    <row r="505" spans="5:40" x14ac:dyDescent="0.2">
      <c r="E505" s="31"/>
      <c r="F505" s="30"/>
      <c r="H505" s="31"/>
      <c r="I505" s="31"/>
      <c r="R505" s="32"/>
      <c r="S505" s="32"/>
      <c r="U505" s="33"/>
      <c r="V505" s="33"/>
      <c r="AD505" s="32"/>
    </row>
    <row r="506" spans="5:40" x14ac:dyDescent="0.2">
      <c r="E506" s="31"/>
      <c r="F506" s="30"/>
      <c r="H506" s="31"/>
      <c r="I506" s="31"/>
      <c r="R506" s="32"/>
      <c r="S506" s="32"/>
      <c r="U506" s="33"/>
      <c r="V506" s="33"/>
      <c r="AD506" s="32"/>
    </row>
    <row r="507" spans="5:40" x14ac:dyDescent="0.2">
      <c r="E507" s="31"/>
      <c r="F507" s="30"/>
      <c r="H507" s="31"/>
      <c r="I507" s="31"/>
      <c r="R507" s="32"/>
      <c r="S507" s="32"/>
      <c r="U507" s="33"/>
      <c r="V507" s="33"/>
      <c r="AD507" s="32"/>
    </row>
    <row r="508" spans="5:40" x14ac:dyDescent="0.2">
      <c r="E508" s="31"/>
      <c r="F508" s="30"/>
      <c r="H508" s="31"/>
      <c r="I508" s="31"/>
      <c r="R508" s="32"/>
      <c r="S508" s="32"/>
      <c r="U508" s="33"/>
      <c r="V508" s="33"/>
      <c r="AD508" s="32"/>
    </row>
    <row r="509" spans="5:40" x14ac:dyDescent="0.2">
      <c r="E509" s="31"/>
      <c r="F509" s="30"/>
      <c r="H509" s="31"/>
      <c r="I509" s="31"/>
      <c r="R509" s="32"/>
      <c r="S509" s="32"/>
      <c r="U509" s="33"/>
      <c r="V509" s="33"/>
      <c r="AD509" s="32"/>
    </row>
    <row r="510" spans="5:40" x14ac:dyDescent="0.2">
      <c r="E510" s="31"/>
      <c r="F510" s="30"/>
      <c r="H510" s="31"/>
      <c r="I510" s="31"/>
      <c r="R510" s="32"/>
      <c r="S510" s="32"/>
      <c r="U510" s="33"/>
      <c r="V510" s="33"/>
      <c r="AD510" s="32"/>
    </row>
    <row r="511" spans="5:40" x14ac:dyDescent="0.2">
      <c r="E511" s="31"/>
      <c r="F511" s="30"/>
      <c r="H511" s="31"/>
      <c r="I511" s="31"/>
      <c r="R511" s="32"/>
      <c r="S511" s="32"/>
      <c r="U511" s="33"/>
      <c r="V511" s="33"/>
      <c r="AD511" s="32"/>
    </row>
    <row r="512" spans="5:40" x14ac:dyDescent="0.2">
      <c r="E512" s="31"/>
      <c r="F512" s="30"/>
      <c r="H512" s="31"/>
      <c r="I512" s="31"/>
      <c r="R512" s="32"/>
      <c r="S512" s="32"/>
      <c r="U512" s="33"/>
      <c r="V512" s="33"/>
      <c r="AD512" s="32"/>
    </row>
    <row r="513" spans="5:30" x14ac:dyDescent="0.2">
      <c r="E513" s="31"/>
      <c r="F513" s="30"/>
      <c r="H513" s="31"/>
      <c r="I513" s="31"/>
      <c r="R513" s="32"/>
      <c r="S513" s="32"/>
      <c r="U513" s="33"/>
      <c r="V513" s="33"/>
      <c r="AD513" s="32"/>
    </row>
    <row r="514" spans="5:30" x14ac:dyDescent="0.2">
      <c r="E514" s="31"/>
      <c r="F514" s="30"/>
      <c r="H514" s="31"/>
      <c r="I514" s="31"/>
      <c r="R514" s="32"/>
      <c r="S514" s="32"/>
      <c r="U514" s="33"/>
      <c r="V514" s="33"/>
      <c r="AD514" s="32"/>
    </row>
    <row r="515" spans="5:30" x14ac:dyDescent="0.2">
      <c r="E515" s="31"/>
      <c r="F515" s="30"/>
      <c r="H515" s="31"/>
      <c r="I515" s="31"/>
      <c r="R515" s="32"/>
      <c r="S515" s="32"/>
      <c r="U515" s="33"/>
      <c r="V515" s="33"/>
      <c r="AD515" s="32"/>
    </row>
    <row r="516" spans="5:30" x14ac:dyDescent="0.2">
      <c r="E516" s="31"/>
      <c r="F516" s="30"/>
      <c r="H516" s="31"/>
      <c r="I516" s="31"/>
      <c r="R516" s="32"/>
      <c r="S516" s="32"/>
      <c r="U516" s="33"/>
      <c r="V516" s="33"/>
      <c r="AD516" s="32"/>
    </row>
    <row r="517" spans="5:30" x14ac:dyDescent="0.2">
      <c r="E517" s="31"/>
      <c r="F517" s="30"/>
      <c r="H517" s="31"/>
      <c r="I517" s="31"/>
      <c r="R517" s="32"/>
      <c r="S517" s="32"/>
      <c r="U517" s="33"/>
      <c r="V517" s="33"/>
      <c r="AD517" s="32"/>
    </row>
    <row r="518" spans="5:30" x14ac:dyDescent="0.2">
      <c r="E518" s="31"/>
      <c r="F518" s="30"/>
      <c r="H518" s="31"/>
      <c r="I518" s="31"/>
      <c r="R518" s="32"/>
      <c r="S518" s="32"/>
      <c r="U518" s="33"/>
      <c r="V518" s="33"/>
      <c r="AD518" s="32"/>
    </row>
    <row r="519" spans="5:30" x14ac:dyDescent="0.2">
      <c r="E519" s="31"/>
      <c r="F519" s="30"/>
      <c r="H519" s="31"/>
      <c r="I519" s="31"/>
      <c r="R519" s="32"/>
      <c r="S519" s="32"/>
      <c r="U519" s="33"/>
      <c r="V519" s="33"/>
      <c r="AD519" s="32"/>
    </row>
    <row r="520" spans="5:30" x14ac:dyDescent="0.2">
      <c r="E520" s="31"/>
      <c r="F520" s="30"/>
      <c r="H520" s="31"/>
      <c r="I520" s="31"/>
      <c r="R520" s="32"/>
      <c r="S520" s="32"/>
      <c r="U520" s="33"/>
      <c r="V520" s="33"/>
      <c r="AD520" s="32"/>
    </row>
    <row r="521" spans="5:30" x14ac:dyDescent="0.2">
      <c r="E521" s="31"/>
      <c r="F521" s="30"/>
      <c r="H521" s="31"/>
      <c r="I521" s="31"/>
      <c r="R521" s="32"/>
      <c r="S521" s="32"/>
      <c r="U521" s="33"/>
      <c r="V521" s="33"/>
      <c r="AD521" s="32"/>
    </row>
    <row r="522" spans="5:30" x14ac:dyDescent="0.2">
      <c r="E522" s="31"/>
      <c r="F522" s="30"/>
      <c r="H522" s="31"/>
      <c r="I522" s="31"/>
      <c r="R522" s="32"/>
      <c r="S522" s="32"/>
      <c r="U522" s="33"/>
      <c r="V522" s="33"/>
      <c r="AD522" s="32"/>
    </row>
    <row r="523" spans="5:30" x14ac:dyDescent="0.2">
      <c r="E523" s="31"/>
      <c r="F523" s="30"/>
      <c r="H523" s="31"/>
      <c r="I523" s="31"/>
      <c r="R523" s="32"/>
      <c r="S523" s="32"/>
      <c r="U523" s="33"/>
      <c r="V523" s="33"/>
      <c r="AD523" s="32"/>
    </row>
    <row r="524" spans="5:30" x14ac:dyDescent="0.2">
      <c r="E524" s="31"/>
      <c r="F524" s="30"/>
      <c r="H524" s="31"/>
      <c r="I524" s="31"/>
      <c r="R524" s="32"/>
      <c r="S524" s="32"/>
      <c r="U524" s="33"/>
      <c r="V524" s="33"/>
      <c r="AD524" s="32"/>
    </row>
    <row r="525" spans="5:30" x14ac:dyDescent="0.2">
      <c r="E525" s="31"/>
      <c r="F525" s="30"/>
      <c r="H525" s="31"/>
      <c r="I525" s="31"/>
      <c r="R525" s="32"/>
      <c r="S525" s="32"/>
      <c r="U525" s="33"/>
      <c r="V525" s="33"/>
      <c r="AD525" s="32"/>
    </row>
    <row r="526" spans="5:30" x14ac:dyDescent="0.2">
      <c r="E526" s="31"/>
      <c r="F526" s="30"/>
      <c r="H526" s="31"/>
      <c r="I526" s="31"/>
      <c r="R526" s="32"/>
      <c r="S526" s="32"/>
      <c r="U526" s="33"/>
      <c r="V526" s="33"/>
      <c r="AD526" s="32"/>
    </row>
    <row r="527" spans="5:30" x14ac:dyDescent="0.2">
      <c r="E527" s="31"/>
      <c r="F527" s="30"/>
      <c r="H527" s="31"/>
      <c r="I527" s="31"/>
      <c r="R527" s="32"/>
      <c r="S527" s="32"/>
      <c r="U527" s="33"/>
      <c r="V527" s="33"/>
      <c r="AD527" s="32"/>
    </row>
    <row r="528" spans="5:30" x14ac:dyDescent="0.2">
      <c r="E528" s="31"/>
      <c r="F528" s="30"/>
      <c r="H528" s="31"/>
      <c r="I528" s="31"/>
      <c r="R528" s="32"/>
      <c r="S528" s="32"/>
      <c r="U528" s="33"/>
      <c r="V528" s="33"/>
      <c r="AD528" s="32"/>
    </row>
    <row r="529" spans="5:30" x14ac:dyDescent="0.2">
      <c r="E529" s="31"/>
      <c r="F529" s="30"/>
      <c r="H529" s="31"/>
      <c r="I529" s="31"/>
      <c r="R529" s="32"/>
      <c r="S529" s="32"/>
      <c r="U529" s="33"/>
      <c r="V529" s="33"/>
      <c r="AD529" s="32"/>
    </row>
    <row r="530" spans="5:30" x14ac:dyDescent="0.2">
      <c r="E530" s="31"/>
      <c r="F530" s="30"/>
      <c r="H530" s="31"/>
      <c r="I530" s="31"/>
      <c r="R530" s="32"/>
      <c r="S530" s="32"/>
      <c r="U530" s="33"/>
      <c r="V530" s="33"/>
      <c r="AD530" s="32"/>
    </row>
    <row r="531" spans="5:30" x14ac:dyDescent="0.2">
      <c r="E531" s="31"/>
      <c r="F531" s="30"/>
      <c r="H531" s="31"/>
      <c r="I531" s="31"/>
      <c r="R531" s="32"/>
      <c r="S531" s="32"/>
      <c r="U531" s="33"/>
      <c r="V531" s="33"/>
      <c r="AD531" s="32"/>
    </row>
    <row r="532" spans="5:30" x14ac:dyDescent="0.2">
      <c r="E532" s="31"/>
      <c r="F532" s="30"/>
      <c r="H532" s="31"/>
      <c r="I532" s="31"/>
      <c r="R532" s="32"/>
      <c r="S532" s="32"/>
      <c r="U532" s="33"/>
      <c r="V532" s="33"/>
      <c r="AD532" s="32"/>
    </row>
    <row r="533" spans="5:30" x14ac:dyDescent="0.2">
      <c r="E533" s="31"/>
      <c r="F533" s="30"/>
      <c r="H533" s="31"/>
      <c r="I533" s="31"/>
      <c r="R533" s="32"/>
      <c r="S533" s="32"/>
      <c r="U533" s="33"/>
      <c r="V533" s="33"/>
      <c r="AD533" s="32"/>
    </row>
    <row r="534" spans="5:30" x14ac:dyDescent="0.2">
      <c r="E534" s="31"/>
      <c r="F534" s="30"/>
      <c r="H534" s="31"/>
      <c r="I534" s="31"/>
      <c r="R534" s="32"/>
      <c r="S534" s="32"/>
      <c r="U534" s="33"/>
      <c r="V534" s="33"/>
      <c r="AD534" s="32"/>
    </row>
    <row r="535" spans="5:30" x14ac:dyDescent="0.2">
      <c r="E535" s="31"/>
      <c r="F535" s="30"/>
      <c r="H535" s="31"/>
      <c r="I535" s="31"/>
      <c r="R535" s="32"/>
      <c r="S535" s="32"/>
      <c r="U535" s="33"/>
      <c r="V535" s="33"/>
      <c r="AD535" s="32"/>
    </row>
    <row r="536" spans="5:30" x14ac:dyDescent="0.2">
      <c r="E536" s="31"/>
      <c r="F536" s="30"/>
      <c r="H536" s="31"/>
      <c r="I536" s="31"/>
      <c r="R536" s="32"/>
      <c r="S536" s="32"/>
      <c r="U536" s="33"/>
      <c r="V536" s="33"/>
      <c r="AD536" s="32"/>
    </row>
    <row r="537" spans="5:30" x14ac:dyDescent="0.2">
      <c r="E537" s="31"/>
      <c r="F537" s="30"/>
      <c r="H537" s="31"/>
      <c r="I537" s="31"/>
      <c r="R537" s="32"/>
      <c r="S537" s="32"/>
      <c r="U537" s="33"/>
      <c r="V537" s="33"/>
      <c r="AD537" s="32"/>
    </row>
    <row r="538" spans="5:30" x14ac:dyDescent="0.2">
      <c r="E538" s="31"/>
      <c r="F538" s="30"/>
      <c r="H538" s="31"/>
      <c r="I538" s="31"/>
      <c r="R538" s="32"/>
      <c r="S538" s="32"/>
      <c r="U538" s="33"/>
      <c r="V538" s="33"/>
      <c r="AD538" s="32"/>
    </row>
    <row r="539" spans="5:30" x14ac:dyDescent="0.2">
      <c r="E539" s="31"/>
      <c r="F539" s="30"/>
      <c r="H539" s="31"/>
      <c r="I539" s="31"/>
      <c r="R539" s="32"/>
      <c r="S539" s="32"/>
      <c r="U539" s="33"/>
      <c r="V539" s="33"/>
      <c r="AD539" s="32"/>
    </row>
    <row r="540" spans="5:30" x14ac:dyDescent="0.2">
      <c r="E540" s="31"/>
      <c r="F540" s="30"/>
      <c r="H540" s="31"/>
      <c r="I540" s="31"/>
      <c r="R540" s="32"/>
      <c r="S540" s="32"/>
      <c r="U540" s="33"/>
      <c r="V540" s="33"/>
      <c r="AD540" s="32"/>
    </row>
    <row r="541" spans="5:30" x14ac:dyDescent="0.2">
      <c r="E541" s="31"/>
      <c r="F541" s="30"/>
      <c r="H541" s="31"/>
      <c r="I541" s="31"/>
      <c r="R541" s="32"/>
      <c r="S541" s="32"/>
      <c r="U541" s="33"/>
      <c r="V541" s="33"/>
      <c r="AD541" s="32"/>
    </row>
    <row r="542" spans="5:30" x14ac:dyDescent="0.2">
      <c r="E542" s="31"/>
      <c r="F542" s="30"/>
      <c r="H542" s="31"/>
      <c r="I542" s="31"/>
      <c r="R542" s="32"/>
      <c r="S542" s="32"/>
      <c r="U542" s="33"/>
      <c r="V542" s="33"/>
      <c r="AD542" s="32"/>
    </row>
    <row r="543" spans="5:30" x14ac:dyDescent="0.2">
      <c r="E543" s="31"/>
      <c r="F543" s="30"/>
      <c r="H543" s="31"/>
      <c r="I543" s="31"/>
      <c r="R543" s="32"/>
      <c r="S543" s="32"/>
      <c r="U543" s="33"/>
      <c r="V543" s="33"/>
      <c r="AD543" s="32"/>
    </row>
    <row r="544" spans="5:30" x14ac:dyDescent="0.2">
      <c r="E544" s="31"/>
      <c r="F544" s="30"/>
      <c r="H544" s="31"/>
      <c r="I544" s="31"/>
      <c r="R544" s="32"/>
      <c r="S544" s="32"/>
      <c r="U544" s="33"/>
      <c r="V544" s="33"/>
      <c r="AD544" s="32"/>
    </row>
    <row r="545" spans="5:30" x14ac:dyDescent="0.2">
      <c r="E545" s="31"/>
      <c r="F545" s="30"/>
      <c r="H545" s="31"/>
      <c r="I545" s="31"/>
      <c r="R545" s="32"/>
      <c r="S545" s="32"/>
      <c r="U545" s="33"/>
      <c r="V545" s="33"/>
      <c r="AD545" s="32"/>
    </row>
    <row r="546" spans="5:30" x14ac:dyDescent="0.2">
      <c r="E546" s="31"/>
      <c r="F546" s="30"/>
      <c r="H546" s="31"/>
      <c r="I546" s="31"/>
      <c r="R546" s="32"/>
      <c r="S546" s="32"/>
      <c r="U546" s="33"/>
      <c r="V546" s="33"/>
      <c r="AD546" s="32"/>
    </row>
    <row r="547" spans="5:30" x14ac:dyDescent="0.2">
      <c r="E547" s="31"/>
      <c r="F547" s="30"/>
      <c r="H547" s="31"/>
      <c r="I547" s="31"/>
      <c r="R547" s="32"/>
      <c r="S547" s="32"/>
      <c r="U547" s="33"/>
      <c r="V547" s="33"/>
      <c r="AD547" s="32"/>
    </row>
    <row r="548" spans="5:30" x14ac:dyDescent="0.2">
      <c r="E548" s="31"/>
      <c r="F548" s="30"/>
      <c r="H548" s="31"/>
      <c r="I548" s="31"/>
      <c r="R548" s="32"/>
      <c r="S548" s="32"/>
      <c r="U548" s="33"/>
      <c r="V548" s="33"/>
      <c r="AD548" s="32"/>
    </row>
    <row r="549" spans="5:30" x14ac:dyDescent="0.2">
      <c r="E549" s="31"/>
      <c r="F549" s="30"/>
      <c r="H549" s="31"/>
      <c r="I549" s="31"/>
      <c r="R549" s="32"/>
      <c r="S549" s="32"/>
      <c r="U549" s="33"/>
      <c r="V549" s="33"/>
      <c r="AD549" s="32"/>
    </row>
    <row r="550" spans="5:30" x14ac:dyDescent="0.2">
      <c r="E550" s="31"/>
      <c r="F550" s="30"/>
      <c r="H550" s="31"/>
      <c r="I550" s="31"/>
      <c r="R550" s="32"/>
      <c r="S550" s="32"/>
      <c r="U550" s="33"/>
      <c r="V550" s="33"/>
      <c r="AD550" s="32"/>
    </row>
    <row r="551" spans="5:30" x14ac:dyDescent="0.2">
      <c r="E551" s="31"/>
      <c r="F551" s="30"/>
      <c r="H551" s="31"/>
      <c r="I551" s="31"/>
      <c r="R551" s="32"/>
      <c r="S551" s="32"/>
      <c r="U551" s="33"/>
      <c r="V551" s="33"/>
      <c r="AD551" s="32"/>
    </row>
    <row r="552" spans="5:30" x14ac:dyDescent="0.2">
      <c r="E552" s="31"/>
      <c r="F552" s="30"/>
      <c r="H552" s="31"/>
      <c r="I552" s="31"/>
      <c r="R552" s="32"/>
      <c r="S552" s="32"/>
      <c r="U552" s="33"/>
      <c r="V552" s="33"/>
      <c r="AD552" s="32"/>
    </row>
    <row r="553" spans="5:30" x14ac:dyDescent="0.2">
      <c r="E553" s="31"/>
      <c r="F553" s="30"/>
      <c r="H553" s="31"/>
      <c r="I553" s="31"/>
      <c r="R553" s="32"/>
      <c r="S553" s="32"/>
      <c r="U553" s="33"/>
      <c r="V553" s="33"/>
      <c r="AD553" s="32"/>
    </row>
    <row r="554" spans="5:30" x14ac:dyDescent="0.2">
      <c r="E554" s="31"/>
      <c r="F554" s="30"/>
      <c r="H554" s="31"/>
      <c r="I554" s="31"/>
      <c r="R554" s="32"/>
      <c r="S554" s="32"/>
      <c r="U554" s="33"/>
      <c r="V554" s="33"/>
      <c r="AD554" s="32"/>
    </row>
    <row r="555" spans="5:30" x14ac:dyDescent="0.2">
      <c r="E555" s="31"/>
      <c r="F555" s="30"/>
      <c r="H555" s="31"/>
      <c r="I555" s="31"/>
      <c r="R555" s="32"/>
      <c r="S555" s="32"/>
      <c r="U555" s="33"/>
      <c r="V555" s="33"/>
      <c r="AD555" s="32"/>
    </row>
    <row r="556" spans="5:30" x14ac:dyDescent="0.2">
      <c r="E556" s="31"/>
      <c r="F556" s="30"/>
      <c r="H556" s="31"/>
      <c r="I556" s="31"/>
      <c r="R556" s="32"/>
      <c r="S556" s="32"/>
      <c r="U556" s="33"/>
      <c r="V556" s="33"/>
      <c r="AD556" s="32"/>
    </row>
    <row r="557" spans="5:30" x14ac:dyDescent="0.2">
      <c r="E557" s="31"/>
      <c r="F557" s="30"/>
      <c r="H557" s="31"/>
      <c r="I557" s="31"/>
      <c r="R557" s="32"/>
      <c r="S557" s="32"/>
      <c r="U557" s="33"/>
      <c r="V557" s="33"/>
      <c r="AD557" s="32"/>
    </row>
    <row r="558" spans="5:30" x14ac:dyDescent="0.2">
      <c r="E558" s="31"/>
      <c r="F558" s="30"/>
      <c r="H558" s="31"/>
      <c r="I558" s="31"/>
      <c r="R558" s="32"/>
      <c r="S558" s="32"/>
      <c r="U558" s="33"/>
      <c r="V558" s="33"/>
      <c r="AD558" s="32"/>
    </row>
    <row r="559" spans="5:30" x14ac:dyDescent="0.2">
      <c r="E559" s="31"/>
      <c r="F559" s="30"/>
      <c r="H559" s="31"/>
      <c r="I559" s="31"/>
      <c r="R559" s="32"/>
      <c r="S559" s="32"/>
      <c r="U559" s="33"/>
      <c r="V559" s="33"/>
      <c r="AD559" s="32"/>
    </row>
    <row r="560" spans="5:30" x14ac:dyDescent="0.2">
      <c r="E560" s="31"/>
      <c r="F560" s="30"/>
      <c r="H560" s="31"/>
      <c r="I560" s="31"/>
      <c r="R560" s="32"/>
      <c r="S560" s="32"/>
      <c r="U560" s="33"/>
      <c r="V560" s="33"/>
      <c r="AD560" s="32"/>
    </row>
    <row r="561" spans="5:40" x14ac:dyDescent="0.2">
      <c r="E561" s="31"/>
      <c r="F561" s="30"/>
      <c r="H561" s="31"/>
      <c r="I561" s="31"/>
      <c r="R561" s="32"/>
      <c r="S561" s="32"/>
      <c r="U561" s="33"/>
      <c r="V561" s="33"/>
      <c r="AD561" s="32"/>
    </row>
    <row r="562" spans="5:40" x14ac:dyDescent="0.2">
      <c r="G562" s="33"/>
      <c r="J562" s="33"/>
      <c r="K562" s="33"/>
      <c r="N562" s="33"/>
      <c r="O562" s="33"/>
      <c r="P562" s="33"/>
      <c r="Q562" s="33"/>
      <c r="T562" s="33"/>
      <c r="U562" s="33"/>
      <c r="V562" s="33"/>
      <c r="AE562" s="120"/>
      <c r="AF562" s="33"/>
      <c r="AG562" s="33"/>
      <c r="AH562" s="33"/>
      <c r="AJ562" s="33"/>
      <c r="AK562" s="33"/>
      <c r="AL562" s="33"/>
      <c r="AM562" s="33"/>
      <c r="AN562" s="33"/>
    </row>
    <row r="563" spans="5:40" x14ac:dyDescent="0.2">
      <c r="E563" s="31"/>
      <c r="F563" s="30"/>
      <c r="H563" s="31"/>
      <c r="I563" s="31"/>
      <c r="R563" s="32"/>
      <c r="S563" s="32"/>
      <c r="U563" s="33"/>
      <c r="V563" s="33"/>
      <c r="AD563" s="32"/>
    </row>
    <row r="564" spans="5:40" x14ac:dyDescent="0.2">
      <c r="E564" s="31"/>
      <c r="F564" s="30"/>
      <c r="H564" s="31"/>
      <c r="I564" s="31"/>
      <c r="R564" s="32"/>
      <c r="S564" s="32"/>
      <c r="U564" s="33"/>
      <c r="V564" s="33"/>
      <c r="AD564" s="32"/>
    </row>
    <row r="565" spans="5:40" x14ac:dyDescent="0.2">
      <c r="E565" s="31"/>
      <c r="F565" s="30"/>
      <c r="H565" s="31"/>
      <c r="I565" s="31"/>
      <c r="R565" s="32"/>
      <c r="S565" s="32"/>
      <c r="U565" s="33"/>
      <c r="V565" s="33"/>
      <c r="AD565" s="32"/>
    </row>
    <row r="566" spans="5:40" x14ac:dyDescent="0.2">
      <c r="E566" s="31"/>
      <c r="F566" s="30"/>
      <c r="H566" s="31"/>
      <c r="I566" s="31"/>
      <c r="R566" s="32"/>
      <c r="S566" s="32"/>
      <c r="U566" s="33"/>
      <c r="V566" s="33"/>
      <c r="AD566" s="32"/>
    </row>
    <row r="567" spans="5:40" x14ac:dyDescent="0.2">
      <c r="E567" s="31"/>
      <c r="F567" s="30"/>
      <c r="H567" s="31"/>
      <c r="I567" s="31"/>
      <c r="R567" s="32"/>
      <c r="S567" s="32"/>
      <c r="U567" s="33"/>
      <c r="V567" s="33"/>
      <c r="AD567" s="32"/>
    </row>
    <row r="568" spans="5:40" x14ac:dyDescent="0.2">
      <c r="E568" s="31"/>
      <c r="F568" s="30"/>
      <c r="H568" s="31"/>
      <c r="I568" s="31"/>
      <c r="R568" s="32"/>
      <c r="S568" s="32"/>
      <c r="U568" s="33"/>
      <c r="V568" s="33"/>
      <c r="AD568" s="32"/>
    </row>
    <row r="569" spans="5:40" x14ac:dyDescent="0.2">
      <c r="E569" s="31"/>
      <c r="F569" s="30"/>
      <c r="H569" s="31"/>
      <c r="I569" s="31"/>
      <c r="R569" s="32"/>
      <c r="S569" s="32"/>
      <c r="U569" s="33"/>
      <c r="V569" s="33"/>
      <c r="AD569" s="32"/>
    </row>
    <row r="570" spans="5:40" x14ac:dyDescent="0.2">
      <c r="E570" s="31"/>
      <c r="F570" s="30"/>
      <c r="H570" s="31"/>
      <c r="I570" s="31"/>
      <c r="R570" s="32"/>
      <c r="S570" s="32"/>
      <c r="U570" s="33"/>
      <c r="V570" s="33"/>
      <c r="AD570" s="32"/>
    </row>
    <row r="571" spans="5:40" x14ac:dyDescent="0.2">
      <c r="E571" s="31"/>
      <c r="F571" s="30"/>
      <c r="H571" s="31"/>
      <c r="I571" s="31"/>
      <c r="R571" s="32"/>
      <c r="S571" s="32"/>
      <c r="U571" s="33"/>
      <c r="V571" s="33"/>
      <c r="AD571" s="32"/>
    </row>
    <row r="572" spans="5:40" x14ac:dyDescent="0.2">
      <c r="E572" s="31"/>
      <c r="F572" s="30"/>
      <c r="H572" s="31"/>
      <c r="I572" s="31"/>
      <c r="R572" s="32"/>
      <c r="S572" s="32"/>
      <c r="U572" s="33"/>
      <c r="V572" s="33"/>
      <c r="AD572" s="32"/>
    </row>
    <row r="573" spans="5:40" x14ac:dyDescent="0.2">
      <c r="E573" s="31"/>
      <c r="F573" s="30"/>
      <c r="H573" s="31"/>
      <c r="I573" s="31"/>
      <c r="R573" s="32"/>
      <c r="S573" s="32"/>
      <c r="U573" s="33"/>
      <c r="V573" s="33"/>
      <c r="AD573" s="32"/>
    </row>
    <row r="574" spans="5:40" x14ac:dyDescent="0.2">
      <c r="E574" s="31"/>
      <c r="F574" s="30"/>
      <c r="H574" s="31"/>
      <c r="I574" s="31"/>
      <c r="R574" s="32"/>
      <c r="S574" s="32"/>
      <c r="U574" s="33"/>
      <c r="V574" s="33"/>
      <c r="AD574" s="32"/>
    </row>
    <row r="575" spans="5:40" x14ac:dyDescent="0.2">
      <c r="E575" s="31"/>
      <c r="F575" s="30"/>
      <c r="H575" s="31"/>
      <c r="I575" s="31"/>
      <c r="R575" s="32"/>
      <c r="S575" s="32"/>
      <c r="U575" s="33"/>
      <c r="V575" s="33"/>
      <c r="AD575" s="32"/>
    </row>
    <row r="576" spans="5:40" x14ac:dyDescent="0.2">
      <c r="E576" s="31"/>
      <c r="F576" s="30"/>
      <c r="H576" s="31"/>
      <c r="I576" s="31"/>
      <c r="R576" s="32"/>
      <c r="S576" s="32"/>
      <c r="U576" s="33"/>
      <c r="V576" s="33"/>
      <c r="AD576" s="32"/>
    </row>
    <row r="577" spans="5:40" x14ac:dyDescent="0.2">
      <c r="E577" s="31"/>
      <c r="F577" s="30"/>
      <c r="H577" s="31"/>
      <c r="I577" s="31"/>
      <c r="R577" s="32"/>
      <c r="S577" s="32"/>
      <c r="U577" s="33"/>
      <c r="V577" s="33"/>
      <c r="AD577" s="32"/>
    </row>
    <row r="578" spans="5:40" x14ac:dyDescent="0.2">
      <c r="E578" s="31"/>
      <c r="F578" s="30"/>
      <c r="G578" s="32"/>
      <c r="H578" s="31"/>
      <c r="I578" s="31"/>
      <c r="J578" s="32"/>
      <c r="K578" s="32"/>
      <c r="N578" s="32"/>
      <c r="O578" s="32"/>
      <c r="P578" s="32"/>
      <c r="Q578" s="32"/>
      <c r="R578" s="32"/>
      <c r="S578" s="32"/>
      <c r="T578" s="32"/>
      <c r="U578" s="32"/>
      <c r="V578" s="32"/>
      <c r="AD578" s="32"/>
      <c r="AE578" s="119"/>
      <c r="AF578" s="32"/>
      <c r="AG578" s="32"/>
      <c r="AH578" s="32"/>
      <c r="AJ578" s="32"/>
      <c r="AK578" s="32"/>
      <c r="AL578" s="32"/>
      <c r="AM578" s="32"/>
      <c r="AN578" s="32"/>
    </row>
    <row r="579" spans="5:40" x14ac:dyDescent="0.2">
      <c r="E579" s="31"/>
      <c r="F579" s="30"/>
      <c r="H579" s="31"/>
      <c r="I579" s="31"/>
      <c r="R579" s="32"/>
      <c r="S579" s="32"/>
      <c r="U579" s="33"/>
      <c r="V579" s="33"/>
      <c r="AD579" s="32"/>
    </row>
    <row r="580" spans="5:40" x14ac:dyDescent="0.2">
      <c r="E580" s="31"/>
      <c r="F580" s="30"/>
      <c r="H580" s="31"/>
      <c r="I580" s="31"/>
      <c r="R580" s="32"/>
      <c r="S580" s="32"/>
      <c r="U580" s="33"/>
      <c r="V580" s="33"/>
      <c r="AD580" s="32"/>
    </row>
    <row r="581" spans="5:40" x14ac:dyDescent="0.2">
      <c r="E581" s="31"/>
      <c r="F581" s="30"/>
      <c r="H581" s="31"/>
      <c r="I581" s="31"/>
      <c r="R581" s="32"/>
      <c r="S581" s="32"/>
      <c r="U581" s="33"/>
      <c r="V581" s="33"/>
      <c r="AD581" s="32"/>
    </row>
    <row r="582" spans="5:40" x14ac:dyDescent="0.2">
      <c r="E582" s="31"/>
      <c r="F582" s="30"/>
      <c r="H582" s="31"/>
      <c r="I582" s="31"/>
      <c r="R582" s="32"/>
      <c r="S582" s="32"/>
      <c r="U582" s="33"/>
      <c r="V582" s="33"/>
      <c r="AD582" s="32"/>
    </row>
    <row r="583" spans="5:40" x14ac:dyDescent="0.2">
      <c r="E583" s="31"/>
      <c r="F583" s="30"/>
      <c r="H583" s="31"/>
      <c r="I583" s="31"/>
      <c r="R583" s="32"/>
      <c r="S583" s="32"/>
      <c r="U583" s="33"/>
      <c r="V583" s="33"/>
      <c r="AD583" s="32"/>
    </row>
    <row r="584" spans="5:40" x14ac:dyDescent="0.2">
      <c r="E584" s="31"/>
      <c r="F584" s="30"/>
      <c r="H584" s="31"/>
      <c r="I584" s="31"/>
      <c r="R584" s="32"/>
      <c r="S584" s="32"/>
      <c r="U584" s="33"/>
      <c r="V584" s="33"/>
      <c r="AD584" s="32"/>
    </row>
    <row r="585" spans="5:40" x14ac:dyDescent="0.2">
      <c r="E585" s="31"/>
      <c r="F585" s="30"/>
      <c r="H585" s="31"/>
      <c r="I585" s="31"/>
      <c r="R585" s="32"/>
      <c r="S585" s="32"/>
      <c r="U585" s="33"/>
      <c r="V585" s="33"/>
      <c r="AD585" s="32"/>
    </row>
    <row r="586" spans="5:40" x14ac:dyDescent="0.2">
      <c r="E586" s="31"/>
      <c r="F586" s="30"/>
      <c r="H586" s="31"/>
      <c r="I586" s="31"/>
      <c r="R586" s="32"/>
      <c r="S586" s="32"/>
      <c r="U586" s="33"/>
      <c r="V586" s="33"/>
      <c r="AD586" s="32"/>
    </row>
    <row r="587" spans="5:40" x14ac:dyDescent="0.2">
      <c r="E587" s="31"/>
      <c r="F587" s="30"/>
      <c r="H587" s="31"/>
      <c r="I587" s="31"/>
      <c r="R587" s="32"/>
      <c r="S587" s="32"/>
      <c r="U587" s="33"/>
      <c r="V587" s="33"/>
      <c r="AD587" s="32"/>
    </row>
    <row r="588" spans="5:40" x14ac:dyDescent="0.2">
      <c r="E588" s="31"/>
      <c r="F588" s="30"/>
      <c r="H588" s="31"/>
      <c r="I588" s="31"/>
      <c r="R588" s="32"/>
      <c r="S588" s="32"/>
      <c r="U588" s="33"/>
      <c r="V588" s="33"/>
      <c r="AD588" s="32"/>
    </row>
    <row r="589" spans="5:40" x14ac:dyDescent="0.2">
      <c r="E589" s="31"/>
      <c r="F589" s="30"/>
      <c r="H589" s="31"/>
      <c r="I589" s="31"/>
      <c r="R589" s="32"/>
      <c r="S589" s="32"/>
      <c r="U589" s="33"/>
      <c r="V589" s="33"/>
      <c r="AD589" s="32"/>
    </row>
    <row r="590" spans="5:40" x14ac:dyDescent="0.2">
      <c r="E590" s="31"/>
      <c r="F590" s="30"/>
      <c r="H590" s="31"/>
      <c r="I590" s="31"/>
      <c r="R590" s="32"/>
      <c r="S590" s="32"/>
      <c r="U590" s="33"/>
      <c r="V590" s="33"/>
      <c r="AD590" s="32"/>
    </row>
    <row r="591" spans="5:40" x14ac:dyDescent="0.2">
      <c r="E591" s="31"/>
      <c r="F591" s="30"/>
      <c r="H591" s="31"/>
      <c r="I591" s="31"/>
      <c r="R591" s="32"/>
      <c r="S591" s="32"/>
      <c r="U591" s="33"/>
      <c r="V591" s="33"/>
      <c r="AD591" s="32"/>
    </row>
    <row r="592" spans="5:40" x14ac:dyDescent="0.2">
      <c r="E592" s="31"/>
      <c r="F592" s="30"/>
      <c r="H592" s="31"/>
      <c r="I592" s="31"/>
      <c r="R592" s="32"/>
      <c r="S592" s="32"/>
      <c r="U592" s="33"/>
      <c r="V592" s="33"/>
      <c r="AD592" s="32"/>
    </row>
    <row r="593" spans="5:30" x14ac:dyDescent="0.2">
      <c r="E593" s="31"/>
      <c r="F593" s="30"/>
      <c r="H593" s="31"/>
      <c r="I593" s="31"/>
      <c r="R593" s="32"/>
      <c r="S593" s="32"/>
      <c r="U593" s="33"/>
      <c r="V593" s="33"/>
      <c r="AD593" s="32"/>
    </row>
    <row r="594" spans="5:30" x14ac:dyDescent="0.2">
      <c r="E594" s="31"/>
      <c r="F594" s="30"/>
      <c r="H594" s="31"/>
      <c r="I594" s="31"/>
      <c r="R594" s="32"/>
      <c r="S594" s="32"/>
      <c r="U594" s="33"/>
      <c r="V594" s="33"/>
      <c r="AD594" s="32"/>
    </row>
    <row r="595" spans="5:30" x14ac:dyDescent="0.2">
      <c r="E595" s="31"/>
      <c r="F595" s="30"/>
      <c r="H595" s="31"/>
      <c r="I595" s="31"/>
      <c r="R595" s="32"/>
      <c r="S595" s="32"/>
      <c r="U595" s="33"/>
      <c r="V595" s="33"/>
      <c r="AD595" s="32"/>
    </row>
    <row r="596" spans="5:30" x14ac:dyDescent="0.2">
      <c r="E596" s="31"/>
      <c r="F596" s="30"/>
      <c r="H596" s="31"/>
      <c r="I596" s="31"/>
      <c r="R596" s="32"/>
      <c r="S596" s="32"/>
      <c r="U596" s="33"/>
      <c r="V596" s="33"/>
      <c r="AD596" s="32"/>
    </row>
    <row r="597" spans="5:30" x14ac:dyDescent="0.2">
      <c r="E597" s="31"/>
      <c r="F597" s="30"/>
      <c r="H597" s="31"/>
      <c r="I597" s="31"/>
      <c r="R597" s="32"/>
      <c r="S597" s="32"/>
      <c r="U597" s="33"/>
      <c r="V597" s="33"/>
      <c r="AD597" s="32"/>
    </row>
    <row r="598" spans="5:30" x14ac:dyDescent="0.2">
      <c r="E598" s="31"/>
      <c r="F598" s="30"/>
      <c r="H598" s="31"/>
      <c r="I598" s="31"/>
      <c r="R598" s="32"/>
      <c r="S598" s="32"/>
      <c r="U598" s="33"/>
      <c r="V598" s="33"/>
      <c r="AD598" s="32"/>
    </row>
    <row r="599" spans="5:30" x14ac:dyDescent="0.2">
      <c r="E599" s="31"/>
      <c r="F599" s="30"/>
      <c r="H599" s="31"/>
      <c r="I599" s="31"/>
      <c r="R599" s="32"/>
      <c r="S599" s="32"/>
      <c r="U599" s="33"/>
      <c r="V599" s="33"/>
      <c r="AD599" s="32"/>
    </row>
    <row r="600" spans="5:30" x14ac:dyDescent="0.2">
      <c r="E600" s="31"/>
      <c r="F600" s="30"/>
      <c r="H600" s="31"/>
      <c r="I600" s="31"/>
      <c r="R600" s="32"/>
      <c r="S600" s="32"/>
      <c r="U600" s="33"/>
      <c r="V600" s="33"/>
      <c r="AD600" s="32"/>
    </row>
    <row r="601" spans="5:30" x14ac:dyDescent="0.2">
      <c r="E601" s="31"/>
      <c r="F601" s="30"/>
      <c r="H601" s="31"/>
      <c r="I601" s="31"/>
      <c r="R601" s="32"/>
      <c r="S601" s="32"/>
      <c r="U601" s="33"/>
      <c r="V601" s="33"/>
      <c r="AD601" s="32"/>
    </row>
    <row r="602" spans="5:30" x14ac:dyDescent="0.2">
      <c r="E602" s="31"/>
      <c r="F602" s="30"/>
      <c r="H602" s="31"/>
      <c r="I602" s="31"/>
      <c r="R602" s="32"/>
      <c r="S602" s="32"/>
      <c r="U602" s="33"/>
      <c r="V602" s="33"/>
      <c r="AD602" s="32"/>
    </row>
    <row r="603" spans="5:30" x14ac:dyDescent="0.2">
      <c r="E603" s="31"/>
      <c r="F603" s="30"/>
      <c r="H603" s="31"/>
      <c r="I603" s="31"/>
      <c r="R603" s="32"/>
      <c r="S603" s="32"/>
      <c r="U603" s="33"/>
      <c r="V603" s="33"/>
      <c r="AD603" s="32"/>
    </row>
    <row r="604" spans="5:30" x14ac:dyDescent="0.2">
      <c r="E604" s="31"/>
      <c r="F604" s="30"/>
      <c r="H604" s="31"/>
      <c r="I604" s="31"/>
      <c r="R604" s="32"/>
      <c r="S604" s="32"/>
      <c r="U604" s="33"/>
      <c r="V604" s="33"/>
      <c r="AD604" s="32"/>
    </row>
    <row r="605" spans="5:30" x14ac:dyDescent="0.2">
      <c r="E605" s="31"/>
      <c r="F605" s="30"/>
      <c r="H605" s="31"/>
      <c r="I605" s="31"/>
      <c r="R605" s="32"/>
      <c r="S605" s="32"/>
      <c r="U605" s="33"/>
      <c r="V605" s="33"/>
      <c r="AD605" s="32"/>
    </row>
    <row r="606" spans="5:30" x14ac:dyDescent="0.2">
      <c r="E606" s="31"/>
      <c r="F606" s="30"/>
      <c r="H606" s="31"/>
      <c r="I606" s="31"/>
      <c r="R606" s="32"/>
      <c r="S606" s="32"/>
      <c r="U606" s="33"/>
      <c r="V606" s="33"/>
      <c r="AD606" s="32"/>
    </row>
    <row r="607" spans="5:30" x14ac:dyDescent="0.2">
      <c r="E607" s="31"/>
      <c r="F607" s="30"/>
      <c r="H607" s="31"/>
      <c r="I607" s="31"/>
      <c r="R607" s="32"/>
      <c r="S607" s="32"/>
      <c r="U607" s="33"/>
      <c r="V607" s="33"/>
      <c r="AD607" s="32"/>
    </row>
    <row r="608" spans="5:30" x14ac:dyDescent="0.2">
      <c r="E608" s="31"/>
      <c r="F608" s="30"/>
      <c r="H608" s="31"/>
      <c r="I608" s="31"/>
      <c r="R608" s="32"/>
      <c r="S608" s="32"/>
      <c r="U608" s="33"/>
      <c r="V608" s="33"/>
      <c r="AD608" s="32"/>
    </row>
    <row r="609" spans="5:30" x14ac:dyDescent="0.2">
      <c r="E609" s="31"/>
      <c r="F609" s="30"/>
      <c r="H609" s="31"/>
      <c r="I609" s="31"/>
      <c r="R609" s="32"/>
      <c r="S609" s="32"/>
      <c r="U609" s="33"/>
      <c r="V609" s="33"/>
      <c r="AD609" s="32"/>
    </row>
    <row r="610" spans="5:30" x14ac:dyDescent="0.2">
      <c r="E610" s="31"/>
      <c r="F610" s="30"/>
      <c r="I610" s="31"/>
      <c r="S610" s="32"/>
      <c r="U610" s="33"/>
      <c r="V610" s="33"/>
      <c r="AD610" s="32"/>
    </row>
    <row r="611" spans="5:30" x14ac:dyDescent="0.2">
      <c r="E611" s="31"/>
      <c r="F611" s="30"/>
      <c r="I611" s="31"/>
      <c r="S611" s="32"/>
      <c r="U611" s="33"/>
      <c r="V611" s="33"/>
      <c r="AD611" s="32"/>
    </row>
    <row r="612" spans="5:30" x14ac:dyDescent="0.2">
      <c r="E612" s="31"/>
      <c r="F612" s="30"/>
      <c r="I612" s="31"/>
      <c r="S612" s="32"/>
      <c r="U612" s="33"/>
      <c r="V612" s="33"/>
      <c r="AD612" s="32"/>
    </row>
    <row r="613" spans="5:30" x14ac:dyDescent="0.2">
      <c r="E613" s="31"/>
      <c r="F613" s="30"/>
      <c r="I613" s="31"/>
      <c r="S613" s="32"/>
      <c r="U613" s="33"/>
      <c r="V613" s="33"/>
      <c r="AD613" s="32"/>
    </row>
    <row r="614" spans="5:30" x14ac:dyDescent="0.2">
      <c r="E614" s="31"/>
      <c r="F614" s="30"/>
      <c r="I614" s="31"/>
      <c r="S614" s="32"/>
      <c r="U614" s="33"/>
      <c r="V614" s="33"/>
      <c r="AD614" s="32"/>
    </row>
    <row r="615" spans="5:30" x14ac:dyDescent="0.2">
      <c r="E615" s="31"/>
      <c r="F615" s="30"/>
      <c r="H615" s="31"/>
      <c r="I615" s="31"/>
      <c r="R615" s="32"/>
      <c r="S615" s="32"/>
      <c r="U615" s="33"/>
      <c r="V615" s="33"/>
      <c r="AD615" s="32"/>
    </row>
    <row r="616" spans="5:30" x14ac:dyDescent="0.2">
      <c r="E616" s="31"/>
      <c r="F616" s="30"/>
      <c r="H616" s="31"/>
      <c r="I616" s="31"/>
      <c r="R616" s="32"/>
      <c r="S616" s="32"/>
      <c r="U616" s="33"/>
      <c r="V616" s="33"/>
      <c r="AD616" s="32"/>
    </row>
    <row r="617" spans="5:30" x14ac:dyDescent="0.2">
      <c r="E617" s="31"/>
      <c r="F617" s="30"/>
      <c r="H617" s="31"/>
      <c r="I617" s="31"/>
      <c r="R617" s="32"/>
      <c r="S617" s="32"/>
      <c r="U617" s="33"/>
      <c r="V617" s="33"/>
      <c r="AD617" s="32"/>
    </row>
    <row r="618" spans="5:30" x14ac:dyDescent="0.2">
      <c r="E618" s="31"/>
      <c r="F618" s="30"/>
      <c r="H618" s="31"/>
      <c r="I618" s="31"/>
      <c r="R618" s="32"/>
      <c r="S618" s="32"/>
      <c r="U618" s="33"/>
      <c r="V618" s="33"/>
      <c r="AD618" s="32"/>
    </row>
    <row r="619" spans="5:30" x14ac:dyDescent="0.2">
      <c r="E619" s="31"/>
      <c r="F619" s="30"/>
      <c r="H619" s="31"/>
      <c r="I619" s="31"/>
      <c r="R619" s="32"/>
      <c r="S619" s="32"/>
      <c r="U619" s="33"/>
      <c r="V619" s="33"/>
      <c r="AD619" s="32"/>
    </row>
    <row r="620" spans="5:30" x14ac:dyDescent="0.2">
      <c r="E620" s="31"/>
      <c r="F620" s="30"/>
      <c r="H620" s="31"/>
      <c r="I620" s="31"/>
      <c r="R620" s="32"/>
      <c r="S620" s="32"/>
      <c r="U620" s="33"/>
      <c r="V620" s="33"/>
      <c r="AD620" s="32"/>
    </row>
    <row r="621" spans="5:30" x14ac:dyDescent="0.2">
      <c r="E621" s="31"/>
      <c r="F621" s="30"/>
      <c r="H621" s="31"/>
      <c r="I621" s="31"/>
      <c r="R621" s="32"/>
      <c r="S621" s="32"/>
      <c r="U621" s="33"/>
      <c r="V621" s="33"/>
      <c r="AD621" s="32"/>
    </row>
    <row r="622" spans="5:30" x14ac:dyDescent="0.2">
      <c r="E622" s="31"/>
      <c r="F622" s="30"/>
      <c r="H622" s="31"/>
      <c r="I622" s="31"/>
      <c r="R622" s="32"/>
      <c r="S622" s="32"/>
      <c r="U622" s="33"/>
      <c r="V622" s="33"/>
      <c r="AD622" s="32"/>
    </row>
    <row r="623" spans="5:30" x14ac:dyDescent="0.2">
      <c r="E623" s="31"/>
      <c r="F623" s="30"/>
      <c r="H623" s="31"/>
      <c r="I623" s="31"/>
      <c r="R623" s="32"/>
      <c r="S623" s="32"/>
      <c r="U623" s="33"/>
      <c r="V623" s="33"/>
      <c r="AD623" s="32"/>
    </row>
    <row r="624" spans="5:30" x14ac:dyDescent="0.2">
      <c r="E624" s="31"/>
      <c r="F624" s="30"/>
      <c r="H624" s="31"/>
      <c r="I624" s="31"/>
      <c r="R624" s="32"/>
      <c r="S624" s="32"/>
      <c r="U624" s="33"/>
      <c r="V624" s="33"/>
      <c r="AD624" s="32"/>
    </row>
    <row r="625" spans="5:40" x14ac:dyDescent="0.2">
      <c r="E625" s="31"/>
      <c r="F625" s="30"/>
      <c r="H625" s="31"/>
      <c r="I625" s="31"/>
      <c r="R625" s="32"/>
      <c r="S625" s="32"/>
      <c r="U625" s="33"/>
      <c r="V625" s="33"/>
      <c r="AD625" s="32"/>
    </row>
    <row r="626" spans="5:40" x14ac:dyDescent="0.2">
      <c r="E626" s="31"/>
      <c r="F626" s="30"/>
      <c r="H626" s="31"/>
      <c r="I626" s="31"/>
      <c r="R626" s="32"/>
      <c r="S626" s="32"/>
      <c r="U626" s="33"/>
      <c r="V626" s="33"/>
      <c r="AD626" s="32"/>
    </row>
    <row r="627" spans="5:40" x14ac:dyDescent="0.2">
      <c r="E627" s="31"/>
      <c r="F627" s="30"/>
      <c r="H627" s="31"/>
      <c r="I627" s="31"/>
      <c r="R627" s="32"/>
      <c r="S627" s="32"/>
      <c r="U627" s="33"/>
      <c r="V627" s="33"/>
      <c r="AD627" s="32"/>
    </row>
    <row r="628" spans="5:40" x14ac:dyDescent="0.2">
      <c r="E628" s="31"/>
      <c r="F628" s="30"/>
      <c r="H628" s="31"/>
      <c r="I628" s="31"/>
      <c r="R628" s="32"/>
      <c r="S628" s="32"/>
      <c r="U628" s="33"/>
      <c r="V628" s="33"/>
      <c r="AD628" s="32"/>
    </row>
    <row r="629" spans="5:40" x14ac:dyDescent="0.2">
      <c r="E629" s="31"/>
      <c r="F629" s="30"/>
      <c r="H629" s="31"/>
      <c r="I629" s="31"/>
      <c r="R629" s="32"/>
      <c r="S629" s="32"/>
      <c r="U629" s="33"/>
      <c r="V629" s="33"/>
      <c r="AD629" s="32"/>
    </row>
    <row r="630" spans="5:40" x14ac:dyDescent="0.2">
      <c r="E630" s="31"/>
      <c r="F630" s="30"/>
      <c r="H630" s="31"/>
      <c r="I630" s="31"/>
      <c r="R630" s="32"/>
      <c r="S630" s="32"/>
      <c r="U630" s="33"/>
      <c r="V630" s="33"/>
      <c r="AD630" s="32"/>
    </row>
    <row r="631" spans="5:40" x14ac:dyDescent="0.2">
      <c r="E631" s="31"/>
      <c r="F631" s="30"/>
      <c r="H631" s="31"/>
      <c r="I631" s="31"/>
      <c r="R631" s="32"/>
      <c r="S631" s="32"/>
      <c r="U631" s="33"/>
      <c r="V631" s="33"/>
      <c r="AD631" s="32"/>
    </row>
    <row r="632" spans="5:40" x14ac:dyDescent="0.2">
      <c r="E632" s="31"/>
      <c r="F632" s="30"/>
      <c r="H632" s="31"/>
      <c r="I632" s="31"/>
      <c r="R632" s="32"/>
      <c r="S632" s="32"/>
      <c r="U632" s="33"/>
      <c r="V632" s="33"/>
      <c r="AD632" s="32"/>
    </row>
    <row r="633" spans="5:40" x14ac:dyDescent="0.2">
      <c r="E633" s="31"/>
      <c r="F633" s="30"/>
      <c r="H633" s="31"/>
      <c r="I633" s="31"/>
      <c r="R633" s="32"/>
      <c r="S633" s="32"/>
      <c r="U633" s="33"/>
      <c r="V633" s="33"/>
      <c r="AD633" s="32"/>
    </row>
    <row r="634" spans="5:40" x14ac:dyDescent="0.2">
      <c r="E634" s="31"/>
      <c r="F634" s="30"/>
      <c r="H634" s="31"/>
      <c r="I634" s="31"/>
      <c r="R634" s="32"/>
      <c r="S634" s="32"/>
      <c r="U634" s="33"/>
      <c r="V634" s="33"/>
      <c r="AD634" s="32"/>
    </row>
    <row r="635" spans="5:40" x14ac:dyDescent="0.2">
      <c r="E635" s="31"/>
      <c r="F635" s="30"/>
      <c r="H635" s="31"/>
      <c r="I635" s="31"/>
      <c r="R635" s="32"/>
      <c r="S635" s="32"/>
      <c r="U635" s="33"/>
      <c r="V635" s="33"/>
      <c r="AD635" s="32"/>
    </row>
    <row r="636" spans="5:40" x14ac:dyDescent="0.2">
      <c r="E636" s="31"/>
      <c r="F636" s="30"/>
      <c r="H636" s="31"/>
      <c r="I636" s="31"/>
      <c r="R636" s="32"/>
      <c r="S636" s="32"/>
      <c r="U636" s="33"/>
      <c r="V636" s="33"/>
      <c r="AD636" s="32"/>
    </row>
    <row r="637" spans="5:40" x14ac:dyDescent="0.2">
      <c r="E637" s="31"/>
      <c r="F637" s="30"/>
      <c r="H637" s="31"/>
      <c r="I637" s="31"/>
      <c r="R637" s="32"/>
      <c r="S637" s="32"/>
      <c r="U637" s="33"/>
      <c r="V637" s="33"/>
      <c r="AD637" s="32"/>
    </row>
    <row r="638" spans="5:40" x14ac:dyDescent="0.2">
      <c r="E638" s="31"/>
      <c r="F638" s="30"/>
      <c r="G638" s="32"/>
      <c r="H638" s="31"/>
      <c r="I638" s="31"/>
      <c r="J638" s="32"/>
      <c r="K638" s="32"/>
      <c r="N638" s="32"/>
      <c r="O638" s="32"/>
      <c r="P638" s="32"/>
      <c r="Q638" s="32"/>
      <c r="R638" s="32"/>
      <c r="S638" s="32"/>
      <c r="T638" s="32"/>
      <c r="U638" s="32"/>
      <c r="V638" s="32"/>
      <c r="AD638" s="32"/>
      <c r="AE638" s="119"/>
      <c r="AF638" s="32"/>
      <c r="AG638" s="32"/>
      <c r="AH638" s="32"/>
      <c r="AJ638" s="32"/>
      <c r="AK638" s="32"/>
      <c r="AL638" s="32"/>
      <c r="AM638" s="32"/>
      <c r="AN638" s="32"/>
    </row>
    <row r="639" spans="5:40" x14ac:dyDescent="0.2">
      <c r="R639" s="3"/>
      <c r="S639" s="3"/>
      <c r="AD639" s="3"/>
    </row>
    <row r="640" spans="5:40" x14ac:dyDescent="0.2">
      <c r="U640" s="33"/>
      <c r="V640" s="33"/>
    </row>
    <row r="641" spans="21:22" x14ac:dyDescent="0.2">
      <c r="U641" s="33"/>
      <c r="V641" s="33"/>
    </row>
    <row r="642" spans="21:22" x14ac:dyDescent="0.2">
      <c r="U642" s="33"/>
      <c r="V642" s="33"/>
    </row>
    <row r="643" spans="21:22" x14ac:dyDescent="0.2">
      <c r="U643" s="33"/>
      <c r="V643" s="33"/>
    </row>
    <row r="644" spans="21:22" x14ac:dyDescent="0.2">
      <c r="U644" s="33"/>
      <c r="V644" s="33"/>
    </row>
    <row r="645" spans="21:22" x14ac:dyDescent="0.2">
      <c r="U645" s="33"/>
      <c r="V645" s="33"/>
    </row>
    <row r="646" spans="21:22" x14ac:dyDescent="0.2">
      <c r="U646" s="33"/>
      <c r="V646" s="33"/>
    </row>
    <row r="647" spans="21:22" x14ac:dyDescent="0.2">
      <c r="U647" s="33"/>
      <c r="V647" s="33"/>
    </row>
    <row r="648" spans="21:22" x14ac:dyDescent="0.2">
      <c r="U648" s="33"/>
      <c r="V648" s="33"/>
    </row>
    <row r="649" spans="21:22" x14ac:dyDescent="0.2">
      <c r="U649" s="33"/>
      <c r="V649" s="33"/>
    </row>
    <row r="650" spans="21:22" x14ac:dyDescent="0.2">
      <c r="U650" s="33"/>
      <c r="V650" s="33"/>
    </row>
    <row r="651" spans="21:22" x14ac:dyDescent="0.2">
      <c r="U651" s="33"/>
      <c r="V651" s="33"/>
    </row>
    <row r="652" spans="21:22" x14ac:dyDescent="0.2">
      <c r="U652" s="33"/>
      <c r="V652" s="33"/>
    </row>
    <row r="653" spans="21:22" x14ac:dyDescent="0.2">
      <c r="U653" s="33"/>
      <c r="V653" s="33"/>
    </row>
    <row r="654" spans="21:22" x14ac:dyDescent="0.2">
      <c r="U654" s="33"/>
      <c r="V654" s="33"/>
    </row>
    <row r="655" spans="21:22" x14ac:dyDescent="0.2">
      <c r="U655" s="33"/>
      <c r="V655" s="33"/>
    </row>
    <row r="656" spans="21:22" x14ac:dyDescent="0.2">
      <c r="U656" s="33"/>
      <c r="V656" s="33"/>
    </row>
    <row r="657" spans="21:22" x14ac:dyDescent="0.2">
      <c r="U657" s="33"/>
      <c r="V657" s="33"/>
    </row>
    <row r="658" spans="21:22" x14ac:dyDescent="0.2">
      <c r="U658" s="33"/>
      <c r="V658" s="33"/>
    </row>
    <row r="659" spans="21:22" x14ac:dyDescent="0.2">
      <c r="U659" s="33"/>
      <c r="V659" s="33"/>
    </row>
    <row r="660" spans="21:22" x14ac:dyDescent="0.2">
      <c r="U660" s="33"/>
      <c r="V660" s="33"/>
    </row>
    <row r="661" spans="21:22" x14ac:dyDescent="0.2">
      <c r="U661" s="33"/>
      <c r="V661" s="33"/>
    </row>
    <row r="662" spans="21:22" x14ac:dyDescent="0.2">
      <c r="U662" s="33"/>
      <c r="V662" s="33"/>
    </row>
    <row r="663" spans="21:22" x14ac:dyDescent="0.2">
      <c r="U663" s="33"/>
      <c r="V663" s="33"/>
    </row>
    <row r="664" spans="21:22" x14ac:dyDescent="0.2">
      <c r="U664" s="33"/>
      <c r="V664" s="33"/>
    </row>
    <row r="665" spans="21:22" x14ac:dyDescent="0.2">
      <c r="U665" s="33"/>
      <c r="V665" s="33"/>
    </row>
    <row r="666" spans="21:22" x14ac:dyDescent="0.2">
      <c r="U666" s="33"/>
      <c r="V666" s="33"/>
    </row>
    <row r="667" spans="21:22" x14ac:dyDescent="0.2">
      <c r="U667" s="33"/>
      <c r="V667" s="33"/>
    </row>
    <row r="668" spans="21:22" x14ac:dyDescent="0.2">
      <c r="U668" s="33"/>
      <c r="V668" s="33"/>
    </row>
    <row r="669" spans="21:22" x14ac:dyDescent="0.2">
      <c r="U669" s="33"/>
      <c r="V669" s="33"/>
    </row>
    <row r="670" spans="21:22" x14ac:dyDescent="0.2">
      <c r="U670" s="33"/>
      <c r="V670" s="33"/>
    </row>
    <row r="671" spans="21:22" x14ac:dyDescent="0.2">
      <c r="U671" s="33"/>
      <c r="V671" s="33"/>
    </row>
    <row r="672" spans="21:22" x14ac:dyDescent="0.2">
      <c r="U672" s="33"/>
      <c r="V672" s="33"/>
    </row>
    <row r="673" spans="21:22" x14ac:dyDescent="0.2">
      <c r="U673" s="33"/>
      <c r="V673" s="33"/>
    </row>
    <row r="674" spans="21:22" x14ac:dyDescent="0.2">
      <c r="U674" s="33"/>
      <c r="V674" s="33"/>
    </row>
    <row r="675" spans="21:22" x14ac:dyDescent="0.2">
      <c r="U675" s="33"/>
      <c r="V675" s="33"/>
    </row>
    <row r="676" spans="21:22" x14ac:dyDescent="0.2">
      <c r="U676" s="33"/>
      <c r="V676" s="33"/>
    </row>
    <row r="677" spans="21:22" x14ac:dyDescent="0.2">
      <c r="U677" s="33"/>
      <c r="V677" s="33"/>
    </row>
    <row r="678" spans="21:22" x14ac:dyDescent="0.2">
      <c r="U678" s="33"/>
      <c r="V678" s="33"/>
    </row>
    <row r="679" spans="21:22" x14ac:dyDescent="0.2">
      <c r="U679" s="33"/>
      <c r="V679" s="33"/>
    </row>
    <row r="680" spans="21:22" x14ac:dyDescent="0.2">
      <c r="U680" s="33"/>
      <c r="V680" s="33"/>
    </row>
    <row r="681" spans="21:22" x14ac:dyDescent="0.2">
      <c r="U681" s="33"/>
      <c r="V681" s="33"/>
    </row>
    <row r="682" spans="21:22" x14ac:dyDescent="0.2">
      <c r="U682" s="33"/>
      <c r="V682" s="33"/>
    </row>
    <row r="683" spans="21:22" x14ac:dyDescent="0.2">
      <c r="U683" s="33"/>
      <c r="V683" s="33"/>
    </row>
    <row r="684" spans="21:22" x14ac:dyDescent="0.2">
      <c r="U684" s="33"/>
      <c r="V684" s="33"/>
    </row>
    <row r="685" spans="21:22" x14ac:dyDescent="0.2">
      <c r="U685" s="33"/>
      <c r="V685" s="33"/>
    </row>
    <row r="686" spans="21:22" x14ac:dyDescent="0.2">
      <c r="U686" s="33"/>
      <c r="V686" s="33"/>
    </row>
    <row r="687" spans="21:22" x14ac:dyDescent="0.2">
      <c r="U687" s="33"/>
      <c r="V687" s="33"/>
    </row>
    <row r="688" spans="21:22" x14ac:dyDescent="0.2">
      <c r="U688" s="33"/>
      <c r="V688" s="33"/>
    </row>
    <row r="689" spans="21:22" x14ac:dyDescent="0.2">
      <c r="U689" s="33"/>
      <c r="V689" s="33"/>
    </row>
    <row r="690" spans="21:22" x14ac:dyDescent="0.2">
      <c r="U690" s="33"/>
      <c r="V690" s="33"/>
    </row>
    <row r="691" spans="21:22" x14ac:dyDescent="0.2">
      <c r="U691" s="33"/>
      <c r="V691" s="33"/>
    </row>
    <row r="692" spans="21:22" x14ac:dyDescent="0.2">
      <c r="U692" s="33"/>
      <c r="V692" s="33"/>
    </row>
    <row r="693" spans="21:22" x14ac:dyDescent="0.2">
      <c r="U693" s="33"/>
      <c r="V693" s="33"/>
    </row>
    <row r="694" spans="21:22" x14ac:dyDescent="0.2">
      <c r="U694" s="33"/>
      <c r="V694" s="33"/>
    </row>
    <row r="695" spans="21:22" x14ac:dyDescent="0.2">
      <c r="U695" s="33"/>
      <c r="V695" s="33"/>
    </row>
    <row r="696" spans="21:22" x14ac:dyDescent="0.2">
      <c r="U696" s="33"/>
      <c r="V696" s="33"/>
    </row>
    <row r="697" spans="21:22" x14ac:dyDescent="0.2">
      <c r="U697" s="33"/>
      <c r="V697" s="33"/>
    </row>
    <row r="698" spans="21:22" x14ac:dyDescent="0.2">
      <c r="U698" s="33"/>
      <c r="V698" s="33"/>
    </row>
    <row r="699" spans="21:22" x14ac:dyDescent="0.2">
      <c r="U699" s="33"/>
      <c r="V699" s="33"/>
    </row>
    <row r="700" spans="21:22" x14ac:dyDescent="0.2">
      <c r="U700" s="33"/>
      <c r="V700" s="33"/>
    </row>
    <row r="701" spans="21:22" x14ac:dyDescent="0.2">
      <c r="U701" s="33"/>
      <c r="V701" s="33"/>
    </row>
    <row r="702" spans="21:22" x14ac:dyDescent="0.2">
      <c r="U702" s="33"/>
      <c r="V702" s="33"/>
    </row>
    <row r="703" spans="21:22" x14ac:dyDescent="0.2">
      <c r="U703" s="33"/>
      <c r="V703" s="33"/>
    </row>
    <row r="704" spans="21:22" x14ac:dyDescent="0.2">
      <c r="U704" s="33"/>
      <c r="V704" s="33"/>
    </row>
    <row r="705" spans="21:22" x14ac:dyDescent="0.2">
      <c r="U705" s="33"/>
      <c r="V705" s="33"/>
    </row>
    <row r="706" spans="21:22" x14ac:dyDescent="0.2">
      <c r="U706" s="33"/>
      <c r="V706" s="33"/>
    </row>
    <row r="707" spans="21:22" x14ac:dyDescent="0.2">
      <c r="U707" s="33"/>
      <c r="V707" s="33"/>
    </row>
    <row r="708" spans="21:22" x14ac:dyDescent="0.2">
      <c r="U708" s="33"/>
      <c r="V708" s="33"/>
    </row>
    <row r="709" spans="21:22" x14ac:dyDescent="0.2">
      <c r="U709" s="33"/>
      <c r="V709" s="33"/>
    </row>
    <row r="710" spans="21:22" x14ac:dyDescent="0.2">
      <c r="U710" s="33"/>
      <c r="V710" s="33"/>
    </row>
    <row r="711" spans="21:22" x14ac:dyDescent="0.2">
      <c r="U711" s="33"/>
      <c r="V711" s="33"/>
    </row>
    <row r="712" spans="21:22" x14ac:dyDescent="0.2">
      <c r="U712" s="33"/>
      <c r="V712" s="33"/>
    </row>
    <row r="713" spans="21:22" x14ac:dyDescent="0.2">
      <c r="U713" s="33"/>
      <c r="V713" s="33"/>
    </row>
    <row r="714" spans="21:22" x14ac:dyDescent="0.2">
      <c r="U714" s="33"/>
      <c r="V714" s="33"/>
    </row>
    <row r="715" spans="21:22" x14ac:dyDescent="0.2">
      <c r="U715" s="33"/>
      <c r="V715" s="33"/>
    </row>
    <row r="716" spans="21:22" x14ac:dyDescent="0.2">
      <c r="U716" s="33"/>
      <c r="V716" s="33"/>
    </row>
    <row r="717" spans="21:22" x14ac:dyDescent="0.2">
      <c r="U717" s="33"/>
      <c r="V717" s="33"/>
    </row>
    <row r="718" spans="21:22" x14ac:dyDescent="0.2">
      <c r="U718" s="33"/>
      <c r="V718" s="33"/>
    </row>
    <row r="719" spans="21:22" x14ac:dyDescent="0.2">
      <c r="U719" s="33"/>
      <c r="V719" s="33"/>
    </row>
    <row r="720" spans="21:22" x14ac:dyDescent="0.2">
      <c r="U720" s="33"/>
      <c r="V720" s="33"/>
    </row>
    <row r="721" spans="21:22" x14ac:dyDescent="0.2">
      <c r="U721" s="33"/>
      <c r="V721" s="33"/>
    </row>
    <row r="722" spans="21:22" x14ac:dyDescent="0.2">
      <c r="U722" s="33"/>
      <c r="V722" s="33"/>
    </row>
    <row r="723" spans="21:22" x14ac:dyDescent="0.2">
      <c r="U723" s="33"/>
      <c r="V723" s="33"/>
    </row>
    <row r="724" spans="21:22" x14ac:dyDescent="0.2">
      <c r="U724" s="33"/>
      <c r="V724" s="33"/>
    </row>
    <row r="725" spans="21:22" x14ac:dyDescent="0.2">
      <c r="U725" s="33"/>
      <c r="V725" s="33"/>
    </row>
    <row r="726" spans="21:22" x14ac:dyDescent="0.2">
      <c r="U726" s="33"/>
      <c r="V726" s="33"/>
    </row>
    <row r="727" spans="21:22" x14ac:dyDescent="0.2">
      <c r="U727" s="33"/>
      <c r="V727" s="33"/>
    </row>
    <row r="728" spans="21:22" x14ac:dyDescent="0.2">
      <c r="U728" s="33"/>
      <c r="V728" s="33"/>
    </row>
    <row r="729" spans="21:22" x14ac:dyDescent="0.2">
      <c r="U729" s="33"/>
      <c r="V729" s="33"/>
    </row>
    <row r="730" spans="21:22" x14ac:dyDescent="0.2">
      <c r="U730" s="33"/>
      <c r="V730" s="33"/>
    </row>
    <row r="731" spans="21:22" x14ac:dyDescent="0.2">
      <c r="U731" s="33"/>
      <c r="V731" s="33"/>
    </row>
    <row r="732" spans="21:22" x14ac:dyDescent="0.2">
      <c r="U732" s="33"/>
      <c r="V732" s="33"/>
    </row>
    <row r="733" spans="21:22" x14ac:dyDescent="0.2">
      <c r="U733" s="33"/>
      <c r="V733" s="33"/>
    </row>
    <row r="734" spans="21:22" x14ac:dyDescent="0.2">
      <c r="U734" s="33"/>
      <c r="V734" s="33"/>
    </row>
    <row r="735" spans="21:22" x14ac:dyDescent="0.2">
      <c r="U735" s="33"/>
      <c r="V735" s="33"/>
    </row>
    <row r="736" spans="21:22" x14ac:dyDescent="0.2">
      <c r="U736" s="33"/>
      <c r="V736" s="33"/>
    </row>
    <row r="737" spans="21:22" x14ac:dyDescent="0.2">
      <c r="U737" s="33"/>
      <c r="V737" s="33"/>
    </row>
    <row r="738" spans="21:22" x14ac:dyDescent="0.2">
      <c r="U738" s="33"/>
      <c r="V738" s="33"/>
    </row>
    <row r="739" spans="21:22" x14ac:dyDescent="0.2">
      <c r="U739" s="33"/>
      <c r="V739" s="33"/>
    </row>
    <row r="740" spans="21:22" x14ac:dyDescent="0.2">
      <c r="U740" s="33"/>
      <c r="V740" s="33"/>
    </row>
    <row r="741" spans="21:22" x14ac:dyDescent="0.2">
      <c r="U741" s="33"/>
      <c r="V741" s="33"/>
    </row>
    <row r="742" spans="21:22" x14ac:dyDescent="0.2">
      <c r="U742" s="33"/>
      <c r="V742" s="33"/>
    </row>
    <row r="743" spans="21:22" x14ac:dyDescent="0.2">
      <c r="U743" s="33"/>
      <c r="V743" s="33"/>
    </row>
    <row r="744" spans="21:22" x14ac:dyDescent="0.2">
      <c r="U744" s="33"/>
      <c r="V744" s="33"/>
    </row>
    <row r="745" spans="21:22" x14ac:dyDescent="0.2">
      <c r="U745" s="33"/>
      <c r="V745" s="33"/>
    </row>
    <row r="746" spans="21:22" x14ac:dyDescent="0.2">
      <c r="U746" s="33"/>
      <c r="V746" s="33"/>
    </row>
    <row r="747" spans="21:22" x14ac:dyDescent="0.2">
      <c r="U747" s="33"/>
      <c r="V747" s="33"/>
    </row>
    <row r="748" spans="21:22" x14ac:dyDescent="0.2">
      <c r="U748" s="33"/>
      <c r="V748" s="33"/>
    </row>
    <row r="749" spans="21:22" x14ac:dyDescent="0.2">
      <c r="U749" s="33"/>
      <c r="V749" s="33"/>
    </row>
    <row r="750" spans="21:22" x14ac:dyDescent="0.2">
      <c r="U750" s="33"/>
      <c r="V750" s="33"/>
    </row>
    <row r="751" spans="21:22" x14ac:dyDescent="0.2">
      <c r="U751" s="33"/>
      <c r="V751" s="33"/>
    </row>
    <row r="752" spans="21:22" x14ac:dyDescent="0.2">
      <c r="U752" s="33"/>
      <c r="V752" s="33"/>
    </row>
    <row r="753" spans="21:22" x14ac:dyDescent="0.2">
      <c r="U753" s="33"/>
      <c r="V753" s="33"/>
    </row>
    <row r="754" spans="21:22" x14ac:dyDescent="0.2">
      <c r="U754" s="33"/>
      <c r="V754" s="33"/>
    </row>
    <row r="755" spans="21:22" x14ac:dyDescent="0.2">
      <c r="U755" s="33"/>
      <c r="V755" s="33"/>
    </row>
    <row r="756" spans="21:22" x14ac:dyDescent="0.2">
      <c r="U756" s="33"/>
      <c r="V756" s="33"/>
    </row>
    <row r="757" spans="21:22" x14ac:dyDescent="0.2">
      <c r="U757" s="33"/>
      <c r="V757" s="33"/>
    </row>
    <row r="758" spans="21:22" x14ac:dyDescent="0.2">
      <c r="U758" s="33"/>
      <c r="V758" s="33"/>
    </row>
    <row r="759" spans="21:22" x14ac:dyDescent="0.2">
      <c r="U759" s="33"/>
      <c r="V759" s="33"/>
    </row>
    <row r="760" spans="21:22" x14ac:dyDescent="0.2">
      <c r="U760" s="33"/>
      <c r="V760" s="33"/>
    </row>
    <row r="761" spans="21:22" x14ac:dyDescent="0.2">
      <c r="U761" s="33"/>
      <c r="V761" s="33"/>
    </row>
    <row r="762" spans="21:22" x14ac:dyDescent="0.2">
      <c r="U762" s="33"/>
      <c r="V762" s="33"/>
    </row>
    <row r="763" spans="21:22" x14ac:dyDescent="0.2">
      <c r="U763" s="33"/>
      <c r="V763" s="33"/>
    </row>
    <row r="764" spans="21:22" x14ac:dyDescent="0.2">
      <c r="U764" s="33"/>
      <c r="V764" s="33"/>
    </row>
    <row r="765" spans="21:22" x14ac:dyDescent="0.2">
      <c r="U765" s="33"/>
      <c r="V765" s="33"/>
    </row>
    <row r="766" spans="21:22" x14ac:dyDescent="0.2">
      <c r="U766" s="33"/>
      <c r="V766" s="33"/>
    </row>
    <row r="767" spans="21:22" x14ac:dyDescent="0.2">
      <c r="U767" s="33"/>
      <c r="V767" s="33"/>
    </row>
    <row r="768" spans="21:22" x14ac:dyDescent="0.2">
      <c r="U768" s="33"/>
      <c r="V768" s="33"/>
    </row>
    <row r="769" spans="21:22" x14ac:dyDescent="0.2">
      <c r="U769" s="33"/>
      <c r="V769" s="33"/>
    </row>
    <row r="770" spans="21:22" x14ac:dyDescent="0.2">
      <c r="U770" s="33"/>
      <c r="V770" s="33"/>
    </row>
    <row r="771" spans="21:22" x14ac:dyDescent="0.2">
      <c r="U771" s="33"/>
      <c r="V771" s="33"/>
    </row>
    <row r="772" spans="21:22" x14ac:dyDescent="0.2">
      <c r="U772" s="33"/>
      <c r="V772" s="33"/>
    </row>
    <row r="773" spans="21:22" x14ac:dyDescent="0.2">
      <c r="U773" s="33"/>
      <c r="V773" s="33"/>
    </row>
    <row r="774" spans="21:22" x14ac:dyDescent="0.2">
      <c r="U774" s="33"/>
      <c r="V774" s="33"/>
    </row>
    <row r="775" spans="21:22" x14ac:dyDescent="0.2">
      <c r="U775" s="33"/>
      <c r="V775" s="33"/>
    </row>
    <row r="776" spans="21:22" x14ac:dyDescent="0.2">
      <c r="U776" s="33"/>
      <c r="V776" s="33"/>
    </row>
    <row r="777" spans="21:22" x14ac:dyDescent="0.2">
      <c r="U777" s="33"/>
      <c r="V777" s="33"/>
    </row>
    <row r="778" spans="21:22" x14ac:dyDescent="0.2">
      <c r="U778" s="33"/>
      <c r="V778" s="33"/>
    </row>
    <row r="779" spans="21:22" x14ac:dyDescent="0.2">
      <c r="U779" s="33"/>
      <c r="V779" s="33"/>
    </row>
    <row r="780" spans="21:22" x14ac:dyDescent="0.2">
      <c r="U780" s="33"/>
      <c r="V780" s="33"/>
    </row>
    <row r="781" spans="21:22" x14ac:dyDescent="0.2">
      <c r="U781" s="33"/>
      <c r="V781" s="33"/>
    </row>
    <row r="782" spans="21:22" x14ac:dyDescent="0.2">
      <c r="U782" s="33"/>
      <c r="V782" s="33"/>
    </row>
    <row r="783" spans="21:22" x14ac:dyDescent="0.2">
      <c r="U783" s="33"/>
      <c r="V783" s="33"/>
    </row>
    <row r="784" spans="21:22" x14ac:dyDescent="0.2">
      <c r="U784" s="33"/>
      <c r="V784" s="33"/>
    </row>
    <row r="785" spans="21:22" x14ac:dyDescent="0.2">
      <c r="U785" s="33"/>
      <c r="V785" s="33"/>
    </row>
    <row r="786" spans="21:22" x14ac:dyDescent="0.2">
      <c r="U786" s="33"/>
      <c r="V786" s="33"/>
    </row>
    <row r="787" spans="21:22" x14ac:dyDescent="0.2">
      <c r="U787" s="33"/>
      <c r="V787" s="33"/>
    </row>
    <row r="788" spans="21:22" x14ac:dyDescent="0.2">
      <c r="U788" s="33"/>
      <c r="V788" s="33"/>
    </row>
    <row r="789" spans="21:22" x14ac:dyDescent="0.2">
      <c r="U789" s="33"/>
      <c r="V789" s="33"/>
    </row>
    <row r="790" spans="21:22" x14ac:dyDescent="0.2">
      <c r="U790" s="33"/>
      <c r="V790" s="33"/>
    </row>
    <row r="791" spans="21:22" x14ac:dyDescent="0.2">
      <c r="U791" s="33"/>
      <c r="V791" s="33"/>
    </row>
    <row r="792" spans="21:22" x14ac:dyDescent="0.2">
      <c r="U792" s="33"/>
      <c r="V792" s="33"/>
    </row>
    <row r="793" spans="21:22" x14ac:dyDescent="0.2">
      <c r="U793" s="33"/>
      <c r="V793" s="33"/>
    </row>
    <row r="794" spans="21:22" x14ac:dyDescent="0.2">
      <c r="U794" s="33"/>
      <c r="V794" s="33"/>
    </row>
    <row r="795" spans="21:22" x14ac:dyDescent="0.2">
      <c r="U795" s="33"/>
      <c r="V795" s="33"/>
    </row>
    <row r="796" spans="21:22" x14ac:dyDescent="0.2">
      <c r="U796" s="33"/>
      <c r="V796" s="33"/>
    </row>
    <row r="797" spans="21:22" x14ac:dyDescent="0.2">
      <c r="U797" s="33"/>
      <c r="V797" s="33"/>
    </row>
    <row r="798" spans="21:22" x14ac:dyDescent="0.2">
      <c r="U798" s="33"/>
      <c r="V798" s="33"/>
    </row>
  </sheetData>
  <autoFilter ref="A6:EC35"/>
  <sortState ref="C11:CS39">
    <sortCondition ref="C7"/>
  </sortState>
  <mergeCells count="128">
    <mergeCell ref="CL2:CL5"/>
    <mergeCell ref="CI2:CJ3"/>
    <mergeCell ref="CI4:CI5"/>
    <mergeCell ref="CJ4:CJ5"/>
    <mergeCell ref="CA2:CA5"/>
    <mergeCell ref="CB2:CB5"/>
    <mergeCell ref="CC2:CC5"/>
    <mergeCell ref="CD2:CD5"/>
    <mergeCell ref="CE2:CE5"/>
    <mergeCell ref="CF2:CF5"/>
    <mergeCell ref="CG2:CG5"/>
    <mergeCell ref="CH2:CH5"/>
    <mergeCell ref="CK2:CK5"/>
    <mergeCell ref="AM2:AM5"/>
    <mergeCell ref="DB1:EC1"/>
    <mergeCell ref="DB2:DE3"/>
    <mergeCell ref="DF2:DI3"/>
    <mergeCell ref="DJ2:DJ5"/>
    <mergeCell ref="DK2:EC2"/>
    <mergeCell ref="DK3:DK5"/>
    <mergeCell ref="DL3:DM3"/>
    <mergeCell ref="DN3:EA3"/>
    <mergeCell ref="EB3:EC4"/>
    <mergeCell ref="DB4:DB5"/>
    <mergeCell ref="DC4:DC5"/>
    <mergeCell ref="DD4:DD5"/>
    <mergeCell ref="DE4:DE5"/>
    <mergeCell ref="DF4:DF5"/>
    <mergeCell ref="DG4:DG5"/>
    <mergeCell ref="DH4:DH5"/>
    <mergeCell ref="DI4:DI5"/>
    <mergeCell ref="DL4:DL5"/>
    <mergeCell ref="DM4:DM5"/>
    <mergeCell ref="DN4:DT4"/>
    <mergeCell ref="DU4:EA4"/>
    <mergeCell ref="CV2:DA2"/>
    <mergeCell ref="CV3:CX4"/>
    <mergeCell ref="BR3:BR5"/>
    <mergeCell ref="R2:AB2"/>
    <mergeCell ref="Z3:AB3"/>
    <mergeCell ref="Z4:Z5"/>
    <mergeCell ref="AA4:AB4"/>
    <mergeCell ref="BK3:BK5"/>
    <mergeCell ref="BL3:BL5"/>
    <mergeCell ref="BM2:BO2"/>
    <mergeCell ref="BM3:BM5"/>
    <mergeCell ref="BN3:BN5"/>
    <mergeCell ref="BO3:BO5"/>
    <mergeCell ref="AV4:AV5"/>
    <mergeCell ref="AU2:AW2"/>
    <mergeCell ref="AY2:AY5"/>
    <mergeCell ref="AZ2:AZ5"/>
    <mergeCell ref="BG2:BI4"/>
    <mergeCell ref="BB2:BB5"/>
    <mergeCell ref="BC2:BC5"/>
    <mergeCell ref="BJ3:BJ5"/>
    <mergeCell ref="BJ2:BL2"/>
    <mergeCell ref="AC2:AH2"/>
    <mergeCell ref="AJ2:AJ5"/>
    <mergeCell ref="AK2:AK5"/>
    <mergeCell ref="AL2:AL5"/>
    <mergeCell ref="A2:A5"/>
    <mergeCell ref="G2:G5"/>
    <mergeCell ref="O3:O5"/>
    <mergeCell ref="P3:P5"/>
    <mergeCell ref="Q3:Q5"/>
    <mergeCell ref="H2:H5"/>
    <mergeCell ref="L2:M2"/>
    <mergeCell ref="B2:B5"/>
    <mergeCell ref="C2:C5"/>
    <mergeCell ref="D2:D5"/>
    <mergeCell ref="E2:E5"/>
    <mergeCell ref="F2:F5"/>
    <mergeCell ref="I2:I5"/>
    <mergeCell ref="J2:J5"/>
    <mergeCell ref="K2:K5"/>
    <mergeCell ref="N2:Q2"/>
    <mergeCell ref="L3:L5"/>
    <mergeCell ref="M3:M5"/>
    <mergeCell ref="N3:N5"/>
    <mergeCell ref="BT4:BT5"/>
    <mergeCell ref="CO2:CP4"/>
    <mergeCell ref="CQ2:CR4"/>
    <mergeCell ref="CS2:CT4"/>
    <mergeCell ref="AI2:AI5"/>
    <mergeCell ref="AN2:AN5"/>
    <mergeCell ref="AO2:AO5"/>
    <mergeCell ref="AP2:AP5"/>
    <mergeCell ref="AR2:AR5"/>
    <mergeCell ref="AQ2:AQ5"/>
    <mergeCell ref="CN2:CN5"/>
    <mergeCell ref="BU2:BU5"/>
    <mergeCell ref="BV2:BV5"/>
    <mergeCell ref="BS2:BT3"/>
    <mergeCell ref="BX2:BX5"/>
    <mergeCell ref="BD2:BD5"/>
    <mergeCell ref="AW4:AW5"/>
    <mergeCell ref="BE2:BE5"/>
    <mergeCell ref="BF2:BF5"/>
    <mergeCell ref="BA2:BA5"/>
    <mergeCell ref="AX2:AX5"/>
    <mergeCell ref="BP2:BR2"/>
    <mergeCell ref="BP3:BP5"/>
    <mergeCell ref="BQ3:BQ5"/>
    <mergeCell ref="CY3:DA4"/>
    <mergeCell ref="R3:S3"/>
    <mergeCell ref="T3:V3"/>
    <mergeCell ref="W3:Y3"/>
    <mergeCell ref="R4:S4"/>
    <mergeCell ref="T4:T5"/>
    <mergeCell ref="U4:V4"/>
    <mergeCell ref="W4:W5"/>
    <mergeCell ref="X4:Y4"/>
    <mergeCell ref="AD4:AD5"/>
    <mergeCell ref="AH3:AH5"/>
    <mergeCell ref="AV3:AW3"/>
    <mergeCell ref="CM2:CM5"/>
    <mergeCell ref="BY2:BZ4"/>
    <mergeCell ref="CU2:CU5"/>
    <mergeCell ref="AC3:AC5"/>
    <mergeCell ref="AD3:AF3"/>
    <mergeCell ref="AG3:AG5"/>
    <mergeCell ref="AE4:AF4"/>
    <mergeCell ref="AT2:AT5"/>
    <mergeCell ref="AS2:AS5"/>
    <mergeCell ref="AU3:AU5"/>
    <mergeCell ref="BW2:BW5"/>
    <mergeCell ref="BS4:BS5"/>
  </mergeCells>
  <phoneticPr fontId="0" type="noConversion"/>
  <pageMargins left="0" right="0" top="0.22" bottom="0.41" header="0.18" footer="0.25"/>
  <pageSetup paperSize="9" scale="85" orientation="portrait" horizontalDpi="300" verticalDpi="300" r:id="rId1"/>
  <headerFooter alignWithMargins="0">
    <oddFooter>Страница &amp;P из &amp;N</oddFooter>
  </headerFooter>
  <ignoredErrors>
    <ignoredError sqref="AD7:AD35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159"/>
  <sheetViews>
    <sheetView topLeftCell="B1" zoomScale="90" zoomScaleNormal="90" workbookViewId="0">
      <pane xSplit="2" ySplit="6" topLeftCell="G7" activePane="bottomRight" state="frozen"/>
      <selection activeCell="B1" sqref="B1"/>
      <selection pane="topRight" activeCell="D1" sqref="D1"/>
      <selection pane="bottomLeft" activeCell="B7" sqref="B7"/>
      <selection pane="bottomRight" activeCell="L265" sqref="L265"/>
    </sheetView>
  </sheetViews>
  <sheetFormatPr defaultColWidth="9.140625" defaultRowHeight="12.75" outlineLevelRow="1" outlineLevelCol="1" x14ac:dyDescent="0.2"/>
  <cols>
    <col min="1" max="1" width="12.85546875" style="3" hidden="1" customWidth="1" outlineLevel="1"/>
    <col min="2" max="2" width="4.5703125" style="4" customWidth="1" collapsed="1"/>
    <col min="3" max="3" width="19" style="3" customWidth="1"/>
    <col min="4" max="4" width="10.5703125" style="3" hidden="1" customWidth="1" outlineLevel="1"/>
    <col min="5" max="6" width="5.7109375" style="3" hidden="1" customWidth="1" outlineLevel="1"/>
    <col min="7" max="7" width="5.7109375" style="3" customWidth="1" collapsed="1"/>
    <col min="8" max="8" width="6.140625" style="4" customWidth="1"/>
    <col min="9" max="9" width="6.140625" style="4" customWidth="1" outlineLevel="1"/>
    <col min="10" max="10" width="10.140625" style="3" customWidth="1" outlineLevel="1"/>
    <col min="11" max="11" width="9" style="3" customWidth="1" outlineLevel="1"/>
    <col min="12" max="12" width="8.85546875" style="3" customWidth="1" outlineLevel="1"/>
    <col min="13" max="13" width="9.5703125" style="3" customWidth="1" outlineLevel="1"/>
    <col min="14" max="14" width="6.28515625" style="3" customWidth="1"/>
    <col min="15" max="15" width="6.28515625" style="3" customWidth="1" outlineLevel="1"/>
    <col min="16" max="16" width="8.42578125" style="3" customWidth="1" outlineLevel="1"/>
    <col min="17" max="17" width="8" style="82" customWidth="1"/>
    <col min="18" max="18" width="11.28515625" style="33" customWidth="1"/>
    <col min="19" max="19" width="7.42578125" style="33" customWidth="1" outlineLevel="1"/>
    <col min="20" max="20" width="7.140625" style="3" customWidth="1"/>
    <col min="21" max="21" width="7.42578125" style="3" customWidth="1"/>
    <col min="22" max="22" width="7.42578125" style="3" customWidth="1" outlineLevel="1"/>
    <col min="23" max="23" width="8.42578125" style="3" customWidth="1"/>
    <col min="24" max="24" width="9.85546875" style="3" customWidth="1"/>
    <col min="25" max="25" width="6.42578125" style="3" customWidth="1" outlineLevel="1"/>
    <col min="26" max="26" width="6.85546875" style="3" customWidth="1"/>
    <col min="27" max="27" width="6.140625" style="3" customWidth="1"/>
    <col min="28" max="28" width="5.7109375" style="3" customWidth="1" outlineLevel="1"/>
    <col min="29" max="29" width="9.42578125" style="3" customWidth="1"/>
    <col min="30" max="30" width="8.85546875" style="33" customWidth="1"/>
    <col min="31" max="31" width="8.42578125" style="3" customWidth="1"/>
    <col min="32" max="32" width="9" style="3" customWidth="1"/>
    <col min="33" max="33" width="9.85546875" style="3" customWidth="1"/>
    <col min="34" max="34" width="11.140625" style="3" customWidth="1"/>
    <col min="35" max="35" width="12.7109375" style="3" customWidth="1"/>
    <col min="36" max="39" width="6" style="3" customWidth="1" outlineLevel="1"/>
    <col min="40" max="40" width="8.5703125" style="3" customWidth="1" outlineLevel="1"/>
    <col min="41" max="41" width="6" style="3" customWidth="1" outlineLevel="1"/>
    <col min="42" max="42" width="8.140625" style="3" customWidth="1" outlineLevel="1"/>
    <col min="43" max="44" width="7.140625" style="3" customWidth="1" outlineLevel="1"/>
    <col min="45" max="45" width="9.140625" style="4" customWidth="1" outlineLevel="1"/>
    <col min="46" max="46" width="8.5703125" style="3" customWidth="1" outlineLevel="1"/>
    <col min="47" max="48" width="8.140625" style="3" customWidth="1" outlineLevel="1"/>
    <col min="49" max="49" width="8.85546875" style="3" customWidth="1" outlineLevel="1"/>
    <col min="50" max="50" width="9.140625" style="3" customWidth="1" outlineLevel="1"/>
    <col min="51" max="51" width="7.7109375" style="3" customWidth="1" outlineLevel="1"/>
    <col min="52" max="52" width="9" style="3" customWidth="1" outlineLevel="1"/>
    <col min="53" max="53" width="9.85546875" style="3" customWidth="1" outlineLevel="1"/>
    <col min="54" max="54" width="8.28515625" style="3" customWidth="1" outlineLevel="1"/>
    <col min="55" max="55" width="8.7109375" style="3" customWidth="1" outlineLevel="1"/>
    <col min="56" max="56" width="8.5703125" style="3" customWidth="1" outlineLevel="1"/>
    <col min="57" max="57" width="7.7109375" style="3" customWidth="1" outlineLevel="1"/>
    <col min="58" max="58" width="5.28515625" style="3" customWidth="1" outlineLevel="1"/>
    <col min="59" max="60" width="9.85546875" style="3" customWidth="1" outlineLevel="1"/>
    <col min="61" max="61" width="7.28515625" style="3" customWidth="1" outlineLevel="1"/>
    <col min="62" max="62" width="5.7109375" style="3" customWidth="1" outlineLevel="1"/>
    <col min="63" max="64" width="9.140625" style="3" customWidth="1" outlineLevel="1"/>
    <col min="65" max="65" width="6.42578125" style="3" customWidth="1" outlineLevel="1"/>
    <col min="66" max="67" width="9.140625" style="3" customWidth="1" outlineLevel="1"/>
    <col min="68" max="68" width="5.5703125" style="3" customWidth="1" outlineLevel="1"/>
    <col min="69" max="70" width="9.140625" style="3" customWidth="1" outlineLevel="1"/>
    <col min="71" max="72" width="7.85546875" style="3" customWidth="1" outlineLevel="1"/>
    <col min="73" max="74" width="10.28515625" style="3" customWidth="1" outlineLevel="1"/>
    <col min="75" max="75" width="6" style="3" customWidth="1" outlineLevel="1"/>
    <col min="76" max="76" width="14.140625" style="3" customWidth="1" outlineLevel="1"/>
    <col min="77" max="78" width="12.28515625" style="82" customWidth="1" outlineLevel="1"/>
    <col min="79" max="80" width="9.85546875" style="3" customWidth="1"/>
    <col min="81" max="88" width="9.140625" style="3" customWidth="1"/>
    <col min="89" max="89" width="9.85546875" style="3" customWidth="1"/>
    <col min="90" max="92" width="11.5703125" style="220" customWidth="1"/>
    <col min="93" max="93" width="14" style="220" customWidth="1"/>
    <col min="94" max="94" width="9.140625" customWidth="1"/>
    <col min="95" max="124" width="9.140625" style="3" customWidth="1"/>
    <col min="125" max="16384" width="9.140625" style="3"/>
  </cols>
  <sheetData>
    <row r="1" spans="1:121" ht="23.25" customHeight="1" x14ac:dyDescent="0.2">
      <c r="B1" s="178" t="s">
        <v>370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11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CP1" s="441" t="s">
        <v>344</v>
      </c>
      <c r="CQ1" s="441"/>
      <c r="CR1" s="441"/>
      <c r="CS1" s="441"/>
      <c r="CT1" s="441"/>
      <c r="CU1" s="441"/>
      <c r="CV1" s="441"/>
      <c r="CW1" s="441"/>
      <c r="CX1" s="441"/>
      <c r="CY1" s="441"/>
      <c r="CZ1" s="441"/>
      <c r="DA1" s="441"/>
      <c r="DB1" s="441"/>
      <c r="DC1" s="441"/>
      <c r="DD1" s="441"/>
      <c r="DE1" s="441"/>
      <c r="DF1" s="441"/>
      <c r="DG1" s="441"/>
      <c r="DH1" s="441"/>
      <c r="DI1" s="441"/>
      <c r="DJ1" s="441"/>
      <c r="DK1" s="441"/>
      <c r="DL1" s="441"/>
      <c r="DM1" s="441"/>
      <c r="DN1" s="441"/>
      <c r="DO1" s="441"/>
      <c r="DP1" s="441"/>
      <c r="DQ1" s="441"/>
    </row>
    <row r="2" spans="1:121" ht="80.45" customHeight="1" x14ac:dyDescent="0.2">
      <c r="A2" s="112" t="s">
        <v>0</v>
      </c>
      <c r="B2" s="471" t="s">
        <v>1</v>
      </c>
      <c r="C2" s="395" t="s">
        <v>6</v>
      </c>
      <c r="D2" s="370" t="s">
        <v>38</v>
      </c>
      <c r="E2" s="370"/>
      <c r="F2" s="370" t="s">
        <v>339</v>
      </c>
      <c r="G2" s="370" t="s">
        <v>188</v>
      </c>
      <c r="H2" s="371" t="s">
        <v>39</v>
      </c>
      <c r="I2" s="371" t="s">
        <v>40</v>
      </c>
      <c r="J2" s="370" t="s">
        <v>41</v>
      </c>
      <c r="K2" s="370" t="s">
        <v>42</v>
      </c>
      <c r="L2" s="395" t="s">
        <v>3</v>
      </c>
      <c r="M2" s="395"/>
      <c r="N2" s="395" t="s">
        <v>4</v>
      </c>
      <c r="O2" s="395"/>
      <c r="P2" s="395"/>
      <c r="Q2" s="395"/>
      <c r="R2" s="388" t="s">
        <v>144</v>
      </c>
      <c r="S2" s="389"/>
      <c r="T2" s="389"/>
      <c r="U2" s="389"/>
      <c r="V2" s="389"/>
      <c r="W2" s="389"/>
      <c r="X2" s="389"/>
      <c r="Y2" s="389"/>
      <c r="Z2" s="389"/>
      <c r="AA2" s="389"/>
      <c r="AB2" s="390"/>
      <c r="AC2" s="400" t="s">
        <v>147</v>
      </c>
      <c r="AD2" s="401"/>
      <c r="AE2" s="401"/>
      <c r="AF2" s="401"/>
      <c r="AG2" s="401"/>
      <c r="AH2" s="402"/>
      <c r="AI2" s="456" t="s">
        <v>75</v>
      </c>
      <c r="AJ2" s="378" t="s">
        <v>52</v>
      </c>
      <c r="AK2" s="378" t="s">
        <v>53</v>
      </c>
      <c r="AL2" s="378" t="s">
        <v>54</v>
      </c>
      <c r="AM2" s="378" t="s">
        <v>55</v>
      </c>
      <c r="AN2" s="378" t="s">
        <v>56</v>
      </c>
      <c r="AO2" s="378" t="s">
        <v>57</v>
      </c>
      <c r="AP2" s="381" t="s">
        <v>58</v>
      </c>
      <c r="AQ2" s="381" t="s">
        <v>59</v>
      </c>
      <c r="AR2" s="381" t="s">
        <v>60</v>
      </c>
      <c r="AS2" s="381" t="s">
        <v>61</v>
      </c>
      <c r="AT2" s="381" t="s">
        <v>62</v>
      </c>
      <c r="AU2" s="374" t="s">
        <v>148</v>
      </c>
      <c r="AV2" s="374"/>
      <c r="AW2" s="374"/>
      <c r="AX2" s="381" t="s">
        <v>63</v>
      </c>
      <c r="AY2" s="381" t="s">
        <v>64</v>
      </c>
      <c r="AZ2" s="381" t="s">
        <v>65</v>
      </c>
      <c r="BA2" s="381" t="s">
        <v>66</v>
      </c>
      <c r="BB2" s="381" t="s">
        <v>67</v>
      </c>
      <c r="BC2" s="381" t="s">
        <v>68</v>
      </c>
      <c r="BD2" s="381" t="s">
        <v>69</v>
      </c>
      <c r="BE2" s="381" t="s">
        <v>70</v>
      </c>
      <c r="BF2" s="381" t="s">
        <v>71</v>
      </c>
      <c r="BG2" s="423" t="s">
        <v>72</v>
      </c>
      <c r="BH2" s="424"/>
      <c r="BI2" s="425"/>
      <c r="BJ2" s="407" t="s">
        <v>28</v>
      </c>
      <c r="BK2" s="407"/>
      <c r="BL2" s="407"/>
      <c r="BM2" s="407" t="s">
        <v>29</v>
      </c>
      <c r="BN2" s="407"/>
      <c r="BO2" s="407"/>
      <c r="BP2" s="407" t="s">
        <v>152</v>
      </c>
      <c r="BQ2" s="407"/>
      <c r="BR2" s="407"/>
      <c r="BS2" s="406" t="s">
        <v>31</v>
      </c>
      <c r="BT2" s="406"/>
      <c r="BU2" s="385" t="s">
        <v>32</v>
      </c>
      <c r="BV2" s="385" t="s">
        <v>33</v>
      </c>
      <c r="BW2" s="385" t="s">
        <v>34</v>
      </c>
      <c r="BX2" s="416" t="s">
        <v>37</v>
      </c>
      <c r="BY2" s="410" t="s">
        <v>340</v>
      </c>
      <c r="BZ2" s="411"/>
      <c r="CA2" s="450" t="s">
        <v>190</v>
      </c>
      <c r="CB2" s="457" t="s">
        <v>51</v>
      </c>
      <c r="CC2" s="374" t="s">
        <v>186</v>
      </c>
      <c r="CD2" s="374"/>
      <c r="CE2" s="374" t="s">
        <v>187</v>
      </c>
      <c r="CF2" s="374"/>
      <c r="CG2" s="374" t="s">
        <v>49</v>
      </c>
      <c r="CH2" s="374"/>
      <c r="CI2" s="453" t="s">
        <v>353</v>
      </c>
      <c r="CJ2" s="437" t="s">
        <v>347</v>
      </c>
      <c r="CK2" s="438"/>
      <c r="CL2" s="438"/>
      <c r="CM2" s="438"/>
      <c r="CN2" s="438"/>
      <c r="CO2" s="439"/>
      <c r="CP2" s="442" t="s">
        <v>317</v>
      </c>
      <c r="CQ2" s="442"/>
      <c r="CR2" s="442"/>
      <c r="CS2" s="442"/>
      <c r="CT2" s="442" t="s">
        <v>318</v>
      </c>
      <c r="CU2" s="442"/>
      <c r="CV2" s="442"/>
      <c r="CW2" s="442"/>
      <c r="CX2" s="443" t="s">
        <v>319</v>
      </c>
      <c r="CY2" s="444" t="s">
        <v>320</v>
      </c>
      <c r="CZ2" s="444"/>
      <c r="DA2" s="444"/>
      <c r="DB2" s="444"/>
      <c r="DC2" s="444"/>
      <c r="DD2" s="444"/>
      <c r="DE2" s="444"/>
      <c r="DF2" s="444"/>
      <c r="DG2" s="444"/>
      <c r="DH2" s="444"/>
      <c r="DI2" s="444"/>
      <c r="DJ2" s="444"/>
      <c r="DK2" s="444"/>
      <c r="DL2" s="444"/>
      <c r="DM2" s="444"/>
      <c r="DN2" s="444"/>
      <c r="DO2" s="444"/>
      <c r="DP2" s="444"/>
      <c r="DQ2" s="444"/>
    </row>
    <row r="3" spans="1:121" ht="27.75" customHeight="1" x14ac:dyDescent="0.2">
      <c r="A3" s="112" t="s">
        <v>5</v>
      </c>
      <c r="B3" s="471"/>
      <c r="C3" s="395"/>
      <c r="D3" s="370"/>
      <c r="E3" s="370"/>
      <c r="F3" s="370"/>
      <c r="G3" s="370"/>
      <c r="H3" s="371"/>
      <c r="I3" s="371"/>
      <c r="J3" s="370"/>
      <c r="K3" s="370"/>
      <c r="L3" s="370" t="s">
        <v>43</v>
      </c>
      <c r="M3" s="370" t="s">
        <v>44</v>
      </c>
      <c r="N3" s="370" t="s">
        <v>45</v>
      </c>
      <c r="O3" s="370" t="s">
        <v>46</v>
      </c>
      <c r="P3" s="370" t="s">
        <v>316</v>
      </c>
      <c r="Q3" s="467" t="s">
        <v>47</v>
      </c>
      <c r="R3" s="468" t="s">
        <v>49</v>
      </c>
      <c r="S3" s="469"/>
      <c r="T3" s="374" t="s">
        <v>145</v>
      </c>
      <c r="U3" s="374"/>
      <c r="V3" s="374"/>
      <c r="W3" s="374" t="s">
        <v>146</v>
      </c>
      <c r="X3" s="374"/>
      <c r="Y3" s="374"/>
      <c r="Z3" s="374" t="s">
        <v>194</v>
      </c>
      <c r="AA3" s="374"/>
      <c r="AB3" s="374"/>
      <c r="AC3" s="454" t="s">
        <v>195</v>
      </c>
      <c r="AD3" s="396" t="s">
        <v>146</v>
      </c>
      <c r="AE3" s="396"/>
      <c r="AF3" s="396"/>
      <c r="AG3" s="397" t="s">
        <v>145</v>
      </c>
      <c r="AH3" s="397" t="s">
        <v>194</v>
      </c>
      <c r="AI3" s="456"/>
      <c r="AJ3" s="379"/>
      <c r="AK3" s="379"/>
      <c r="AL3" s="379"/>
      <c r="AM3" s="379"/>
      <c r="AN3" s="379"/>
      <c r="AO3" s="379"/>
      <c r="AP3" s="382"/>
      <c r="AQ3" s="382"/>
      <c r="AR3" s="382"/>
      <c r="AS3" s="382"/>
      <c r="AT3" s="382"/>
      <c r="AU3" s="432" t="s">
        <v>2</v>
      </c>
      <c r="AV3" s="435" t="s">
        <v>73</v>
      </c>
      <c r="AW3" s="436"/>
      <c r="AX3" s="382"/>
      <c r="AY3" s="382"/>
      <c r="AZ3" s="382"/>
      <c r="BA3" s="382"/>
      <c r="BB3" s="382"/>
      <c r="BC3" s="382"/>
      <c r="BD3" s="382"/>
      <c r="BE3" s="382"/>
      <c r="BF3" s="382"/>
      <c r="BG3" s="426"/>
      <c r="BH3" s="427"/>
      <c r="BI3" s="428"/>
      <c r="BJ3" s="403" t="s">
        <v>30</v>
      </c>
      <c r="BK3" s="406" t="s">
        <v>76</v>
      </c>
      <c r="BL3" s="406" t="s">
        <v>77</v>
      </c>
      <c r="BM3" s="403" t="s">
        <v>30</v>
      </c>
      <c r="BN3" s="406" t="s">
        <v>76</v>
      </c>
      <c r="BO3" s="406" t="s">
        <v>77</v>
      </c>
      <c r="BP3" s="419" t="s">
        <v>30</v>
      </c>
      <c r="BQ3" s="397" t="s">
        <v>76</v>
      </c>
      <c r="BR3" s="397" t="s">
        <v>77</v>
      </c>
      <c r="BS3" s="406"/>
      <c r="BT3" s="406"/>
      <c r="BU3" s="386"/>
      <c r="BV3" s="386"/>
      <c r="BW3" s="386"/>
      <c r="BX3" s="416"/>
      <c r="BY3" s="412"/>
      <c r="BZ3" s="413"/>
      <c r="CA3" s="451"/>
      <c r="CB3" s="458"/>
      <c r="CC3" s="374"/>
      <c r="CD3" s="374"/>
      <c r="CE3" s="374"/>
      <c r="CF3" s="374"/>
      <c r="CG3" s="374"/>
      <c r="CH3" s="374"/>
      <c r="CI3" s="453"/>
      <c r="CJ3" s="440" t="s">
        <v>345</v>
      </c>
      <c r="CK3" s="440"/>
      <c r="CL3" s="440"/>
      <c r="CM3" s="440" t="s">
        <v>346</v>
      </c>
      <c r="CN3" s="440"/>
      <c r="CO3" s="440"/>
      <c r="CP3" s="442"/>
      <c r="CQ3" s="442"/>
      <c r="CR3" s="442"/>
      <c r="CS3" s="442"/>
      <c r="CT3" s="442"/>
      <c r="CU3" s="442"/>
      <c r="CV3" s="442"/>
      <c r="CW3" s="442"/>
      <c r="CX3" s="443"/>
      <c r="CY3" s="445" t="s">
        <v>321</v>
      </c>
      <c r="CZ3" s="442" t="s">
        <v>322</v>
      </c>
      <c r="DA3" s="442"/>
      <c r="DB3" s="446" t="s">
        <v>323</v>
      </c>
      <c r="DC3" s="446"/>
      <c r="DD3" s="446"/>
      <c r="DE3" s="446"/>
      <c r="DF3" s="446"/>
      <c r="DG3" s="446"/>
      <c r="DH3" s="446"/>
      <c r="DI3" s="446"/>
      <c r="DJ3" s="446"/>
      <c r="DK3" s="446"/>
      <c r="DL3" s="446"/>
      <c r="DM3" s="446"/>
      <c r="DN3" s="446"/>
      <c r="DO3" s="446"/>
      <c r="DP3" s="442" t="s">
        <v>324</v>
      </c>
      <c r="DQ3" s="442"/>
    </row>
    <row r="4" spans="1:121" s="250" customFormat="1" ht="23.25" customHeight="1" x14ac:dyDescent="0.2">
      <c r="A4" s="249" t="s">
        <v>10</v>
      </c>
      <c r="B4" s="471"/>
      <c r="C4" s="395"/>
      <c r="D4" s="370"/>
      <c r="E4" s="370"/>
      <c r="F4" s="370"/>
      <c r="G4" s="370"/>
      <c r="H4" s="371"/>
      <c r="I4" s="371"/>
      <c r="J4" s="370"/>
      <c r="K4" s="370"/>
      <c r="L4" s="370"/>
      <c r="M4" s="370"/>
      <c r="N4" s="370"/>
      <c r="O4" s="370"/>
      <c r="P4" s="370"/>
      <c r="Q4" s="467"/>
      <c r="R4" s="470" t="s">
        <v>50</v>
      </c>
      <c r="S4" s="470"/>
      <c r="T4" s="376" t="s">
        <v>45</v>
      </c>
      <c r="U4" s="395" t="s">
        <v>50</v>
      </c>
      <c r="V4" s="395"/>
      <c r="W4" s="376" t="s">
        <v>45</v>
      </c>
      <c r="X4" s="395" t="s">
        <v>50</v>
      </c>
      <c r="Y4" s="395"/>
      <c r="Z4" s="376" t="s">
        <v>45</v>
      </c>
      <c r="AA4" s="395" t="s">
        <v>50</v>
      </c>
      <c r="AB4" s="395"/>
      <c r="AC4" s="454"/>
      <c r="AD4" s="399" t="s">
        <v>49</v>
      </c>
      <c r="AE4" s="399" t="s">
        <v>191</v>
      </c>
      <c r="AF4" s="399"/>
      <c r="AG4" s="397"/>
      <c r="AH4" s="397"/>
      <c r="AI4" s="456"/>
      <c r="AJ4" s="379"/>
      <c r="AK4" s="379"/>
      <c r="AL4" s="379"/>
      <c r="AM4" s="379"/>
      <c r="AN4" s="379"/>
      <c r="AO4" s="379"/>
      <c r="AP4" s="382"/>
      <c r="AQ4" s="382"/>
      <c r="AR4" s="382"/>
      <c r="AS4" s="382"/>
      <c r="AT4" s="382"/>
      <c r="AU4" s="433"/>
      <c r="AV4" s="432" t="s">
        <v>11</v>
      </c>
      <c r="AW4" s="432" t="s">
        <v>12</v>
      </c>
      <c r="AX4" s="382"/>
      <c r="AY4" s="382"/>
      <c r="AZ4" s="382"/>
      <c r="BA4" s="382"/>
      <c r="BB4" s="382"/>
      <c r="BC4" s="382"/>
      <c r="BD4" s="382"/>
      <c r="BE4" s="382"/>
      <c r="BF4" s="382"/>
      <c r="BG4" s="429"/>
      <c r="BH4" s="430"/>
      <c r="BI4" s="431"/>
      <c r="BJ4" s="404"/>
      <c r="BK4" s="406"/>
      <c r="BL4" s="406"/>
      <c r="BM4" s="404"/>
      <c r="BN4" s="406"/>
      <c r="BO4" s="406"/>
      <c r="BP4" s="419"/>
      <c r="BQ4" s="397"/>
      <c r="BR4" s="397"/>
      <c r="BS4" s="417" t="s">
        <v>35</v>
      </c>
      <c r="BT4" s="417" t="s">
        <v>36</v>
      </c>
      <c r="BU4" s="386"/>
      <c r="BV4" s="386"/>
      <c r="BW4" s="386"/>
      <c r="BX4" s="416"/>
      <c r="BY4" s="414"/>
      <c r="BZ4" s="415"/>
      <c r="CA4" s="451"/>
      <c r="CB4" s="458"/>
      <c r="CC4" s="374"/>
      <c r="CD4" s="374"/>
      <c r="CE4" s="374"/>
      <c r="CF4" s="374"/>
      <c r="CG4" s="374"/>
      <c r="CH4" s="374"/>
      <c r="CI4" s="453"/>
      <c r="CJ4" s="440"/>
      <c r="CK4" s="440"/>
      <c r="CL4" s="440"/>
      <c r="CM4" s="440"/>
      <c r="CN4" s="440"/>
      <c r="CO4" s="440"/>
      <c r="CP4" s="472" t="s">
        <v>325</v>
      </c>
      <c r="CQ4" s="472" t="s">
        <v>326</v>
      </c>
      <c r="CR4" s="472" t="s">
        <v>327</v>
      </c>
      <c r="CS4" s="472" t="s">
        <v>328</v>
      </c>
      <c r="CT4" s="472" t="s">
        <v>325</v>
      </c>
      <c r="CU4" s="472" t="s">
        <v>326</v>
      </c>
      <c r="CV4" s="472" t="s">
        <v>327</v>
      </c>
      <c r="CW4" s="472" t="s">
        <v>328</v>
      </c>
      <c r="CX4" s="443"/>
      <c r="CY4" s="445"/>
      <c r="CZ4" s="443" t="s">
        <v>329</v>
      </c>
      <c r="DA4" s="443" t="s">
        <v>330</v>
      </c>
      <c r="DB4" s="446" t="s">
        <v>329</v>
      </c>
      <c r="DC4" s="446"/>
      <c r="DD4" s="446"/>
      <c r="DE4" s="446"/>
      <c r="DF4" s="446"/>
      <c r="DG4" s="446"/>
      <c r="DH4" s="446"/>
      <c r="DI4" s="446" t="s">
        <v>330</v>
      </c>
      <c r="DJ4" s="446"/>
      <c r="DK4" s="446"/>
      <c r="DL4" s="446"/>
      <c r="DM4" s="446"/>
      <c r="DN4" s="446"/>
      <c r="DO4" s="446"/>
      <c r="DP4" s="442"/>
      <c r="DQ4" s="442"/>
    </row>
    <row r="5" spans="1:121" ht="83.45" customHeight="1" x14ac:dyDescent="0.2">
      <c r="A5" s="11"/>
      <c r="B5" s="471"/>
      <c r="C5" s="395"/>
      <c r="D5" s="370"/>
      <c r="E5" s="370"/>
      <c r="F5" s="370"/>
      <c r="G5" s="370"/>
      <c r="H5" s="371"/>
      <c r="I5" s="371"/>
      <c r="J5" s="370"/>
      <c r="K5" s="370"/>
      <c r="L5" s="370"/>
      <c r="M5" s="370"/>
      <c r="N5" s="370"/>
      <c r="O5" s="370"/>
      <c r="P5" s="370"/>
      <c r="Q5" s="467"/>
      <c r="R5" s="164" t="s">
        <v>48</v>
      </c>
      <c r="S5" s="164" t="s">
        <v>7</v>
      </c>
      <c r="T5" s="377"/>
      <c r="U5" s="165" t="s">
        <v>48</v>
      </c>
      <c r="V5" s="165" t="s">
        <v>7</v>
      </c>
      <c r="W5" s="377"/>
      <c r="X5" s="165" t="s">
        <v>48</v>
      </c>
      <c r="Y5" s="165" t="s">
        <v>7</v>
      </c>
      <c r="Z5" s="377"/>
      <c r="AA5" s="195" t="s">
        <v>48</v>
      </c>
      <c r="AB5" s="195" t="s">
        <v>7</v>
      </c>
      <c r="AC5" s="454"/>
      <c r="AD5" s="399"/>
      <c r="AE5" s="196" t="s">
        <v>192</v>
      </c>
      <c r="AF5" s="197" t="s">
        <v>193</v>
      </c>
      <c r="AG5" s="397"/>
      <c r="AH5" s="397"/>
      <c r="AI5" s="456"/>
      <c r="AJ5" s="380"/>
      <c r="AK5" s="380"/>
      <c r="AL5" s="380"/>
      <c r="AM5" s="380"/>
      <c r="AN5" s="380"/>
      <c r="AO5" s="380"/>
      <c r="AP5" s="383"/>
      <c r="AQ5" s="383"/>
      <c r="AR5" s="383"/>
      <c r="AS5" s="383"/>
      <c r="AT5" s="383"/>
      <c r="AU5" s="434"/>
      <c r="AV5" s="434"/>
      <c r="AW5" s="434"/>
      <c r="AX5" s="383"/>
      <c r="AY5" s="383"/>
      <c r="AZ5" s="383"/>
      <c r="BA5" s="383"/>
      <c r="BB5" s="383"/>
      <c r="BC5" s="383"/>
      <c r="BD5" s="383"/>
      <c r="BE5" s="383"/>
      <c r="BF5" s="383"/>
      <c r="BG5" s="113" t="s">
        <v>74</v>
      </c>
      <c r="BH5" s="113" t="s">
        <v>8</v>
      </c>
      <c r="BI5" s="114" t="s">
        <v>9</v>
      </c>
      <c r="BJ5" s="405"/>
      <c r="BK5" s="406"/>
      <c r="BL5" s="406"/>
      <c r="BM5" s="405"/>
      <c r="BN5" s="406"/>
      <c r="BO5" s="406"/>
      <c r="BP5" s="419"/>
      <c r="BQ5" s="397"/>
      <c r="BR5" s="397"/>
      <c r="BS5" s="418"/>
      <c r="BT5" s="418"/>
      <c r="BU5" s="387"/>
      <c r="BV5" s="387"/>
      <c r="BW5" s="387"/>
      <c r="BX5" s="416"/>
      <c r="BY5" s="252" t="s">
        <v>341</v>
      </c>
      <c r="BZ5" s="252" t="s">
        <v>342</v>
      </c>
      <c r="CA5" s="452"/>
      <c r="CB5" s="459"/>
      <c r="CC5" s="185" t="s">
        <v>188</v>
      </c>
      <c r="CD5" s="185" t="s">
        <v>189</v>
      </c>
      <c r="CE5" s="185" t="s">
        <v>188</v>
      </c>
      <c r="CF5" s="185" t="s">
        <v>189</v>
      </c>
      <c r="CG5" s="185" t="s">
        <v>188</v>
      </c>
      <c r="CH5" s="185" t="s">
        <v>189</v>
      </c>
      <c r="CI5" s="453"/>
      <c r="CJ5" s="309" t="s">
        <v>188</v>
      </c>
      <c r="CK5" s="309" t="s">
        <v>348</v>
      </c>
      <c r="CL5" s="242" t="s">
        <v>349</v>
      </c>
      <c r="CM5" s="308" t="s">
        <v>188</v>
      </c>
      <c r="CN5" s="308" t="s">
        <v>350</v>
      </c>
      <c r="CO5" s="242" t="s">
        <v>351</v>
      </c>
      <c r="CP5" s="473"/>
      <c r="CQ5" s="473"/>
      <c r="CR5" s="473"/>
      <c r="CS5" s="473"/>
      <c r="CT5" s="473"/>
      <c r="CU5" s="473"/>
      <c r="CV5" s="473"/>
      <c r="CW5" s="473"/>
      <c r="CX5" s="443"/>
      <c r="CY5" s="445"/>
      <c r="CZ5" s="443"/>
      <c r="DA5" s="443"/>
      <c r="DB5" s="240" t="s">
        <v>331</v>
      </c>
      <c r="DC5" s="240" t="s">
        <v>332</v>
      </c>
      <c r="DD5" s="241" t="s">
        <v>333</v>
      </c>
      <c r="DE5" s="241" t="s">
        <v>334</v>
      </c>
      <c r="DF5" s="240" t="s">
        <v>335</v>
      </c>
      <c r="DG5" s="241" t="s">
        <v>333</v>
      </c>
      <c r="DH5" s="241" t="s">
        <v>334</v>
      </c>
      <c r="DI5" s="240" t="s">
        <v>331</v>
      </c>
      <c r="DJ5" s="240" t="s">
        <v>332</v>
      </c>
      <c r="DK5" s="241" t="s">
        <v>333</v>
      </c>
      <c r="DL5" s="241" t="s">
        <v>334</v>
      </c>
      <c r="DM5" s="240" t="s">
        <v>335</v>
      </c>
      <c r="DN5" s="241" t="s">
        <v>333</v>
      </c>
      <c r="DO5" s="241" t="s">
        <v>334</v>
      </c>
      <c r="DP5" s="241" t="s">
        <v>325</v>
      </c>
      <c r="DQ5" s="241" t="s">
        <v>336</v>
      </c>
    </row>
    <row r="6" spans="1:121" s="148" customFormat="1" x14ac:dyDescent="0.2">
      <c r="A6" s="146"/>
      <c r="B6" s="147"/>
      <c r="C6" s="147">
        <v>1</v>
      </c>
      <c r="D6" s="147">
        <v>2</v>
      </c>
      <c r="E6" s="147"/>
      <c r="F6" s="147">
        <v>4</v>
      </c>
      <c r="G6" s="147">
        <v>5</v>
      </c>
      <c r="H6" s="147">
        <v>6</v>
      </c>
      <c r="I6" s="147">
        <v>7</v>
      </c>
      <c r="J6" s="147">
        <v>8</v>
      </c>
      <c r="K6" s="147">
        <v>9</v>
      </c>
      <c r="L6" s="147">
        <v>10</v>
      </c>
      <c r="M6" s="147">
        <v>11</v>
      </c>
      <c r="N6" s="147">
        <v>12</v>
      </c>
      <c r="O6" s="147">
        <v>13</v>
      </c>
      <c r="P6" s="147">
        <v>14</v>
      </c>
      <c r="Q6" s="147">
        <v>15</v>
      </c>
      <c r="R6" s="147">
        <v>16</v>
      </c>
      <c r="S6" s="147">
        <v>17</v>
      </c>
      <c r="T6" s="147">
        <v>18</v>
      </c>
      <c r="U6" s="147">
        <v>19</v>
      </c>
      <c r="V6" s="147">
        <v>20</v>
      </c>
      <c r="W6" s="147">
        <v>21</v>
      </c>
      <c r="X6" s="147">
        <v>22</v>
      </c>
      <c r="Y6" s="147">
        <v>23</v>
      </c>
      <c r="Z6" s="147">
        <v>24</v>
      </c>
      <c r="AA6" s="147">
        <v>25</v>
      </c>
      <c r="AB6" s="147">
        <v>26</v>
      </c>
      <c r="AC6" s="147">
        <v>27</v>
      </c>
      <c r="AD6" s="147">
        <v>28</v>
      </c>
      <c r="AE6" s="147">
        <v>29</v>
      </c>
      <c r="AF6" s="147">
        <v>30</v>
      </c>
      <c r="AG6" s="147">
        <v>31</v>
      </c>
      <c r="AH6" s="147">
        <v>32</v>
      </c>
      <c r="AI6" s="147">
        <v>33</v>
      </c>
      <c r="AJ6" s="147">
        <v>34</v>
      </c>
      <c r="AK6" s="147">
        <v>35</v>
      </c>
      <c r="AL6" s="147">
        <v>36</v>
      </c>
      <c r="AM6" s="147">
        <v>37</v>
      </c>
      <c r="AN6" s="147">
        <v>38</v>
      </c>
      <c r="AO6" s="147">
        <v>39</v>
      </c>
      <c r="AP6" s="147">
        <v>40</v>
      </c>
      <c r="AQ6" s="147">
        <v>41</v>
      </c>
      <c r="AR6" s="147">
        <v>42</v>
      </c>
      <c r="AS6" s="147">
        <v>43</v>
      </c>
      <c r="AT6" s="147">
        <v>44</v>
      </c>
      <c r="AU6" s="147">
        <v>45</v>
      </c>
      <c r="AV6" s="147">
        <v>46</v>
      </c>
      <c r="AW6" s="147">
        <v>47</v>
      </c>
      <c r="AX6" s="147">
        <v>48</v>
      </c>
      <c r="AY6" s="147">
        <v>49</v>
      </c>
      <c r="AZ6" s="147">
        <v>50</v>
      </c>
      <c r="BA6" s="147">
        <v>51</v>
      </c>
      <c r="BB6" s="147">
        <v>52</v>
      </c>
      <c r="BC6" s="147">
        <v>53</v>
      </c>
      <c r="BD6" s="147">
        <v>54</v>
      </c>
      <c r="BE6" s="147">
        <v>55</v>
      </c>
      <c r="BF6" s="147">
        <v>56</v>
      </c>
      <c r="BG6" s="147">
        <v>57</v>
      </c>
      <c r="BH6" s="147">
        <v>58</v>
      </c>
      <c r="BI6" s="147">
        <v>59</v>
      </c>
      <c r="BJ6" s="147">
        <v>60</v>
      </c>
      <c r="BK6" s="147">
        <v>61</v>
      </c>
      <c r="BL6" s="147">
        <v>62</v>
      </c>
      <c r="BM6" s="147">
        <v>63</v>
      </c>
      <c r="BN6" s="147">
        <v>64</v>
      </c>
      <c r="BO6" s="147">
        <v>65</v>
      </c>
      <c r="BP6" s="147">
        <v>66</v>
      </c>
      <c r="BQ6" s="147">
        <v>67</v>
      </c>
      <c r="BR6" s="147">
        <v>68</v>
      </c>
      <c r="BS6" s="147">
        <v>69</v>
      </c>
      <c r="BT6" s="147">
        <v>70</v>
      </c>
      <c r="BU6" s="147">
        <v>71</v>
      </c>
      <c r="BV6" s="147">
        <v>72</v>
      </c>
      <c r="BW6" s="147">
        <v>73</v>
      </c>
      <c r="BX6" s="147">
        <v>74</v>
      </c>
      <c r="BY6" s="147">
        <v>75</v>
      </c>
      <c r="BZ6" s="147">
        <v>76</v>
      </c>
      <c r="CA6" s="147">
        <v>77</v>
      </c>
      <c r="CB6" s="147">
        <v>78</v>
      </c>
      <c r="CC6" s="147">
        <v>79</v>
      </c>
      <c r="CD6" s="147">
        <v>80</v>
      </c>
      <c r="CE6" s="147">
        <v>81</v>
      </c>
      <c r="CF6" s="147">
        <v>82</v>
      </c>
      <c r="CG6" s="147">
        <v>83</v>
      </c>
      <c r="CH6" s="147">
        <v>84</v>
      </c>
      <c r="CI6" s="147">
        <v>85</v>
      </c>
      <c r="CJ6" s="147">
        <v>86</v>
      </c>
      <c r="CK6" s="147">
        <v>87</v>
      </c>
      <c r="CL6" s="147">
        <v>88</v>
      </c>
      <c r="CM6" s="147">
        <v>89</v>
      </c>
      <c r="CN6" s="147">
        <v>90</v>
      </c>
      <c r="CO6" s="147">
        <v>91</v>
      </c>
      <c r="CP6" s="147">
        <v>92</v>
      </c>
      <c r="CQ6" s="147">
        <v>93</v>
      </c>
      <c r="CR6" s="147">
        <v>94</v>
      </c>
      <c r="CS6" s="147">
        <v>95</v>
      </c>
      <c r="CT6" s="147">
        <v>96</v>
      </c>
      <c r="CU6" s="147">
        <v>97</v>
      </c>
      <c r="CV6" s="147">
        <v>98</v>
      </c>
      <c r="CW6" s="147">
        <v>99</v>
      </c>
      <c r="CX6" s="147">
        <v>100</v>
      </c>
      <c r="CY6" s="147">
        <v>101</v>
      </c>
      <c r="CZ6" s="147">
        <v>102</v>
      </c>
      <c r="DA6" s="147">
        <v>103</v>
      </c>
      <c r="DB6" s="147">
        <v>104</v>
      </c>
      <c r="DC6" s="147">
        <v>105</v>
      </c>
      <c r="DD6" s="147">
        <v>106</v>
      </c>
      <c r="DE6" s="147">
        <v>107</v>
      </c>
      <c r="DF6" s="147">
        <v>108</v>
      </c>
      <c r="DG6" s="147">
        <v>109</v>
      </c>
      <c r="DH6" s="147">
        <v>110</v>
      </c>
      <c r="DI6" s="147">
        <v>111</v>
      </c>
      <c r="DJ6" s="147">
        <v>112</v>
      </c>
      <c r="DK6" s="147">
        <v>113</v>
      </c>
      <c r="DL6" s="147">
        <v>114</v>
      </c>
      <c r="DM6" s="147">
        <v>115</v>
      </c>
      <c r="DN6" s="147">
        <v>116</v>
      </c>
      <c r="DO6" s="147">
        <v>117</v>
      </c>
      <c r="DP6" s="147">
        <v>118</v>
      </c>
      <c r="DQ6" s="147">
        <v>119</v>
      </c>
    </row>
    <row r="7" spans="1:121" hidden="1" outlineLevel="1" x14ac:dyDescent="0.2">
      <c r="A7" s="91"/>
      <c r="B7" s="11"/>
      <c r="C7" s="12"/>
      <c r="D7" s="46"/>
      <c r="E7" s="11"/>
      <c r="F7" s="11"/>
      <c r="G7" s="46"/>
      <c r="H7" s="89"/>
      <c r="I7" s="11"/>
      <c r="J7" s="46"/>
      <c r="K7" s="46"/>
      <c r="L7" s="46"/>
      <c r="M7" s="46"/>
      <c r="N7" s="46"/>
      <c r="O7" s="46"/>
      <c r="P7" s="46"/>
      <c r="Q7" s="126"/>
      <c r="R7" s="47"/>
      <c r="S7" s="47"/>
      <c r="T7" s="46"/>
      <c r="U7" s="46"/>
      <c r="V7" s="46"/>
      <c r="W7" s="46"/>
      <c r="X7" s="46"/>
      <c r="Y7" s="46"/>
      <c r="Z7" s="46"/>
      <c r="AA7" s="46"/>
      <c r="AB7" s="46"/>
      <c r="AC7" s="46"/>
      <c r="AD7" s="47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90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84"/>
      <c r="BZ7" s="84"/>
      <c r="CJ7" s="216" t="e">
        <f>IF(AND(X7/R7*100&gt;=50), G7, "-")</f>
        <v>#DIV/0!</v>
      </c>
      <c r="CK7" s="216" t="e">
        <f>IF(AND(X7/R7*100&gt;=50), R7, "-")</f>
        <v>#DIV/0!</v>
      </c>
      <c r="CL7" s="221" t="e">
        <f>X7/R7*100</f>
        <v>#DIV/0!</v>
      </c>
      <c r="CM7" s="283"/>
      <c r="CN7" s="283"/>
      <c r="CO7" s="283"/>
    </row>
    <row r="8" spans="1:121" hidden="1" outlineLevel="1" x14ac:dyDescent="0.2">
      <c r="A8" s="92"/>
      <c r="B8" s="8"/>
      <c r="C8" s="10"/>
      <c r="D8" s="93"/>
      <c r="E8" s="8"/>
      <c r="F8" s="8"/>
      <c r="G8" s="93"/>
      <c r="H8" s="94"/>
      <c r="I8" s="8"/>
      <c r="J8" s="93"/>
      <c r="K8" s="93"/>
      <c r="L8" s="93"/>
      <c r="M8" s="93"/>
      <c r="N8" s="93"/>
      <c r="O8" s="93"/>
      <c r="P8" s="93"/>
      <c r="Q8" s="127"/>
      <c r="R8" s="95"/>
      <c r="S8" s="95"/>
      <c r="T8" s="93"/>
      <c r="U8" s="93"/>
      <c r="V8" s="93"/>
      <c r="W8" s="93"/>
      <c r="X8" s="93"/>
      <c r="Y8" s="93"/>
      <c r="Z8" s="93"/>
      <c r="AA8" s="93"/>
      <c r="AB8" s="93"/>
      <c r="AC8" s="93"/>
      <c r="AD8" s="95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</row>
    <row r="9" spans="1:121" s="7" customFormat="1" hidden="1" outlineLevel="1" x14ac:dyDescent="0.2">
      <c r="B9" s="11"/>
      <c r="C9" s="11"/>
      <c r="D9" s="46"/>
      <c r="E9" s="96"/>
      <c r="F9" s="96"/>
      <c r="G9" s="46"/>
      <c r="H9" s="46"/>
      <c r="I9" s="46"/>
      <c r="J9" s="46"/>
      <c r="K9" s="46"/>
      <c r="L9" s="46"/>
      <c r="M9" s="46"/>
      <c r="N9" s="46"/>
      <c r="O9" s="46"/>
      <c r="P9" s="46"/>
      <c r="Q9" s="12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Y9" s="84"/>
      <c r="BZ9" s="84"/>
      <c r="CL9" s="222"/>
      <c r="CM9" s="222"/>
      <c r="CN9" s="222"/>
      <c r="CO9" s="222"/>
    </row>
    <row r="10" spans="1:121" s="7" customFormat="1" hidden="1" outlineLevel="1" x14ac:dyDescent="0.2">
      <c r="B10" s="11"/>
      <c r="C10" s="11"/>
      <c r="D10" s="46"/>
      <c r="E10" s="96"/>
      <c r="F10" s="96"/>
      <c r="G10" s="46"/>
      <c r="H10" s="46"/>
      <c r="I10" s="46"/>
      <c r="J10" s="46"/>
      <c r="K10" s="97"/>
      <c r="L10" s="46"/>
      <c r="M10" s="46"/>
      <c r="N10" s="46"/>
      <c r="O10" s="46"/>
      <c r="P10" s="46"/>
      <c r="Q10" s="12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Y10" s="84"/>
      <c r="BZ10" s="84"/>
      <c r="CL10" s="222"/>
      <c r="CM10" s="222"/>
      <c r="CN10" s="222"/>
      <c r="CO10" s="222"/>
    </row>
    <row r="11" spans="1:121" s="7" customFormat="1" hidden="1" outlineLevel="1" x14ac:dyDescent="0.2">
      <c r="B11" s="11"/>
      <c r="C11" s="11"/>
      <c r="D11" s="46"/>
      <c r="E11" s="96"/>
      <c r="F11" s="9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12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Y11" s="84"/>
      <c r="BZ11" s="84"/>
      <c r="CL11" s="222"/>
      <c r="CM11" s="222"/>
      <c r="CN11" s="222"/>
      <c r="CO11" s="222"/>
    </row>
    <row r="12" spans="1:121" s="7" customFormat="1" hidden="1" outlineLevel="1" x14ac:dyDescent="0.2">
      <c r="B12" s="98"/>
      <c r="C12" s="98"/>
      <c r="D12" s="99"/>
      <c r="E12" s="60"/>
      <c r="F12" s="60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128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Y12" s="84"/>
      <c r="BZ12" s="84"/>
      <c r="CL12" s="222"/>
      <c r="CM12" s="222"/>
      <c r="CN12" s="222"/>
      <c r="CO12" s="222"/>
    </row>
    <row r="13" spans="1:121" s="7" customFormat="1" hidden="1" outlineLevel="1" x14ac:dyDescent="0.2">
      <c r="B13" s="15"/>
      <c r="C13" s="15"/>
      <c r="D13" s="28"/>
      <c r="E13" s="49"/>
      <c r="F13" s="49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129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Y13" s="84"/>
      <c r="BZ13" s="84"/>
      <c r="CL13" s="222"/>
      <c r="CM13" s="222"/>
      <c r="CN13" s="222"/>
      <c r="CO13" s="222"/>
    </row>
    <row r="14" spans="1:121" s="7" customFormat="1" hidden="1" outlineLevel="1" x14ac:dyDescent="0.2">
      <c r="B14" s="15"/>
      <c r="C14" s="15"/>
      <c r="D14" s="28"/>
      <c r="E14" s="49"/>
      <c r="F14" s="49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129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Y14" s="84"/>
      <c r="BZ14" s="84"/>
      <c r="CL14" s="222"/>
      <c r="CM14" s="222"/>
      <c r="CN14" s="222"/>
      <c r="CO14" s="222"/>
    </row>
    <row r="15" spans="1:121" s="7" customFormat="1" hidden="1" outlineLevel="1" x14ac:dyDescent="0.2">
      <c r="B15" s="15"/>
      <c r="C15" s="15"/>
      <c r="D15" s="28"/>
      <c r="E15" s="49"/>
      <c r="F15" s="49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129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Y15" s="84"/>
      <c r="BZ15" s="84"/>
      <c r="CL15" s="222"/>
      <c r="CM15" s="222"/>
      <c r="CN15" s="222"/>
      <c r="CO15" s="222"/>
    </row>
    <row r="16" spans="1:121" s="7" customFormat="1" hidden="1" outlineLevel="1" x14ac:dyDescent="0.2">
      <c r="B16" s="15"/>
      <c r="C16" s="15"/>
      <c r="D16" s="28"/>
      <c r="E16" s="49"/>
      <c r="F16" s="49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129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Y16" s="84"/>
      <c r="BZ16" s="84"/>
      <c r="CL16" s="222"/>
      <c r="CM16" s="222"/>
      <c r="CN16" s="222"/>
      <c r="CO16" s="222"/>
    </row>
    <row r="17" spans="2:93" s="7" customFormat="1" hidden="1" outlineLevel="1" x14ac:dyDescent="0.2">
      <c r="B17" s="15"/>
      <c r="C17" s="15"/>
      <c r="D17" s="28"/>
      <c r="E17" s="49"/>
      <c r="F17" s="49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129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Y17" s="84"/>
      <c r="BZ17" s="84"/>
      <c r="CL17" s="222"/>
      <c r="CM17" s="222"/>
      <c r="CN17" s="222"/>
      <c r="CO17" s="222"/>
    </row>
    <row r="18" spans="2:93" s="7" customFormat="1" hidden="1" outlineLevel="1" x14ac:dyDescent="0.2">
      <c r="B18" s="15"/>
      <c r="C18" s="15"/>
      <c r="D18" s="28"/>
      <c r="E18" s="49"/>
      <c r="F18" s="49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129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Y18" s="84"/>
      <c r="BZ18" s="84"/>
      <c r="CL18" s="222"/>
      <c r="CM18" s="222"/>
      <c r="CN18" s="222"/>
      <c r="CO18" s="222"/>
    </row>
    <row r="19" spans="2:93" s="7" customFormat="1" hidden="1" outlineLevel="1" x14ac:dyDescent="0.2">
      <c r="B19" s="15"/>
      <c r="C19" s="15"/>
      <c r="D19" s="28"/>
      <c r="E19" s="49"/>
      <c r="F19" s="49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129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Y19" s="84"/>
      <c r="BZ19" s="84"/>
      <c r="CL19" s="222"/>
      <c r="CM19" s="222"/>
      <c r="CN19" s="222"/>
      <c r="CO19" s="222"/>
    </row>
    <row r="20" spans="2:93" s="7" customFormat="1" hidden="1" outlineLevel="1" x14ac:dyDescent="0.2">
      <c r="B20" s="15"/>
      <c r="C20" s="15"/>
      <c r="D20" s="28"/>
      <c r="E20" s="49"/>
      <c r="F20" s="49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129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Y20" s="84"/>
      <c r="BZ20" s="84"/>
      <c r="CL20" s="222"/>
      <c r="CM20" s="222"/>
      <c r="CN20" s="222"/>
      <c r="CO20" s="222"/>
    </row>
    <row r="21" spans="2:93" s="7" customFormat="1" hidden="1" outlineLevel="1" x14ac:dyDescent="0.2">
      <c r="B21" s="15"/>
      <c r="C21" s="15"/>
      <c r="D21" s="28"/>
      <c r="E21" s="49"/>
      <c r="F21" s="49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129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Y21" s="84"/>
      <c r="BZ21" s="84"/>
      <c r="CL21" s="222"/>
      <c r="CM21" s="222"/>
      <c r="CN21" s="222"/>
      <c r="CO21" s="222"/>
    </row>
    <row r="22" spans="2:93" s="7" customFormat="1" hidden="1" outlineLevel="1" x14ac:dyDescent="0.2">
      <c r="B22" s="15"/>
      <c r="C22" s="15"/>
      <c r="D22" s="28"/>
      <c r="E22" s="49"/>
      <c r="F22" s="49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129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Y22" s="84"/>
      <c r="BZ22" s="84"/>
      <c r="CL22" s="222"/>
      <c r="CM22" s="222"/>
      <c r="CN22" s="222"/>
      <c r="CO22" s="222"/>
    </row>
    <row r="23" spans="2:93" s="7" customFormat="1" hidden="1" outlineLevel="1" x14ac:dyDescent="0.2">
      <c r="B23" s="15"/>
      <c r="C23" s="15"/>
      <c r="D23" s="28"/>
      <c r="E23" s="49"/>
      <c r="F23" s="49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129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Y23" s="84"/>
      <c r="BZ23" s="84"/>
      <c r="CL23" s="222"/>
      <c r="CM23" s="222"/>
      <c r="CN23" s="222"/>
      <c r="CO23" s="222"/>
    </row>
    <row r="24" spans="2:93" s="7" customFormat="1" hidden="1" outlineLevel="1" x14ac:dyDescent="0.2">
      <c r="B24" s="15"/>
      <c r="C24" s="15"/>
      <c r="D24" s="28"/>
      <c r="E24" s="49"/>
      <c r="F24" s="49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129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Y24" s="84"/>
      <c r="BZ24" s="84"/>
      <c r="CL24" s="222"/>
      <c r="CM24" s="222"/>
      <c r="CN24" s="222"/>
      <c r="CO24" s="222"/>
    </row>
    <row r="25" spans="2:93" s="7" customFormat="1" hidden="1" outlineLevel="1" x14ac:dyDescent="0.2">
      <c r="B25" s="15"/>
      <c r="C25" s="15"/>
      <c r="D25" s="28"/>
      <c r="E25" s="49"/>
      <c r="F25" s="49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129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Y25" s="84"/>
      <c r="BZ25" s="84"/>
      <c r="CL25" s="222"/>
      <c r="CM25" s="222"/>
      <c r="CN25" s="222"/>
      <c r="CO25" s="222"/>
    </row>
    <row r="26" spans="2:93" s="7" customFormat="1" hidden="1" outlineLevel="1" x14ac:dyDescent="0.2">
      <c r="B26" s="15"/>
      <c r="C26" s="15"/>
      <c r="D26" s="28"/>
      <c r="E26" s="49"/>
      <c r="F26" s="49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129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Y26" s="84"/>
      <c r="BZ26" s="84"/>
      <c r="CL26" s="222"/>
      <c r="CM26" s="222"/>
      <c r="CN26" s="222"/>
      <c r="CO26" s="222"/>
    </row>
    <row r="27" spans="2:93" s="7" customFormat="1" hidden="1" outlineLevel="1" x14ac:dyDescent="0.2">
      <c r="B27" s="15"/>
      <c r="C27" s="15"/>
      <c r="D27" s="28"/>
      <c r="E27" s="49"/>
      <c r="F27" s="49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129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Y27" s="84"/>
      <c r="BZ27" s="84"/>
      <c r="CL27" s="222"/>
      <c r="CM27" s="222"/>
      <c r="CN27" s="222"/>
      <c r="CO27" s="222"/>
    </row>
    <row r="28" spans="2:93" s="7" customFormat="1" hidden="1" outlineLevel="1" x14ac:dyDescent="0.2">
      <c r="B28" s="15"/>
      <c r="C28" s="15"/>
      <c r="D28" s="28"/>
      <c r="E28" s="49"/>
      <c r="F28" s="49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129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Y28" s="84"/>
      <c r="BZ28" s="84"/>
      <c r="CL28" s="222"/>
      <c r="CM28" s="222"/>
      <c r="CN28" s="222"/>
      <c r="CO28" s="222"/>
    </row>
    <row r="29" spans="2:93" s="7" customFormat="1" hidden="1" outlineLevel="1" x14ac:dyDescent="0.2">
      <c r="B29" s="15"/>
      <c r="C29" s="15"/>
      <c r="D29" s="28"/>
      <c r="E29" s="49"/>
      <c r="F29" s="49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129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Y29" s="84"/>
      <c r="BZ29" s="84"/>
      <c r="CL29" s="222"/>
      <c r="CM29" s="222"/>
      <c r="CN29" s="222"/>
      <c r="CO29" s="222"/>
    </row>
    <row r="30" spans="2:93" s="7" customFormat="1" hidden="1" outlineLevel="1" x14ac:dyDescent="0.2">
      <c r="B30" s="15"/>
      <c r="C30" s="15"/>
      <c r="D30" s="28"/>
      <c r="E30" s="49"/>
      <c r="F30" s="49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129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Y30" s="84"/>
      <c r="BZ30" s="84"/>
      <c r="CL30" s="222"/>
      <c r="CM30" s="222"/>
      <c r="CN30" s="222"/>
      <c r="CO30" s="222"/>
    </row>
    <row r="31" spans="2:93" s="7" customFormat="1" hidden="1" outlineLevel="1" x14ac:dyDescent="0.2">
      <c r="B31" s="15"/>
      <c r="C31" s="15"/>
      <c r="D31" s="28"/>
      <c r="E31" s="49"/>
      <c r="F31" s="49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129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Y31" s="84"/>
      <c r="BZ31" s="84"/>
      <c r="CL31" s="222"/>
      <c r="CM31" s="222"/>
      <c r="CN31" s="222"/>
      <c r="CO31" s="222"/>
    </row>
    <row r="32" spans="2:93" s="7" customFormat="1" hidden="1" outlineLevel="1" x14ac:dyDescent="0.2">
      <c r="B32" s="15"/>
      <c r="C32" s="15"/>
      <c r="D32" s="28"/>
      <c r="E32" s="49"/>
      <c r="F32" s="49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129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Y32" s="84"/>
      <c r="BZ32" s="84"/>
      <c r="CL32" s="222"/>
      <c r="CM32" s="222"/>
      <c r="CN32" s="222"/>
      <c r="CO32" s="222"/>
    </row>
    <row r="33" spans="2:93" s="7" customFormat="1" hidden="1" outlineLevel="1" x14ac:dyDescent="0.2">
      <c r="B33" s="15"/>
      <c r="C33" s="15"/>
      <c r="D33" s="28"/>
      <c r="E33" s="49"/>
      <c r="F33" s="49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129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Y33" s="84"/>
      <c r="BZ33" s="84"/>
      <c r="CL33" s="222"/>
      <c r="CM33" s="222"/>
      <c r="CN33" s="222"/>
      <c r="CO33" s="222"/>
    </row>
    <row r="34" spans="2:93" s="7" customFormat="1" hidden="1" outlineLevel="1" x14ac:dyDescent="0.2">
      <c r="B34" s="15"/>
      <c r="C34" s="15"/>
      <c r="D34" s="28"/>
      <c r="E34" s="49"/>
      <c r="F34" s="49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129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Y34" s="84"/>
      <c r="BZ34" s="84"/>
      <c r="CL34" s="222"/>
      <c r="CM34" s="222"/>
      <c r="CN34" s="222"/>
      <c r="CO34" s="222"/>
    </row>
    <row r="35" spans="2:93" s="7" customFormat="1" hidden="1" outlineLevel="1" x14ac:dyDescent="0.2">
      <c r="B35" s="15"/>
      <c r="C35" s="15"/>
      <c r="D35" s="28"/>
      <c r="E35" s="49"/>
      <c r="F35" s="49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129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Y35" s="84"/>
      <c r="BZ35" s="84"/>
      <c r="CL35" s="222"/>
      <c r="CM35" s="222"/>
      <c r="CN35" s="222"/>
      <c r="CO35" s="222"/>
    </row>
    <row r="36" spans="2:93" s="7" customFormat="1" hidden="1" outlineLevel="1" x14ac:dyDescent="0.2">
      <c r="B36" s="15"/>
      <c r="C36" s="15"/>
      <c r="D36" s="28"/>
      <c r="E36" s="49"/>
      <c r="F36" s="49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129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Y36" s="84"/>
      <c r="BZ36" s="84"/>
      <c r="CL36" s="222"/>
      <c r="CM36" s="222"/>
      <c r="CN36" s="222"/>
      <c r="CO36" s="222"/>
    </row>
    <row r="37" spans="2:93" s="7" customFormat="1" hidden="1" outlineLevel="1" x14ac:dyDescent="0.2">
      <c r="B37" s="15"/>
      <c r="C37" s="15"/>
      <c r="D37" s="28"/>
      <c r="E37" s="49"/>
      <c r="F37" s="4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129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Y37" s="84"/>
      <c r="BZ37" s="84"/>
      <c r="CL37" s="222"/>
      <c r="CM37" s="222"/>
      <c r="CN37" s="222"/>
      <c r="CO37" s="222"/>
    </row>
    <row r="38" spans="2:93" s="7" customFormat="1" hidden="1" outlineLevel="1" x14ac:dyDescent="0.2">
      <c r="B38" s="15"/>
      <c r="C38" s="15"/>
      <c r="D38" s="28"/>
      <c r="E38" s="49"/>
      <c r="F38" s="49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129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Y38" s="84"/>
      <c r="BZ38" s="84"/>
      <c r="CL38" s="222"/>
      <c r="CM38" s="222"/>
      <c r="CN38" s="222"/>
      <c r="CO38" s="222"/>
    </row>
    <row r="39" spans="2:93" s="7" customFormat="1" hidden="1" outlineLevel="1" x14ac:dyDescent="0.2">
      <c r="B39" s="15"/>
      <c r="C39" s="15"/>
      <c r="D39" s="28"/>
      <c r="E39" s="49"/>
      <c r="F39" s="49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129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Y39" s="84"/>
      <c r="BZ39" s="84"/>
      <c r="CL39" s="222"/>
      <c r="CM39" s="222"/>
      <c r="CN39" s="222"/>
      <c r="CO39" s="222"/>
    </row>
    <row r="40" spans="2:93" s="7" customFormat="1" hidden="1" outlineLevel="1" x14ac:dyDescent="0.2">
      <c r="B40" s="15"/>
      <c r="C40" s="15"/>
      <c r="D40" s="28"/>
      <c r="E40" s="49"/>
      <c r="F40" s="49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129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Y40" s="84"/>
      <c r="BZ40" s="84"/>
      <c r="CL40" s="222"/>
      <c r="CM40" s="222"/>
      <c r="CN40" s="222"/>
      <c r="CO40" s="222"/>
    </row>
    <row r="41" spans="2:93" s="7" customFormat="1" hidden="1" outlineLevel="1" x14ac:dyDescent="0.2">
      <c r="B41" s="15"/>
      <c r="C41" s="15"/>
      <c r="D41" s="28"/>
      <c r="E41" s="49"/>
      <c r="F41" s="49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129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Y41" s="84"/>
      <c r="BZ41" s="84"/>
      <c r="CL41" s="222"/>
      <c r="CM41" s="222"/>
      <c r="CN41" s="222"/>
      <c r="CO41" s="222"/>
    </row>
    <row r="42" spans="2:93" s="7" customFormat="1" hidden="1" outlineLevel="1" x14ac:dyDescent="0.2">
      <c r="B42" s="15"/>
      <c r="C42" s="15"/>
      <c r="D42" s="28"/>
      <c r="E42" s="49"/>
      <c r="F42" s="49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29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Y42" s="84"/>
      <c r="BZ42" s="84"/>
      <c r="CL42" s="222"/>
      <c r="CM42" s="222"/>
      <c r="CN42" s="222"/>
      <c r="CO42" s="222"/>
    </row>
    <row r="43" spans="2:93" s="7" customFormat="1" hidden="1" outlineLevel="1" x14ac:dyDescent="0.2">
      <c r="B43" s="15"/>
      <c r="C43" s="15"/>
      <c r="D43" s="28"/>
      <c r="E43" s="49"/>
      <c r="F43" s="49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129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Y43" s="84"/>
      <c r="BZ43" s="84"/>
      <c r="CL43" s="222"/>
      <c r="CM43" s="222"/>
      <c r="CN43" s="222"/>
      <c r="CO43" s="222"/>
    </row>
    <row r="44" spans="2:93" s="7" customFormat="1" hidden="1" outlineLevel="1" x14ac:dyDescent="0.2">
      <c r="B44" s="15"/>
      <c r="C44" s="15"/>
      <c r="D44" s="28"/>
      <c r="E44" s="49"/>
      <c r="F44" s="49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129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Y44" s="84"/>
      <c r="BZ44" s="84"/>
      <c r="CL44" s="222"/>
      <c r="CM44" s="222"/>
      <c r="CN44" s="222"/>
      <c r="CO44" s="222"/>
    </row>
    <row r="45" spans="2:93" s="7" customFormat="1" hidden="1" outlineLevel="1" x14ac:dyDescent="0.2">
      <c r="B45" s="15"/>
      <c r="C45" s="15"/>
      <c r="D45" s="28"/>
      <c r="E45" s="49"/>
      <c r="F45" s="49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129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Y45" s="84"/>
      <c r="BZ45" s="84"/>
      <c r="CL45" s="222"/>
      <c r="CM45" s="222"/>
      <c r="CN45" s="222"/>
      <c r="CO45" s="222"/>
    </row>
    <row r="46" spans="2:93" s="7" customFormat="1" hidden="1" outlineLevel="1" x14ac:dyDescent="0.2">
      <c r="B46" s="15"/>
      <c r="C46" s="15"/>
      <c r="D46" s="28"/>
      <c r="E46" s="49"/>
      <c r="F46" s="49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129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Y46" s="84"/>
      <c r="BZ46" s="84"/>
      <c r="CL46" s="222"/>
      <c r="CM46" s="222"/>
      <c r="CN46" s="222"/>
      <c r="CO46" s="222"/>
    </row>
    <row r="47" spans="2:93" s="7" customFormat="1" hidden="1" outlineLevel="1" x14ac:dyDescent="0.2">
      <c r="B47" s="15"/>
      <c r="C47" s="15"/>
      <c r="D47" s="28"/>
      <c r="E47" s="49"/>
      <c r="F47" s="49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129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Y47" s="84"/>
      <c r="BZ47" s="84"/>
      <c r="CL47" s="222"/>
      <c r="CM47" s="222"/>
      <c r="CN47" s="222"/>
      <c r="CO47" s="222"/>
    </row>
    <row r="48" spans="2:93" s="7" customFormat="1" hidden="1" outlineLevel="1" x14ac:dyDescent="0.2">
      <c r="B48" s="15"/>
      <c r="C48" s="15"/>
      <c r="D48" s="28"/>
      <c r="E48" s="49"/>
      <c r="F48" s="49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129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Y48" s="84"/>
      <c r="BZ48" s="84"/>
      <c r="CL48" s="222"/>
      <c r="CM48" s="222"/>
      <c r="CN48" s="222"/>
      <c r="CO48" s="222"/>
    </row>
    <row r="49" spans="2:93" s="7" customFormat="1" hidden="1" outlineLevel="1" x14ac:dyDescent="0.2">
      <c r="B49" s="15"/>
      <c r="C49" s="15"/>
      <c r="D49" s="28"/>
      <c r="E49" s="49"/>
      <c r="F49" s="49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129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Y49" s="84"/>
      <c r="BZ49" s="84"/>
      <c r="CL49" s="222"/>
      <c r="CM49" s="222"/>
      <c r="CN49" s="222"/>
      <c r="CO49" s="222"/>
    </row>
    <row r="50" spans="2:93" s="7" customFormat="1" hidden="1" outlineLevel="1" x14ac:dyDescent="0.2">
      <c r="B50" s="15"/>
      <c r="C50" s="15"/>
      <c r="D50" s="28"/>
      <c r="E50" s="49"/>
      <c r="F50" s="49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29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Y50" s="84"/>
      <c r="BZ50" s="84"/>
      <c r="CL50" s="222"/>
      <c r="CM50" s="222"/>
      <c r="CN50" s="222"/>
      <c r="CO50" s="222"/>
    </row>
    <row r="51" spans="2:93" s="7" customFormat="1" hidden="1" outlineLevel="1" x14ac:dyDescent="0.2">
      <c r="B51" s="15"/>
      <c r="C51" s="15"/>
      <c r="D51" s="28"/>
      <c r="E51" s="49"/>
      <c r="F51" s="49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129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Y51" s="84"/>
      <c r="BZ51" s="84"/>
      <c r="CL51" s="222"/>
      <c r="CM51" s="222"/>
      <c r="CN51" s="222"/>
      <c r="CO51" s="222"/>
    </row>
    <row r="52" spans="2:93" s="7" customFormat="1" hidden="1" outlineLevel="1" x14ac:dyDescent="0.2">
      <c r="B52" s="15"/>
      <c r="C52" s="15"/>
      <c r="D52" s="28"/>
      <c r="E52" s="49"/>
      <c r="F52" s="49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129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Y52" s="84"/>
      <c r="BZ52" s="84"/>
      <c r="CL52" s="222"/>
      <c r="CM52" s="222"/>
      <c r="CN52" s="222"/>
      <c r="CO52" s="222"/>
    </row>
    <row r="53" spans="2:93" s="7" customFormat="1" hidden="1" outlineLevel="1" x14ac:dyDescent="0.2">
      <c r="B53" s="15"/>
      <c r="C53" s="15"/>
      <c r="D53" s="28"/>
      <c r="E53" s="49"/>
      <c r="F53" s="49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129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Y53" s="84"/>
      <c r="BZ53" s="84"/>
      <c r="CL53" s="222"/>
      <c r="CM53" s="222"/>
      <c r="CN53" s="222"/>
      <c r="CO53" s="222"/>
    </row>
    <row r="54" spans="2:93" s="7" customFormat="1" hidden="1" outlineLevel="1" x14ac:dyDescent="0.2">
      <c r="B54" s="15"/>
      <c r="C54" s="15"/>
      <c r="D54" s="28"/>
      <c r="E54" s="49"/>
      <c r="F54" s="49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129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Y54" s="84"/>
      <c r="BZ54" s="84"/>
      <c r="CL54" s="222"/>
      <c r="CM54" s="222"/>
      <c r="CN54" s="222"/>
      <c r="CO54" s="222"/>
    </row>
    <row r="55" spans="2:93" s="7" customFormat="1" hidden="1" outlineLevel="1" x14ac:dyDescent="0.2">
      <c r="B55" s="15"/>
      <c r="C55" s="15"/>
      <c r="D55" s="28"/>
      <c r="E55" s="49"/>
      <c r="F55" s="49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129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Y55" s="84"/>
      <c r="BZ55" s="84"/>
      <c r="CL55" s="222"/>
      <c r="CM55" s="222"/>
      <c r="CN55" s="222"/>
      <c r="CO55" s="222"/>
    </row>
    <row r="56" spans="2:93" s="7" customFormat="1" hidden="1" outlineLevel="1" x14ac:dyDescent="0.2">
      <c r="B56" s="15"/>
      <c r="C56" s="15"/>
      <c r="D56" s="28"/>
      <c r="E56" s="49"/>
      <c r="F56" s="49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129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Y56" s="84"/>
      <c r="BZ56" s="84"/>
      <c r="CL56" s="222"/>
      <c r="CM56" s="222"/>
      <c r="CN56" s="222"/>
      <c r="CO56" s="222"/>
    </row>
    <row r="57" spans="2:93" s="7" customFormat="1" hidden="1" outlineLevel="1" x14ac:dyDescent="0.2">
      <c r="B57" s="15"/>
      <c r="C57" s="15"/>
      <c r="D57" s="28"/>
      <c r="E57" s="49"/>
      <c r="F57" s="49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129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Y57" s="84"/>
      <c r="BZ57" s="84"/>
      <c r="CL57" s="222"/>
      <c r="CM57" s="222"/>
      <c r="CN57" s="222"/>
      <c r="CO57" s="222"/>
    </row>
    <row r="58" spans="2:93" s="7" customFormat="1" hidden="1" outlineLevel="1" x14ac:dyDescent="0.2">
      <c r="B58" s="15"/>
      <c r="C58" s="15"/>
      <c r="D58" s="28"/>
      <c r="E58" s="49"/>
      <c r="F58" s="49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129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Y58" s="84"/>
      <c r="BZ58" s="84"/>
      <c r="CL58" s="222"/>
      <c r="CM58" s="222"/>
      <c r="CN58" s="222"/>
      <c r="CO58" s="222"/>
    </row>
    <row r="59" spans="2:93" s="7" customFormat="1" hidden="1" outlineLevel="1" x14ac:dyDescent="0.2">
      <c r="B59" s="15"/>
      <c r="C59" s="15"/>
      <c r="D59" s="28"/>
      <c r="E59" s="49"/>
      <c r="F59" s="49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129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Y59" s="84"/>
      <c r="BZ59" s="84"/>
      <c r="CL59" s="222"/>
      <c r="CM59" s="222"/>
      <c r="CN59" s="222"/>
      <c r="CO59" s="222"/>
    </row>
    <row r="60" spans="2:93" s="7" customFormat="1" hidden="1" outlineLevel="1" x14ac:dyDescent="0.2">
      <c r="B60" s="15"/>
      <c r="C60" s="15"/>
      <c r="D60" s="28"/>
      <c r="E60" s="49"/>
      <c r="F60" s="49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129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Y60" s="84"/>
      <c r="BZ60" s="84"/>
      <c r="CL60" s="222"/>
      <c r="CM60" s="222"/>
      <c r="CN60" s="222"/>
      <c r="CO60" s="222"/>
    </row>
    <row r="61" spans="2:93" s="7" customFormat="1" hidden="1" outlineLevel="1" x14ac:dyDescent="0.2">
      <c r="B61" s="15"/>
      <c r="C61" s="15"/>
      <c r="D61" s="28"/>
      <c r="E61" s="49"/>
      <c r="F61" s="49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129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Y61" s="84"/>
      <c r="BZ61" s="84"/>
      <c r="CL61" s="222"/>
      <c r="CM61" s="222"/>
      <c r="CN61" s="222"/>
      <c r="CO61" s="222"/>
    </row>
    <row r="62" spans="2:93" s="7" customFormat="1" hidden="1" outlineLevel="1" x14ac:dyDescent="0.2">
      <c r="B62" s="15"/>
      <c r="C62" s="15"/>
      <c r="D62" s="28"/>
      <c r="E62" s="49"/>
      <c r="F62" s="49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129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Y62" s="84"/>
      <c r="BZ62" s="84"/>
      <c r="CL62" s="222"/>
      <c r="CM62" s="222"/>
      <c r="CN62" s="222"/>
      <c r="CO62" s="222"/>
    </row>
    <row r="63" spans="2:93" s="7" customFormat="1" hidden="1" outlineLevel="1" x14ac:dyDescent="0.2">
      <c r="B63" s="15"/>
      <c r="C63" s="15"/>
      <c r="D63" s="28"/>
      <c r="E63" s="49"/>
      <c r="F63" s="49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129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Y63" s="84"/>
      <c r="BZ63" s="84"/>
      <c r="CL63" s="222"/>
      <c r="CM63" s="222"/>
      <c r="CN63" s="222"/>
      <c r="CO63" s="222"/>
    </row>
    <row r="64" spans="2:93" s="7" customFormat="1" hidden="1" outlineLevel="1" x14ac:dyDescent="0.2">
      <c r="B64" s="15"/>
      <c r="C64" s="15"/>
      <c r="D64" s="28"/>
      <c r="E64" s="49"/>
      <c r="F64" s="49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129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Y64" s="84"/>
      <c r="BZ64" s="84"/>
      <c r="CL64" s="222"/>
      <c r="CM64" s="222"/>
      <c r="CN64" s="222"/>
      <c r="CO64" s="222"/>
    </row>
    <row r="65" spans="2:93" s="7" customFormat="1" hidden="1" outlineLevel="1" x14ac:dyDescent="0.2">
      <c r="B65" s="15"/>
      <c r="C65" s="15"/>
      <c r="D65" s="28"/>
      <c r="E65" s="49"/>
      <c r="F65" s="49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129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Y65" s="84"/>
      <c r="BZ65" s="84"/>
      <c r="CL65" s="222"/>
      <c r="CM65" s="222"/>
      <c r="CN65" s="222"/>
      <c r="CO65" s="222"/>
    </row>
    <row r="66" spans="2:93" s="7" customFormat="1" hidden="1" outlineLevel="1" x14ac:dyDescent="0.2">
      <c r="B66" s="15"/>
      <c r="C66" s="15"/>
      <c r="D66" s="28"/>
      <c r="E66" s="49"/>
      <c r="F66" s="49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129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Y66" s="84"/>
      <c r="BZ66" s="84"/>
      <c r="CL66" s="222"/>
      <c r="CM66" s="222"/>
      <c r="CN66" s="222"/>
      <c r="CO66" s="222"/>
    </row>
    <row r="67" spans="2:93" s="7" customFormat="1" hidden="1" outlineLevel="1" x14ac:dyDescent="0.2">
      <c r="B67" s="15"/>
      <c r="C67" s="15"/>
      <c r="D67" s="28"/>
      <c r="E67" s="49"/>
      <c r="F67" s="49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129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Y67" s="84"/>
      <c r="BZ67" s="84"/>
      <c r="CL67" s="222"/>
      <c r="CM67" s="222"/>
      <c r="CN67" s="222"/>
      <c r="CO67" s="222"/>
    </row>
    <row r="68" spans="2:93" s="7" customFormat="1" hidden="1" outlineLevel="1" x14ac:dyDescent="0.2">
      <c r="B68" s="15"/>
      <c r="C68" s="15"/>
      <c r="D68" s="28"/>
      <c r="E68" s="49"/>
      <c r="F68" s="49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129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Y68" s="84"/>
      <c r="BZ68" s="84"/>
      <c r="CL68" s="222"/>
      <c r="CM68" s="222"/>
      <c r="CN68" s="222"/>
      <c r="CO68" s="222"/>
    </row>
    <row r="69" spans="2:93" s="7" customFormat="1" hidden="1" outlineLevel="1" x14ac:dyDescent="0.2">
      <c r="B69" s="15"/>
      <c r="C69" s="15"/>
      <c r="D69" s="28"/>
      <c r="E69" s="49"/>
      <c r="F69" s="49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129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Y69" s="84"/>
      <c r="BZ69" s="84"/>
      <c r="CL69" s="222"/>
      <c r="CM69" s="222"/>
      <c r="CN69" s="222"/>
      <c r="CO69" s="222"/>
    </row>
    <row r="70" spans="2:93" s="7" customFormat="1" hidden="1" outlineLevel="1" x14ac:dyDescent="0.2">
      <c r="B70" s="15"/>
      <c r="C70" s="15"/>
      <c r="D70" s="28"/>
      <c r="E70" s="49"/>
      <c r="F70" s="49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129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Y70" s="84"/>
      <c r="BZ70" s="84"/>
      <c r="CL70" s="222"/>
      <c r="CM70" s="222"/>
      <c r="CN70" s="222"/>
      <c r="CO70" s="222"/>
    </row>
    <row r="71" spans="2:93" s="7" customFormat="1" hidden="1" outlineLevel="1" x14ac:dyDescent="0.2">
      <c r="B71" s="15"/>
      <c r="C71" s="15"/>
      <c r="D71" s="28"/>
      <c r="E71" s="49"/>
      <c r="F71" s="49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129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Y71" s="84"/>
      <c r="BZ71" s="84"/>
      <c r="CL71" s="222"/>
      <c r="CM71" s="222"/>
      <c r="CN71" s="222"/>
      <c r="CO71" s="222"/>
    </row>
    <row r="72" spans="2:93" s="7" customFormat="1" hidden="1" outlineLevel="1" x14ac:dyDescent="0.2">
      <c r="B72" s="15"/>
      <c r="C72" s="15"/>
      <c r="D72" s="28"/>
      <c r="E72" s="49"/>
      <c r="F72" s="49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129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Y72" s="84"/>
      <c r="BZ72" s="84"/>
      <c r="CL72" s="222"/>
      <c r="CM72" s="222"/>
      <c r="CN72" s="222"/>
      <c r="CO72" s="222"/>
    </row>
    <row r="73" spans="2:93" s="7" customFormat="1" hidden="1" outlineLevel="1" x14ac:dyDescent="0.2">
      <c r="B73" s="15"/>
      <c r="C73" s="15"/>
      <c r="D73" s="28"/>
      <c r="E73" s="49"/>
      <c r="F73" s="49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129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Y73" s="84"/>
      <c r="BZ73" s="84"/>
      <c r="CL73" s="222"/>
      <c r="CM73" s="222"/>
      <c r="CN73" s="222"/>
      <c r="CO73" s="222"/>
    </row>
    <row r="74" spans="2:93" s="7" customFormat="1" hidden="1" outlineLevel="1" x14ac:dyDescent="0.2">
      <c r="B74" s="15"/>
      <c r="C74" s="15"/>
      <c r="D74" s="28"/>
      <c r="E74" s="49"/>
      <c r="F74" s="49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129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Y74" s="84"/>
      <c r="BZ74" s="84"/>
      <c r="CL74" s="222"/>
      <c r="CM74" s="222"/>
      <c r="CN74" s="222"/>
      <c r="CO74" s="222"/>
    </row>
    <row r="75" spans="2:93" s="7" customFormat="1" hidden="1" outlineLevel="1" x14ac:dyDescent="0.2">
      <c r="B75" s="15"/>
      <c r="C75" s="15"/>
      <c r="D75" s="28"/>
      <c r="E75" s="49"/>
      <c r="F75" s="49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129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Y75" s="84"/>
      <c r="BZ75" s="84"/>
      <c r="CL75" s="222"/>
      <c r="CM75" s="222"/>
      <c r="CN75" s="222"/>
      <c r="CO75" s="222"/>
    </row>
    <row r="76" spans="2:93" s="7" customFormat="1" hidden="1" outlineLevel="1" x14ac:dyDescent="0.2">
      <c r="B76" s="15"/>
      <c r="C76" s="15"/>
      <c r="D76" s="28"/>
      <c r="E76" s="49"/>
      <c r="F76" s="49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129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Y76" s="84"/>
      <c r="BZ76" s="84"/>
      <c r="CL76" s="222"/>
      <c r="CM76" s="222"/>
      <c r="CN76" s="222"/>
      <c r="CO76" s="222"/>
    </row>
    <row r="77" spans="2:93" s="7" customFormat="1" hidden="1" outlineLevel="1" x14ac:dyDescent="0.2">
      <c r="B77" s="15"/>
      <c r="C77" s="15"/>
      <c r="D77" s="28"/>
      <c r="E77" s="49"/>
      <c r="F77" s="49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129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Y77" s="84"/>
      <c r="BZ77" s="84"/>
      <c r="CL77" s="222"/>
      <c r="CM77" s="222"/>
      <c r="CN77" s="222"/>
      <c r="CO77" s="222"/>
    </row>
    <row r="78" spans="2:93" s="7" customFormat="1" hidden="1" outlineLevel="1" x14ac:dyDescent="0.2">
      <c r="B78" s="15"/>
      <c r="C78" s="15"/>
      <c r="D78" s="28"/>
      <c r="E78" s="49"/>
      <c r="F78" s="49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129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Y78" s="84"/>
      <c r="BZ78" s="84"/>
      <c r="CL78" s="222"/>
      <c r="CM78" s="222"/>
      <c r="CN78" s="222"/>
      <c r="CO78" s="222"/>
    </row>
    <row r="79" spans="2:93" s="7" customFormat="1" hidden="1" outlineLevel="1" x14ac:dyDescent="0.2">
      <c r="B79" s="15"/>
      <c r="C79" s="15"/>
      <c r="D79" s="28"/>
      <c r="E79" s="49"/>
      <c r="F79" s="49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129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Y79" s="84"/>
      <c r="BZ79" s="84"/>
      <c r="CL79" s="222"/>
      <c r="CM79" s="222"/>
      <c r="CN79" s="222"/>
      <c r="CO79" s="222"/>
    </row>
    <row r="80" spans="2:93" s="7" customFormat="1" hidden="1" outlineLevel="1" x14ac:dyDescent="0.2">
      <c r="B80" s="15"/>
      <c r="C80" s="15"/>
      <c r="D80" s="28"/>
      <c r="E80" s="49"/>
      <c r="F80" s="49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129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Y80" s="84"/>
      <c r="BZ80" s="84"/>
      <c r="CL80" s="222"/>
      <c r="CM80" s="222"/>
      <c r="CN80" s="222"/>
      <c r="CO80" s="222"/>
    </row>
    <row r="81" spans="2:93" s="7" customFormat="1" hidden="1" outlineLevel="1" x14ac:dyDescent="0.2">
      <c r="B81" s="15"/>
      <c r="C81" s="15"/>
      <c r="D81" s="28"/>
      <c r="E81" s="49"/>
      <c r="F81" s="49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129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Y81" s="84"/>
      <c r="BZ81" s="84"/>
      <c r="CL81" s="222"/>
      <c r="CM81" s="222"/>
      <c r="CN81" s="222"/>
      <c r="CO81" s="222"/>
    </row>
    <row r="82" spans="2:93" s="7" customFormat="1" hidden="1" outlineLevel="1" x14ac:dyDescent="0.2">
      <c r="B82" s="15"/>
      <c r="C82" s="15"/>
      <c r="D82" s="28"/>
      <c r="E82" s="49"/>
      <c r="F82" s="49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129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Y82" s="84"/>
      <c r="BZ82" s="84"/>
      <c r="CL82" s="222"/>
      <c r="CM82" s="222"/>
      <c r="CN82" s="222"/>
      <c r="CO82" s="222"/>
    </row>
    <row r="83" spans="2:93" s="7" customFormat="1" hidden="1" outlineLevel="1" x14ac:dyDescent="0.2">
      <c r="B83" s="15"/>
      <c r="C83" s="15"/>
      <c r="D83" s="28"/>
      <c r="E83" s="49"/>
      <c r="F83" s="49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129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Y83" s="84"/>
      <c r="BZ83" s="84"/>
      <c r="CL83" s="222"/>
      <c r="CM83" s="222"/>
      <c r="CN83" s="222"/>
      <c r="CO83" s="222"/>
    </row>
    <row r="84" spans="2:93" s="7" customFormat="1" hidden="1" outlineLevel="1" x14ac:dyDescent="0.2">
      <c r="B84" s="15"/>
      <c r="C84" s="15"/>
      <c r="D84" s="28"/>
      <c r="E84" s="49"/>
      <c r="F84" s="49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129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Y84" s="84"/>
      <c r="BZ84" s="84"/>
      <c r="CL84" s="222"/>
      <c r="CM84" s="222"/>
      <c r="CN84" s="222"/>
      <c r="CO84" s="222"/>
    </row>
    <row r="85" spans="2:93" s="7" customFormat="1" hidden="1" outlineLevel="1" x14ac:dyDescent="0.2">
      <c r="B85" s="15"/>
      <c r="C85" s="15"/>
      <c r="D85" s="28"/>
      <c r="E85" s="49"/>
      <c r="F85" s="49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129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Y85" s="84"/>
      <c r="BZ85" s="84"/>
      <c r="CL85" s="222"/>
      <c r="CM85" s="222"/>
      <c r="CN85" s="222"/>
      <c r="CO85" s="222"/>
    </row>
    <row r="86" spans="2:93" s="7" customFormat="1" hidden="1" outlineLevel="1" x14ac:dyDescent="0.2">
      <c r="B86" s="15"/>
      <c r="C86" s="15"/>
      <c r="D86" s="28"/>
      <c r="E86" s="49"/>
      <c r="F86" s="49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129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Y86" s="84"/>
      <c r="BZ86" s="84"/>
      <c r="CL86" s="222"/>
      <c r="CM86" s="222"/>
      <c r="CN86" s="222"/>
      <c r="CO86" s="222"/>
    </row>
    <row r="87" spans="2:93" s="7" customFormat="1" hidden="1" outlineLevel="1" x14ac:dyDescent="0.2">
      <c r="B87" s="15"/>
      <c r="C87" s="15"/>
      <c r="D87" s="28"/>
      <c r="E87" s="49"/>
      <c r="F87" s="49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129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Y87" s="84"/>
      <c r="BZ87" s="84"/>
      <c r="CL87" s="222"/>
      <c r="CM87" s="222"/>
      <c r="CN87" s="222"/>
      <c r="CO87" s="222"/>
    </row>
    <row r="88" spans="2:93" s="7" customFormat="1" hidden="1" outlineLevel="1" x14ac:dyDescent="0.2">
      <c r="B88" s="15"/>
      <c r="C88" s="15"/>
      <c r="D88" s="28"/>
      <c r="E88" s="49"/>
      <c r="F88" s="49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129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Y88" s="84"/>
      <c r="BZ88" s="84"/>
      <c r="CL88" s="222"/>
      <c r="CM88" s="222"/>
      <c r="CN88" s="222"/>
      <c r="CO88" s="222"/>
    </row>
    <row r="89" spans="2:93" s="7" customFormat="1" hidden="1" outlineLevel="1" x14ac:dyDescent="0.2">
      <c r="B89" s="15"/>
      <c r="C89" s="15"/>
      <c r="D89" s="28"/>
      <c r="E89" s="49"/>
      <c r="F89" s="49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129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Y89" s="84"/>
      <c r="BZ89" s="84"/>
      <c r="CL89" s="222"/>
      <c r="CM89" s="222"/>
      <c r="CN89" s="222"/>
      <c r="CO89" s="222"/>
    </row>
    <row r="90" spans="2:93" s="7" customFormat="1" hidden="1" outlineLevel="1" x14ac:dyDescent="0.2">
      <c r="B90" s="15"/>
      <c r="C90" s="15"/>
      <c r="D90" s="28"/>
      <c r="E90" s="49"/>
      <c r="F90" s="49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129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Y90" s="84"/>
      <c r="BZ90" s="84"/>
      <c r="CL90" s="222"/>
      <c r="CM90" s="222"/>
      <c r="CN90" s="222"/>
      <c r="CO90" s="222"/>
    </row>
    <row r="91" spans="2:93" s="7" customFormat="1" hidden="1" outlineLevel="1" x14ac:dyDescent="0.2">
      <c r="B91" s="15"/>
      <c r="C91" s="15"/>
      <c r="D91" s="28"/>
      <c r="E91" s="49"/>
      <c r="F91" s="49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129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Y91" s="84"/>
      <c r="BZ91" s="84"/>
      <c r="CL91" s="222"/>
      <c r="CM91" s="222"/>
      <c r="CN91" s="222"/>
      <c r="CO91" s="222"/>
    </row>
    <row r="92" spans="2:93" s="7" customFormat="1" hidden="1" outlineLevel="1" x14ac:dyDescent="0.2">
      <c r="B92" s="15"/>
      <c r="C92" s="15"/>
      <c r="D92" s="28"/>
      <c r="E92" s="49"/>
      <c r="F92" s="49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129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Y92" s="84"/>
      <c r="BZ92" s="84"/>
      <c r="CL92" s="222"/>
      <c r="CM92" s="222"/>
      <c r="CN92" s="222"/>
      <c r="CO92" s="222"/>
    </row>
    <row r="93" spans="2:93" s="7" customFormat="1" hidden="1" outlineLevel="1" x14ac:dyDescent="0.2">
      <c r="B93" s="15"/>
      <c r="C93" s="15"/>
      <c r="D93" s="28"/>
      <c r="E93" s="49"/>
      <c r="F93" s="49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129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Y93" s="84"/>
      <c r="BZ93" s="84"/>
      <c r="CL93" s="222"/>
      <c r="CM93" s="222"/>
      <c r="CN93" s="222"/>
      <c r="CO93" s="222"/>
    </row>
    <row r="94" spans="2:93" s="7" customFormat="1" hidden="1" outlineLevel="1" x14ac:dyDescent="0.2">
      <c r="B94" s="15"/>
      <c r="C94" s="15"/>
      <c r="D94" s="28"/>
      <c r="E94" s="49"/>
      <c r="F94" s="49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129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Y94" s="84"/>
      <c r="BZ94" s="84"/>
      <c r="CL94" s="222"/>
      <c r="CM94" s="222"/>
      <c r="CN94" s="222"/>
      <c r="CO94" s="222"/>
    </row>
    <row r="95" spans="2:93" s="7" customFormat="1" hidden="1" outlineLevel="1" x14ac:dyDescent="0.2">
      <c r="B95" s="15"/>
      <c r="C95" s="15"/>
      <c r="D95" s="28"/>
      <c r="E95" s="49"/>
      <c r="F95" s="49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129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Y95" s="84"/>
      <c r="BZ95" s="84"/>
      <c r="CL95" s="222"/>
      <c r="CM95" s="222"/>
      <c r="CN95" s="222"/>
      <c r="CO95" s="222"/>
    </row>
    <row r="96" spans="2:93" s="7" customFormat="1" hidden="1" outlineLevel="1" x14ac:dyDescent="0.2">
      <c r="B96" s="15"/>
      <c r="C96" s="15"/>
      <c r="D96" s="28"/>
      <c r="E96" s="49"/>
      <c r="F96" s="49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129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Y96" s="84"/>
      <c r="BZ96" s="84"/>
      <c r="CL96" s="222"/>
      <c r="CM96" s="222"/>
      <c r="CN96" s="222"/>
      <c r="CO96" s="222"/>
    </row>
    <row r="97" spans="2:93" s="7" customFormat="1" hidden="1" outlineLevel="1" x14ac:dyDescent="0.2">
      <c r="B97" s="15"/>
      <c r="C97" s="15"/>
      <c r="D97" s="28"/>
      <c r="E97" s="49"/>
      <c r="F97" s="49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129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Y97" s="84"/>
      <c r="BZ97" s="84"/>
      <c r="CL97" s="222"/>
      <c r="CM97" s="222"/>
      <c r="CN97" s="222"/>
      <c r="CO97" s="222"/>
    </row>
    <row r="98" spans="2:93" s="7" customFormat="1" hidden="1" outlineLevel="1" x14ac:dyDescent="0.2">
      <c r="B98" s="15"/>
      <c r="C98" s="15"/>
      <c r="D98" s="28"/>
      <c r="E98" s="49"/>
      <c r="F98" s="49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129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Y98" s="84"/>
      <c r="BZ98" s="84"/>
      <c r="CL98" s="222"/>
      <c r="CM98" s="222"/>
      <c r="CN98" s="222"/>
      <c r="CO98" s="222"/>
    </row>
    <row r="99" spans="2:93" s="7" customFormat="1" hidden="1" outlineLevel="1" x14ac:dyDescent="0.2">
      <c r="B99" s="15"/>
      <c r="C99" s="15"/>
      <c r="D99" s="28"/>
      <c r="E99" s="49"/>
      <c r="F99" s="49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129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Y99" s="84"/>
      <c r="BZ99" s="84"/>
      <c r="CL99" s="222"/>
      <c r="CM99" s="222"/>
      <c r="CN99" s="222"/>
      <c r="CO99" s="222"/>
    </row>
    <row r="100" spans="2:93" s="7" customFormat="1" hidden="1" outlineLevel="1" x14ac:dyDescent="0.2">
      <c r="B100" s="15"/>
      <c r="C100" s="15"/>
      <c r="D100" s="28"/>
      <c r="E100" s="49"/>
      <c r="F100" s="49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129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Y100" s="84"/>
      <c r="BZ100" s="84"/>
      <c r="CL100" s="222"/>
      <c r="CM100" s="222"/>
      <c r="CN100" s="222"/>
      <c r="CO100" s="222"/>
    </row>
    <row r="101" spans="2:93" s="7" customFormat="1" hidden="1" outlineLevel="1" x14ac:dyDescent="0.2">
      <c r="B101" s="15"/>
      <c r="C101" s="15"/>
      <c r="D101" s="28"/>
      <c r="E101" s="49"/>
      <c r="F101" s="49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129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Y101" s="84"/>
      <c r="BZ101" s="84"/>
      <c r="CL101" s="222"/>
      <c r="CM101" s="222"/>
      <c r="CN101" s="222"/>
      <c r="CO101" s="222"/>
    </row>
    <row r="102" spans="2:93" s="7" customFormat="1" hidden="1" outlineLevel="1" x14ac:dyDescent="0.2">
      <c r="B102" s="15"/>
      <c r="C102" s="15"/>
      <c r="D102" s="28"/>
      <c r="E102" s="49"/>
      <c r="F102" s="49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129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Y102" s="84"/>
      <c r="BZ102" s="84"/>
      <c r="CL102" s="222"/>
      <c r="CM102" s="222"/>
      <c r="CN102" s="222"/>
      <c r="CO102" s="222"/>
    </row>
    <row r="103" spans="2:93" s="7" customFormat="1" hidden="1" outlineLevel="1" x14ac:dyDescent="0.2">
      <c r="B103" s="15"/>
      <c r="C103" s="15"/>
      <c r="D103" s="28"/>
      <c r="E103" s="49"/>
      <c r="F103" s="49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129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Y103" s="84"/>
      <c r="BZ103" s="84"/>
      <c r="CL103" s="222"/>
      <c r="CM103" s="222"/>
      <c r="CN103" s="222"/>
      <c r="CO103" s="222"/>
    </row>
    <row r="104" spans="2:93" s="7" customFormat="1" hidden="1" outlineLevel="1" x14ac:dyDescent="0.2">
      <c r="B104" s="15"/>
      <c r="C104" s="15"/>
      <c r="D104" s="28"/>
      <c r="E104" s="49"/>
      <c r="F104" s="49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129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Y104" s="84"/>
      <c r="BZ104" s="84"/>
      <c r="CL104" s="222"/>
      <c r="CM104" s="222"/>
      <c r="CN104" s="222"/>
      <c r="CO104" s="222"/>
    </row>
    <row r="105" spans="2:93" s="7" customFormat="1" hidden="1" outlineLevel="1" x14ac:dyDescent="0.2">
      <c r="B105" s="15"/>
      <c r="C105" s="15"/>
      <c r="D105" s="28"/>
      <c r="E105" s="49"/>
      <c r="F105" s="49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129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Y105" s="84"/>
      <c r="BZ105" s="84"/>
      <c r="CL105" s="222"/>
      <c r="CM105" s="222"/>
      <c r="CN105" s="222"/>
      <c r="CO105" s="222"/>
    </row>
    <row r="106" spans="2:93" s="7" customFormat="1" hidden="1" outlineLevel="1" x14ac:dyDescent="0.2">
      <c r="B106" s="15"/>
      <c r="C106" s="15"/>
      <c r="D106" s="28"/>
      <c r="E106" s="49"/>
      <c r="F106" s="49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129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Y106" s="84"/>
      <c r="BZ106" s="84"/>
      <c r="CL106" s="222"/>
      <c r="CM106" s="222"/>
      <c r="CN106" s="222"/>
      <c r="CO106" s="222"/>
    </row>
    <row r="107" spans="2:93" s="7" customFormat="1" hidden="1" outlineLevel="1" x14ac:dyDescent="0.2">
      <c r="B107" s="15"/>
      <c r="C107" s="15"/>
      <c r="D107" s="28"/>
      <c r="E107" s="49"/>
      <c r="F107" s="49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129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Y107" s="84"/>
      <c r="BZ107" s="84"/>
      <c r="CL107" s="222"/>
      <c r="CM107" s="222"/>
      <c r="CN107" s="222"/>
      <c r="CO107" s="222"/>
    </row>
    <row r="108" spans="2:93" s="7" customFormat="1" hidden="1" outlineLevel="1" x14ac:dyDescent="0.2">
      <c r="B108" s="15"/>
      <c r="C108" s="15"/>
      <c r="D108" s="28"/>
      <c r="E108" s="49"/>
      <c r="F108" s="49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129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Y108" s="84"/>
      <c r="BZ108" s="84"/>
      <c r="CL108" s="222"/>
      <c r="CM108" s="222"/>
      <c r="CN108" s="222"/>
      <c r="CO108" s="222"/>
    </row>
    <row r="109" spans="2:93" s="7" customFormat="1" hidden="1" outlineLevel="1" x14ac:dyDescent="0.2">
      <c r="B109" s="15"/>
      <c r="C109" s="15"/>
      <c r="D109" s="28"/>
      <c r="E109" s="49"/>
      <c r="F109" s="49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129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Y109" s="84"/>
      <c r="BZ109" s="84"/>
      <c r="CL109" s="222"/>
      <c r="CM109" s="222"/>
      <c r="CN109" s="222"/>
      <c r="CO109" s="222"/>
    </row>
    <row r="110" spans="2:93" s="7" customFormat="1" hidden="1" outlineLevel="1" x14ac:dyDescent="0.2">
      <c r="B110" s="15"/>
      <c r="C110" s="15"/>
      <c r="D110" s="28"/>
      <c r="E110" s="49"/>
      <c r="F110" s="49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129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Y110" s="84"/>
      <c r="BZ110" s="84"/>
      <c r="CL110" s="222"/>
      <c r="CM110" s="222"/>
      <c r="CN110" s="222"/>
      <c r="CO110" s="222"/>
    </row>
    <row r="111" spans="2:93" s="7" customFormat="1" hidden="1" outlineLevel="1" x14ac:dyDescent="0.2">
      <c r="B111" s="15"/>
      <c r="C111" s="15"/>
      <c r="D111" s="28"/>
      <c r="E111" s="49"/>
      <c r="F111" s="49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129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Y111" s="84"/>
      <c r="BZ111" s="84"/>
      <c r="CL111" s="222"/>
      <c r="CM111" s="222"/>
      <c r="CN111" s="222"/>
      <c r="CO111" s="222"/>
    </row>
    <row r="112" spans="2:93" s="7" customFormat="1" hidden="1" outlineLevel="1" x14ac:dyDescent="0.2">
      <c r="B112" s="15"/>
      <c r="C112" s="15"/>
      <c r="D112" s="28"/>
      <c r="E112" s="49"/>
      <c r="F112" s="49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129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Y112" s="84"/>
      <c r="BZ112" s="84"/>
      <c r="CL112" s="222"/>
      <c r="CM112" s="222"/>
      <c r="CN112" s="222"/>
      <c r="CO112" s="222"/>
    </row>
    <row r="113" spans="2:93" s="7" customFormat="1" hidden="1" outlineLevel="1" x14ac:dyDescent="0.2">
      <c r="B113" s="15"/>
      <c r="C113" s="15"/>
      <c r="D113" s="28"/>
      <c r="E113" s="49"/>
      <c r="F113" s="49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129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Y113" s="84"/>
      <c r="BZ113" s="84"/>
      <c r="CL113" s="222"/>
      <c r="CM113" s="222"/>
      <c r="CN113" s="222"/>
      <c r="CO113" s="222"/>
    </row>
    <row r="114" spans="2:93" s="7" customFormat="1" hidden="1" outlineLevel="1" x14ac:dyDescent="0.2">
      <c r="B114" s="15"/>
      <c r="C114" s="15"/>
      <c r="D114" s="28"/>
      <c r="E114" s="49"/>
      <c r="F114" s="49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129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Y114" s="84"/>
      <c r="BZ114" s="84"/>
      <c r="CL114" s="222"/>
      <c r="CM114" s="222"/>
      <c r="CN114" s="222"/>
      <c r="CO114" s="222"/>
    </row>
    <row r="115" spans="2:93" s="7" customFormat="1" hidden="1" outlineLevel="1" x14ac:dyDescent="0.2">
      <c r="B115" s="15"/>
      <c r="C115" s="15"/>
      <c r="D115" s="28"/>
      <c r="E115" s="49"/>
      <c r="F115" s="49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129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Y115" s="84"/>
      <c r="BZ115" s="84"/>
      <c r="CL115" s="222"/>
      <c r="CM115" s="222"/>
      <c r="CN115" s="222"/>
      <c r="CO115" s="222"/>
    </row>
    <row r="116" spans="2:93" s="7" customFormat="1" hidden="1" outlineLevel="1" x14ac:dyDescent="0.2">
      <c r="B116" s="15"/>
      <c r="C116" s="15"/>
      <c r="D116" s="28"/>
      <c r="E116" s="49"/>
      <c r="F116" s="49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129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Y116" s="84"/>
      <c r="BZ116" s="84"/>
      <c r="CL116" s="222"/>
      <c r="CM116" s="222"/>
      <c r="CN116" s="222"/>
      <c r="CO116" s="222"/>
    </row>
    <row r="117" spans="2:93" s="7" customFormat="1" hidden="1" outlineLevel="1" x14ac:dyDescent="0.2">
      <c r="B117" s="15"/>
      <c r="C117" s="15"/>
      <c r="D117" s="28"/>
      <c r="E117" s="49"/>
      <c r="F117" s="49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129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Y117" s="84"/>
      <c r="BZ117" s="84"/>
      <c r="CL117" s="222"/>
      <c r="CM117" s="222"/>
      <c r="CN117" s="222"/>
      <c r="CO117" s="222"/>
    </row>
    <row r="118" spans="2:93" s="7" customFormat="1" hidden="1" outlineLevel="1" x14ac:dyDescent="0.2">
      <c r="B118" s="15"/>
      <c r="C118" s="15"/>
      <c r="D118" s="28"/>
      <c r="E118" s="49"/>
      <c r="F118" s="49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129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Y118" s="84"/>
      <c r="BZ118" s="84"/>
      <c r="CL118" s="222"/>
      <c r="CM118" s="222"/>
      <c r="CN118" s="222"/>
      <c r="CO118" s="222"/>
    </row>
    <row r="119" spans="2:93" s="7" customFormat="1" hidden="1" outlineLevel="1" x14ac:dyDescent="0.2">
      <c r="B119" s="15"/>
      <c r="C119" s="15"/>
      <c r="D119" s="28"/>
      <c r="E119" s="49"/>
      <c r="F119" s="49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129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Y119" s="84"/>
      <c r="BZ119" s="84"/>
      <c r="CL119" s="222"/>
      <c r="CM119" s="222"/>
      <c r="CN119" s="222"/>
      <c r="CO119" s="222"/>
    </row>
    <row r="120" spans="2:93" s="7" customFormat="1" hidden="1" outlineLevel="1" x14ac:dyDescent="0.2">
      <c r="B120" s="15"/>
      <c r="C120" s="15"/>
      <c r="D120" s="28"/>
      <c r="E120" s="49"/>
      <c r="F120" s="49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129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Y120" s="84"/>
      <c r="BZ120" s="84"/>
      <c r="CL120" s="222"/>
      <c r="CM120" s="222"/>
      <c r="CN120" s="222"/>
      <c r="CO120" s="222"/>
    </row>
    <row r="121" spans="2:93" s="7" customFormat="1" hidden="1" outlineLevel="1" x14ac:dyDescent="0.2">
      <c r="B121" s="15"/>
      <c r="C121" s="15"/>
      <c r="D121" s="28"/>
      <c r="E121" s="49"/>
      <c r="F121" s="49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129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Y121" s="84"/>
      <c r="BZ121" s="84"/>
      <c r="CL121" s="222"/>
      <c r="CM121" s="222"/>
      <c r="CN121" s="222"/>
      <c r="CO121" s="222"/>
    </row>
    <row r="122" spans="2:93" s="7" customFormat="1" hidden="1" outlineLevel="1" x14ac:dyDescent="0.2">
      <c r="B122" s="15"/>
      <c r="C122" s="15"/>
      <c r="D122" s="28"/>
      <c r="E122" s="49"/>
      <c r="F122" s="49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129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Y122" s="84"/>
      <c r="BZ122" s="84"/>
      <c r="CL122" s="222"/>
      <c r="CM122" s="222"/>
      <c r="CN122" s="222"/>
      <c r="CO122" s="222"/>
    </row>
    <row r="123" spans="2:93" s="7" customFormat="1" hidden="1" outlineLevel="1" x14ac:dyDescent="0.2">
      <c r="B123" s="15"/>
      <c r="C123" s="15"/>
      <c r="D123" s="28"/>
      <c r="E123" s="49"/>
      <c r="F123" s="49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129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Y123" s="84"/>
      <c r="BZ123" s="84"/>
      <c r="CL123" s="222"/>
      <c r="CM123" s="222"/>
      <c r="CN123" s="222"/>
      <c r="CO123" s="222"/>
    </row>
    <row r="124" spans="2:93" s="7" customFormat="1" hidden="1" outlineLevel="1" x14ac:dyDescent="0.2">
      <c r="B124" s="15"/>
      <c r="C124" s="15"/>
      <c r="D124" s="28"/>
      <c r="E124" s="49"/>
      <c r="F124" s="49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129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Y124" s="84"/>
      <c r="BZ124" s="84"/>
      <c r="CL124" s="222"/>
      <c r="CM124" s="222"/>
      <c r="CN124" s="222"/>
      <c r="CO124" s="222"/>
    </row>
    <row r="125" spans="2:93" s="7" customFormat="1" hidden="1" outlineLevel="1" x14ac:dyDescent="0.2">
      <c r="B125" s="15"/>
      <c r="C125" s="15"/>
      <c r="D125" s="28"/>
      <c r="E125" s="49"/>
      <c r="F125" s="49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129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Y125" s="84"/>
      <c r="BZ125" s="84"/>
      <c r="CL125" s="222"/>
      <c r="CM125" s="222"/>
      <c r="CN125" s="222"/>
      <c r="CO125" s="222"/>
    </row>
    <row r="126" spans="2:93" s="7" customFormat="1" hidden="1" outlineLevel="1" x14ac:dyDescent="0.2">
      <c r="B126" s="15"/>
      <c r="C126" s="15"/>
      <c r="D126" s="28"/>
      <c r="E126" s="49"/>
      <c r="F126" s="49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129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Y126" s="84"/>
      <c r="BZ126" s="84"/>
      <c r="CL126" s="222"/>
      <c r="CM126" s="222"/>
      <c r="CN126" s="222"/>
      <c r="CO126" s="222"/>
    </row>
    <row r="127" spans="2:93" s="7" customFormat="1" hidden="1" outlineLevel="1" x14ac:dyDescent="0.2">
      <c r="B127" s="15"/>
      <c r="C127" s="15"/>
      <c r="D127" s="28"/>
      <c r="E127" s="49"/>
      <c r="F127" s="49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129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Y127" s="84"/>
      <c r="BZ127" s="84"/>
      <c r="CL127" s="222"/>
      <c r="CM127" s="222"/>
      <c r="CN127" s="222"/>
      <c r="CO127" s="222"/>
    </row>
    <row r="128" spans="2:93" s="7" customFormat="1" hidden="1" outlineLevel="1" x14ac:dyDescent="0.2">
      <c r="B128" s="15"/>
      <c r="C128" s="15"/>
      <c r="D128" s="28"/>
      <c r="E128" s="49"/>
      <c r="F128" s="49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129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Y128" s="84"/>
      <c r="BZ128" s="84"/>
      <c r="CL128" s="222"/>
      <c r="CM128" s="222"/>
      <c r="CN128" s="222"/>
      <c r="CO128" s="222"/>
    </row>
    <row r="129" spans="2:93" s="7" customFormat="1" hidden="1" outlineLevel="1" x14ac:dyDescent="0.2">
      <c r="B129" s="15"/>
      <c r="C129" s="15"/>
      <c r="D129" s="28"/>
      <c r="E129" s="49"/>
      <c r="F129" s="49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129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Y129" s="84"/>
      <c r="BZ129" s="84"/>
      <c r="CL129" s="222"/>
      <c r="CM129" s="222"/>
      <c r="CN129" s="222"/>
      <c r="CO129" s="222"/>
    </row>
    <row r="130" spans="2:93" s="7" customFormat="1" hidden="1" outlineLevel="1" x14ac:dyDescent="0.2">
      <c r="B130" s="15"/>
      <c r="C130" s="15"/>
      <c r="D130" s="28"/>
      <c r="E130" s="49"/>
      <c r="F130" s="49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129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Y130" s="84"/>
      <c r="BZ130" s="84"/>
      <c r="CL130" s="222"/>
      <c r="CM130" s="222"/>
      <c r="CN130" s="222"/>
      <c r="CO130" s="222"/>
    </row>
    <row r="131" spans="2:93" s="7" customFormat="1" hidden="1" outlineLevel="1" x14ac:dyDescent="0.2">
      <c r="B131" s="15"/>
      <c r="C131" s="15"/>
      <c r="D131" s="28"/>
      <c r="E131" s="49"/>
      <c r="F131" s="49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129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Y131" s="84"/>
      <c r="BZ131" s="84"/>
      <c r="CL131" s="222"/>
      <c r="CM131" s="222"/>
      <c r="CN131" s="222"/>
      <c r="CO131" s="222"/>
    </row>
    <row r="132" spans="2:93" s="7" customFormat="1" hidden="1" outlineLevel="1" x14ac:dyDescent="0.2">
      <c r="B132" s="15"/>
      <c r="C132" s="15"/>
      <c r="D132" s="28"/>
      <c r="E132" s="49"/>
      <c r="F132" s="49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129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Y132" s="84"/>
      <c r="BZ132" s="84"/>
      <c r="CL132" s="222"/>
      <c r="CM132" s="222"/>
      <c r="CN132" s="222"/>
      <c r="CO132" s="222"/>
    </row>
    <row r="133" spans="2:93" s="7" customFormat="1" hidden="1" outlineLevel="1" x14ac:dyDescent="0.2">
      <c r="B133" s="15"/>
      <c r="C133" s="15"/>
      <c r="D133" s="28"/>
      <c r="E133" s="49"/>
      <c r="F133" s="49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129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Y133" s="84"/>
      <c r="BZ133" s="84"/>
      <c r="CL133" s="222"/>
      <c r="CM133" s="222"/>
      <c r="CN133" s="222"/>
      <c r="CO133" s="222"/>
    </row>
    <row r="134" spans="2:93" s="7" customFormat="1" hidden="1" outlineLevel="1" x14ac:dyDescent="0.2">
      <c r="B134" s="15"/>
      <c r="C134" s="15"/>
      <c r="D134" s="28"/>
      <c r="E134" s="49"/>
      <c r="F134" s="49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129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Y134" s="84"/>
      <c r="BZ134" s="84"/>
      <c r="CL134" s="222"/>
      <c r="CM134" s="222"/>
      <c r="CN134" s="222"/>
      <c r="CO134" s="222"/>
    </row>
    <row r="135" spans="2:93" s="7" customFormat="1" hidden="1" outlineLevel="1" x14ac:dyDescent="0.2">
      <c r="B135" s="15"/>
      <c r="C135" s="15"/>
      <c r="D135" s="28"/>
      <c r="E135" s="49"/>
      <c r="F135" s="49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129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Y135" s="84"/>
      <c r="BZ135" s="84"/>
      <c r="CL135" s="222"/>
      <c r="CM135" s="222"/>
      <c r="CN135" s="222"/>
      <c r="CO135" s="222"/>
    </row>
    <row r="136" spans="2:93" s="7" customFormat="1" hidden="1" outlineLevel="1" x14ac:dyDescent="0.2">
      <c r="B136" s="15"/>
      <c r="C136" s="15"/>
      <c r="D136" s="28"/>
      <c r="E136" s="49"/>
      <c r="F136" s="49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129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Y136" s="84"/>
      <c r="BZ136" s="84"/>
      <c r="CL136" s="222"/>
      <c r="CM136" s="222"/>
      <c r="CN136" s="222"/>
      <c r="CO136" s="222"/>
    </row>
    <row r="137" spans="2:93" s="7" customFormat="1" hidden="1" outlineLevel="1" x14ac:dyDescent="0.2">
      <c r="B137" s="15"/>
      <c r="C137" s="15"/>
      <c r="D137" s="28"/>
      <c r="E137" s="49"/>
      <c r="F137" s="49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129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Y137" s="84"/>
      <c r="BZ137" s="84"/>
      <c r="CL137" s="222"/>
      <c r="CM137" s="222"/>
      <c r="CN137" s="222"/>
      <c r="CO137" s="222"/>
    </row>
    <row r="138" spans="2:93" s="7" customFormat="1" hidden="1" outlineLevel="1" x14ac:dyDescent="0.2">
      <c r="B138" s="15"/>
      <c r="C138" s="15"/>
      <c r="D138" s="28"/>
      <c r="E138" s="49"/>
      <c r="F138" s="49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129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Y138" s="84"/>
      <c r="BZ138" s="84"/>
      <c r="CL138" s="222"/>
      <c r="CM138" s="222"/>
      <c r="CN138" s="222"/>
      <c r="CO138" s="222"/>
    </row>
    <row r="139" spans="2:93" s="7" customFormat="1" hidden="1" outlineLevel="1" x14ac:dyDescent="0.2">
      <c r="B139" s="15"/>
      <c r="C139" s="15"/>
      <c r="D139" s="28"/>
      <c r="E139" s="49"/>
      <c r="F139" s="49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129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Y139" s="84"/>
      <c r="BZ139" s="84"/>
      <c r="CL139" s="222"/>
      <c r="CM139" s="222"/>
      <c r="CN139" s="222"/>
      <c r="CO139" s="222"/>
    </row>
    <row r="140" spans="2:93" s="7" customFormat="1" hidden="1" outlineLevel="1" x14ac:dyDescent="0.2">
      <c r="B140" s="15"/>
      <c r="C140" s="15"/>
      <c r="D140" s="28"/>
      <c r="E140" s="49"/>
      <c r="F140" s="49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129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Y140" s="84"/>
      <c r="BZ140" s="84"/>
      <c r="CL140" s="222"/>
      <c r="CM140" s="222"/>
      <c r="CN140" s="222"/>
      <c r="CO140" s="222"/>
    </row>
    <row r="141" spans="2:93" s="7" customFormat="1" hidden="1" outlineLevel="1" x14ac:dyDescent="0.2">
      <c r="B141" s="15"/>
      <c r="C141" s="15"/>
      <c r="D141" s="28"/>
      <c r="E141" s="49"/>
      <c r="F141" s="49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129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Y141" s="84"/>
      <c r="BZ141" s="84"/>
      <c r="CL141" s="222"/>
      <c r="CM141" s="222"/>
      <c r="CN141" s="222"/>
      <c r="CO141" s="222"/>
    </row>
    <row r="142" spans="2:93" s="7" customFormat="1" hidden="1" outlineLevel="1" x14ac:dyDescent="0.2">
      <c r="B142" s="15"/>
      <c r="C142" s="15"/>
      <c r="D142" s="28"/>
      <c r="E142" s="49"/>
      <c r="F142" s="49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129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Y142" s="84"/>
      <c r="BZ142" s="84"/>
      <c r="CL142" s="222"/>
      <c r="CM142" s="222"/>
      <c r="CN142" s="222"/>
      <c r="CO142" s="222"/>
    </row>
    <row r="143" spans="2:93" s="7" customFormat="1" hidden="1" outlineLevel="1" x14ac:dyDescent="0.2">
      <c r="B143" s="15"/>
      <c r="C143" s="15"/>
      <c r="D143" s="28"/>
      <c r="E143" s="49"/>
      <c r="F143" s="49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129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Y143" s="84"/>
      <c r="BZ143" s="84"/>
      <c r="CL143" s="222"/>
      <c r="CM143" s="222"/>
      <c r="CN143" s="222"/>
      <c r="CO143" s="222"/>
    </row>
    <row r="144" spans="2:93" s="7" customFormat="1" hidden="1" outlineLevel="1" x14ac:dyDescent="0.2">
      <c r="B144" s="15"/>
      <c r="C144" s="15"/>
      <c r="D144" s="28"/>
      <c r="E144" s="49"/>
      <c r="F144" s="49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129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Y144" s="84"/>
      <c r="BZ144" s="84"/>
      <c r="CL144" s="222"/>
      <c r="CM144" s="222"/>
      <c r="CN144" s="222"/>
      <c r="CO144" s="222"/>
    </row>
    <row r="145" spans="2:93" s="7" customFormat="1" hidden="1" outlineLevel="1" x14ac:dyDescent="0.2">
      <c r="B145" s="15"/>
      <c r="C145" s="15"/>
      <c r="D145" s="28"/>
      <c r="E145" s="49"/>
      <c r="F145" s="49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129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Y145" s="84"/>
      <c r="BZ145" s="84"/>
      <c r="CL145" s="222"/>
      <c r="CM145" s="222"/>
      <c r="CN145" s="222"/>
      <c r="CO145" s="222"/>
    </row>
    <row r="146" spans="2:93" s="7" customFormat="1" hidden="1" outlineLevel="1" x14ac:dyDescent="0.2">
      <c r="B146" s="15"/>
      <c r="C146" s="15"/>
      <c r="D146" s="28"/>
      <c r="E146" s="49"/>
      <c r="F146" s="49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129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Y146" s="84"/>
      <c r="BZ146" s="84"/>
      <c r="CL146" s="222"/>
      <c r="CM146" s="222"/>
      <c r="CN146" s="222"/>
      <c r="CO146" s="222"/>
    </row>
    <row r="147" spans="2:93" s="7" customFormat="1" hidden="1" outlineLevel="1" x14ac:dyDescent="0.2">
      <c r="B147" s="15"/>
      <c r="C147" s="15"/>
      <c r="D147" s="28"/>
      <c r="E147" s="49"/>
      <c r="F147" s="49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129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Y147" s="84"/>
      <c r="BZ147" s="84"/>
      <c r="CL147" s="222"/>
      <c r="CM147" s="222"/>
      <c r="CN147" s="222"/>
      <c r="CO147" s="222"/>
    </row>
    <row r="148" spans="2:93" s="7" customFormat="1" hidden="1" outlineLevel="1" x14ac:dyDescent="0.2">
      <c r="B148" s="15"/>
      <c r="C148" s="15"/>
      <c r="D148" s="28"/>
      <c r="E148" s="49"/>
      <c r="F148" s="49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129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Y148" s="84"/>
      <c r="BZ148" s="84"/>
      <c r="CL148" s="222"/>
      <c r="CM148" s="222"/>
      <c r="CN148" s="222"/>
      <c r="CO148" s="222"/>
    </row>
    <row r="149" spans="2:93" s="7" customFormat="1" hidden="1" outlineLevel="1" x14ac:dyDescent="0.2">
      <c r="B149" s="15"/>
      <c r="C149" s="15"/>
      <c r="D149" s="28"/>
      <c r="E149" s="49"/>
      <c r="F149" s="4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29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Y149" s="84"/>
      <c r="BZ149" s="84"/>
      <c r="CL149" s="222"/>
      <c r="CM149" s="222"/>
      <c r="CN149" s="222"/>
      <c r="CO149" s="222"/>
    </row>
    <row r="150" spans="2:93" s="7" customFormat="1" hidden="1" outlineLevel="1" x14ac:dyDescent="0.2">
      <c r="B150" s="15"/>
      <c r="C150" s="15"/>
      <c r="D150" s="28"/>
      <c r="E150" s="49"/>
      <c r="F150" s="49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129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Y150" s="84"/>
      <c r="BZ150" s="84"/>
      <c r="CL150" s="222"/>
      <c r="CM150" s="222"/>
      <c r="CN150" s="222"/>
      <c r="CO150" s="222"/>
    </row>
    <row r="151" spans="2:93" s="7" customFormat="1" hidden="1" outlineLevel="1" x14ac:dyDescent="0.2">
      <c r="B151" s="15"/>
      <c r="C151" s="15"/>
      <c r="D151" s="28"/>
      <c r="E151" s="49"/>
      <c r="F151" s="49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129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Y151" s="84"/>
      <c r="BZ151" s="84"/>
      <c r="CL151" s="222"/>
      <c r="CM151" s="222"/>
      <c r="CN151" s="222"/>
      <c r="CO151" s="222"/>
    </row>
    <row r="152" spans="2:93" s="7" customFormat="1" hidden="1" outlineLevel="1" x14ac:dyDescent="0.2">
      <c r="B152" s="15"/>
      <c r="C152" s="15"/>
      <c r="D152" s="28"/>
      <c r="E152" s="49"/>
      <c r="F152" s="49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129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Y152" s="84"/>
      <c r="BZ152" s="84"/>
      <c r="CL152" s="222"/>
      <c r="CM152" s="222"/>
      <c r="CN152" s="222"/>
      <c r="CO152" s="222"/>
    </row>
    <row r="153" spans="2:93" s="7" customFormat="1" hidden="1" outlineLevel="1" x14ac:dyDescent="0.2">
      <c r="B153" s="15"/>
      <c r="C153" s="15"/>
      <c r="D153" s="28"/>
      <c r="E153" s="49"/>
      <c r="F153" s="49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129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Y153" s="84"/>
      <c r="BZ153" s="84"/>
      <c r="CL153" s="222"/>
      <c r="CM153" s="222"/>
      <c r="CN153" s="222"/>
      <c r="CO153" s="222"/>
    </row>
    <row r="154" spans="2:93" s="7" customFormat="1" hidden="1" outlineLevel="1" x14ac:dyDescent="0.2">
      <c r="B154" s="15"/>
      <c r="C154" s="15"/>
      <c r="D154" s="28"/>
      <c r="E154" s="49"/>
      <c r="F154" s="49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129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Y154" s="84"/>
      <c r="BZ154" s="84"/>
      <c r="CL154" s="222"/>
      <c r="CM154" s="222"/>
      <c r="CN154" s="222"/>
      <c r="CO154" s="222"/>
    </row>
    <row r="155" spans="2:93" s="7" customFormat="1" hidden="1" outlineLevel="1" x14ac:dyDescent="0.2">
      <c r="B155" s="15"/>
      <c r="C155" s="15"/>
      <c r="D155" s="28"/>
      <c r="E155" s="49"/>
      <c r="F155" s="49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129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Y155" s="84"/>
      <c r="BZ155" s="84"/>
      <c r="CL155" s="222"/>
      <c r="CM155" s="222"/>
      <c r="CN155" s="222"/>
      <c r="CO155" s="222"/>
    </row>
    <row r="156" spans="2:93" s="7" customFormat="1" hidden="1" outlineLevel="1" x14ac:dyDescent="0.2">
      <c r="B156" s="15"/>
      <c r="C156" s="15"/>
      <c r="D156" s="28"/>
      <c r="E156" s="49"/>
      <c r="F156" s="49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129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Y156" s="84"/>
      <c r="BZ156" s="84"/>
      <c r="CL156" s="222"/>
      <c r="CM156" s="222"/>
      <c r="CN156" s="222"/>
      <c r="CO156" s="222"/>
    </row>
    <row r="157" spans="2:93" s="7" customFormat="1" hidden="1" outlineLevel="1" x14ac:dyDescent="0.2">
      <c r="B157" s="15"/>
      <c r="C157" s="15"/>
      <c r="D157" s="28"/>
      <c r="E157" s="49"/>
      <c r="F157" s="49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129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Y157" s="84"/>
      <c r="BZ157" s="84"/>
      <c r="CL157" s="222"/>
      <c r="CM157" s="222"/>
      <c r="CN157" s="222"/>
      <c r="CO157" s="222"/>
    </row>
    <row r="158" spans="2:93" s="7" customFormat="1" hidden="1" outlineLevel="1" x14ac:dyDescent="0.2">
      <c r="B158" s="15"/>
      <c r="C158" s="15"/>
      <c r="D158" s="28"/>
      <c r="E158" s="49"/>
      <c r="F158" s="4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129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Y158" s="84"/>
      <c r="BZ158" s="84"/>
      <c r="CL158" s="222"/>
      <c r="CM158" s="222"/>
      <c r="CN158" s="222"/>
      <c r="CO158" s="222"/>
    </row>
    <row r="159" spans="2:93" s="7" customFormat="1" hidden="1" outlineLevel="1" x14ac:dyDescent="0.2">
      <c r="B159" s="15"/>
      <c r="C159" s="15"/>
      <c r="D159" s="28"/>
      <c r="E159" s="49"/>
      <c r="F159" s="49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129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Y159" s="84"/>
      <c r="BZ159" s="84"/>
      <c r="CL159" s="222"/>
      <c r="CM159" s="222"/>
      <c r="CN159" s="222"/>
      <c r="CO159" s="222"/>
    </row>
    <row r="160" spans="2:93" s="7" customFormat="1" hidden="1" outlineLevel="1" x14ac:dyDescent="0.2">
      <c r="B160" s="15"/>
      <c r="C160" s="15"/>
      <c r="D160" s="28"/>
      <c r="E160" s="49"/>
      <c r="F160" s="49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129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Y160" s="84"/>
      <c r="BZ160" s="84"/>
      <c r="CL160" s="222"/>
      <c r="CM160" s="222"/>
      <c r="CN160" s="222"/>
      <c r="CO160" s="222"/>
    </row>
    <row r="161" spans="2:93" s="7" customFormat="1" hidden="1" outlineLevel="1" x14ac:dyDescent="0.2">
      <c r="B161" s="15"/>
      <c r="C161" s="15"/>
      <c r="D161" s="28"/>
      <c r="E161" s="49"/>
      <c r="F161" s="49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129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Y161" s="84"/>
      <c r="BZ161" s="84"/>
      <c r="CL161" s="222"/>
      <c r="CM161" s="222"/>
      <c r="CN161" s="222"/>
      <c r="CO161" s="222"/>
    </row>
    <row r="162" spans="2:93" s="7" customFormat="1" hidden="1" outlineLevel="1" x14ac:dyDescent="0.2">
      <c r="B162" s="15"/>
      <c r="C162" s="15"/>
      <c r="D162" s="28"/>
      <c r="E162" s="49"/>
      <c r="F162" s="49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129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Y162" s="84"/>
      <c r="BZ162" s="84"/>
      <c r="CL162" s="222"/>
      <c r="CM162" s="222"/>
      <c r="CN162" s="222"/>
      <c r="CO162" s="222"/>
    </row>
    <row r="163" spans="2:93" s="7" customFormat="1" hidden="1" outlineLevel="1" x14ac:dyDescent="0.2">
      <c r="B163" s="15"/>
      <c r="C163" s="15"/>
      <c r="D163" s="28"/>
      <c r="E163" s="49"/>
      <c r="F163" s="49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129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Y163" s="84"/>
      <c r="BZ163" s="84"/>
      <c r="CL163" s="222"/>
      <c r="CM163" s="222"/>
      <c r="CN163" s="222"/>
      <c r="CO163" s="222"/>
    </row>
    <row r="164" spans="2:93" s="7" customFormat="1" hidden="1" outlineLevel="1" x14ac:dyDescent="0.2">
      <c r="B164" s="15"/>
      <c r="C164" s="15"/>
      <c r="D164" s="28"/>
      <c r="E164" s="49"/>
      <c r="F164" s="49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129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Y164" s="84"/>
      <c r="BZ164" s="84"/>
      <c r="CL164" s="222"/>
      <c r="CM164" s="222"/>
      <c r="CN164" s="222"/>
      <c r="CO164" s="222"/>
    </row>
    <row r="165" spans="2:93" s="7" customFormat="1" hidden="1" outlineLevel="1" x14ac:dyDescent="0.2">
      <c r="B165" s="15"/>
      <c r="C165" s="15"/>
      <c r="D165" s="28"/>
      <c r="E165" s="49"/>
      <c r="F165" s="49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129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Y165" s="84"/>
      <c r="BZ165" s="84"/>
      <c r="CL165" s="222"/>
      <c r="CM165" s="222"/>
      <c r="CN165" s="222"/>
      <c r="CO165" s="222"/>
    </row>
    <row r="166" spans="2:93" s="7" customFormat="1" hidden="1" outlineLevel="1" x14ac:dyDescent="0.2">
      <c r="B166" s="15"/>
      <c r="C166" s="15"/>
      <c r="D166" s="28"/>
      <c r="E166" s="49"/>
      <c r="F166" s="49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129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Y166" s="84"/>
      <c r="BZ166" s="84"/>
      <c r="CL166" s="222"/>
      <c r="CM166" s="222"/>
      <c r="CN166" s="222"/>
      <c r="CO166" s="222"/>
    </row>
    <row r="167" spans="2:93" s="7" customFormat="1" hidden="1" outlineLevel="1" x14ac:dyDescent="0.2">
      <c r="B167" s="15"/>
      <c r="C167" s="15"/>
      <c r="D167" s="28"/>
      <c r="E167" s="49"/>
      <c r="F167" s="49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129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Y167" s="84"/>
      <c r="BZ167" s="84"/>
      <c r="CL167" s="222"/>
      <c r="CM167" s="222"/>
      <c r="CN167" s="222"/>
      <c r="CO167" s="222"/>
    </row>
    <row r="168" spans="2:93" s="7" customFormat="1" hidden="1" outlineLevel="1" x14ac:dyDescent="0.2">
      <c r="B168" s="15"/>
      <c r="C168" s="15"/>
      <c r="D168" s="28"/>
      <c r="E168" s="49"/>
      <c r="F168" s="49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129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Y168" s="84"/>
      <c r="BZ168" s="84"/>
      <c r="CL168" s="222"/>
      <c r="CM168" s="222"/>
      <c r="CN168" s="222"/>
      <c r="CO168" s="222"/>
    </row>
    <row r="169" spans="2:93" s="7" customFormat="1" hidden="1" outlineLevel="1" x14ac:dyDescent="0.2">
      <c r="B169" s="15"/>
      <c r="C169" s="15"/>
      <c r="D169" s="28"/>
      <c r="E169" s="49"/>
      <c r="F169" s="49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129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Y169" s="84"/>
      <c r="BZ169" s="84"/>
      <c r="CL169" s="222"/>
      <c r="CM169" s="222"/>
      <c r="CN169" s="222"/>
      <c r="CO169" s="222"/>
    </row>
    <row r="170" spans="2:93" s="7" customFormat="1" hidden="1" outlineLevel="1" x14ac:dyDescent="0.2">
      <c r="B170" s="15"/>
      <c r="C170" s="15"/>
      <c r="D170" s="28"/>
      <c r="E170" s="49"/>
      <c r="F170" s="49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129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Y170" s="84"/>
      <c r="BZ170" s="84"/>
      <c r="CL170" s="222"/>
      <c r="CM170" s="222"/>
      <c r="CN170" s="222"/>
      <c r="CO170" s="222"/>
    </row>
    <row r="171" spans="2:93" s="7" customFormat="1" hidden="1" outlineLevel="1" x14ac:dyDescent="0.2">
      <c r="B171" s="15"/>
      <c r="C171" s="15"/>
      <c r="D171" s="28"/>
      <c r="E171" s="49"/>
      <c r="F171" s="49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129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Y171" s="84"/>
      <c r="BZ171" s="84"/>
      <c r="CL171" s="222"/>
      <c r="CM171" s="222"/>
      <c r="CN171" s="222"/>
      <c r="CO171" s="222"/>
    </row>
    <row r="172" spans="2:93" s="7" customFormat="1" hidden="1" outlineLevel="1" x14ac:dyDescent="0.2">
      <c r="B172" s="15"/>
      <c r="C172" s="15"/>
      <c r="D172" s="28"/>
      <c r="E172" s="49"/>
      <c r="F172" s="49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129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Y172" s="84"/>
      <c r="BZ172" s="84"/>
      <c r="CL172" s="222"/>
      <c r="CM172" s="222"/>
      <c r="CN172" s="222"/>
      <c r="CO172" s="222"/>
    </row>
    <row r="173" spans="2:93" s="7" customFormat="1" hidden="1" outlineLevel="1" x14ac:dyDescent="0.2">
      <c r="B173" s="15"/>
      <c r="C173" s="15"/>
      <c r="D173" s="28"/>
      <c r="E173" s="49"/>
      <c r="F173" s="49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129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Y173" s="84"/>
      <c r="BZ173" s="84"/>
      <c r="CL173" s="222"/>
      <c r="CM173" s="222"/>
      <c r="CN173" s="222"/>
      <c r="CO173" s="222"/>
    </row>
    <row r="174" spans="2:93" s="7" customFormat="1" hidden="1" outlineLevel="1" x14ac:dyDescent="0.2">
      <c r="B174" s="15"/>
      <c r="C174" s="15"/>
      <c r="D174" s="28"/>
      <c r="E174" s="49"/>
      <c r="F174" s="49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129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Y174" s="84"/>
      <c r="BZ174" s="84"/>
      <c r="CL174" s="222"/>
      <c r="CM174" s="222"/>
      <c r="CN174" s="222"/>
      <c r="CO174" s="222"/>
    </row>
    <row r="175" spans="2:93" s="7" customFormat="1" hidden="1" outlineLevel="1" x14ac:dyDescent="0.2">
      <c r="B175" s="15"/>
      <c r="C175" s="15"/>
      <c r="D175" s="28"/>
      <c r="E175" s="49"/>
      <c r="F175" s="49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129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Y175" s="84"/>
      <c r="BZ175" s="84"/>
      <c r="CL175" s="222"/>
      <c r="CM175" s="222"/>
      <c r="CN175" s="222"/>
      <c r="CO175" s="222"/>
    </row>
    <row r="176" spans="2:93" s="7" customFormat="1" hidden="1" outlineLevel="1" x14ac:dyDescent="0.2">
      <c r="B176" s="15"/>
      <c r="C176" s="15"/>
      <c r="D176" s="28"/>
      <c r="E176" s="49"/>
      <c r="F176" s="49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129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Y176" s="84"/>
      <c r="BZ176" s="84"/>
      <c r="CL176" s="222"/>
      <c r="CM176" s="222"/>
      <c r="CN176" s="222"/>
      <c r="CO176" s="222"/>
    </row>
    <row r="177" spans="2:93" s="7" customFormat="1" hidden="1" outlineLevel="1" x14ac:dyDescent="0.2">
      <c r="B177" s="15"/>
      <c r="C177" s="15"/>
      <c r="D177" s="28"/>
      <c r="E177" s="49"/>
      <c r="F177" s="49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129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Y177" s="84"/>
      <c r="BZ177" s="84"/>
      <c r="CL177" s="222"/>
      <c r="CM177" s="222"/>
      <c r="CN177" s="222"/>
      <c r="CO177" s="222"/>
    </row>
    <row r="178" spans="2:93" s="7" customFormat="1" hidden="1" outlineLevel="1" x14ac:dyDescent="0.2">
      <c r="B178" s="15"/>
      <c r="C178" s="15"/>
      <c r="D178" s="28"/>
      <c r="E178" s="49"/>
      <c r="F178" s="49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129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Y178" s="84"/>
      <c r="BZ178" s="84"/>
      <c r="CL178" s="222"/>
      <c r="CM178" s="222"/>
      <c r="CN178" s="222"/>
      <c r="CO178" s="222"/>
    </row>
    <row r="179" spans="2:93" s="7" customFormat="1" hidden="1" outlineLevel="1" x14ac:dyDescent="0.2">
      <c r="B179" s="15"/>
      <c r="C179" s="15"/>
      <c r="D179" s="28"/>
      <c r="E179" s="49"/>
      <c r="F179" s="49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129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Y179" s="84"/>
      <c r="BZ179" s="84"/>
      <c r="CL179" s="222"/>
      <c r="CM179" s="222"/>
      <c r="CN179" s="222"/>
      <c r="CO179" s="222"/>
    </row>
    <row r="180" spans="2:93" s="7" customFormat="1" hidden="1" outlineLevel="1" x14ac:dyDescent="0.2">
      <c r="B180" s="15"/>
      <c r="C180" s="15"/>
      <c r="D180" s="28"/>
      <c r="E180" s="49"/>
      <c r="F180" s="49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129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Y180" s="84"/>
      <c r="BZ180" s="84"/>
      <c r="CL180" s="222"/>
      <c r="CM180" s="222"/>
      <c r="CN180" s="222"/>
      <c r="CO180" s="222"/>
    </row>
    <row r="181" spans="2:93" s="7" customFormat="1" hidden="1" outlineLevel="1" x14ac:dyDescent="0.2">
      <c r="B181" s="15"/>
      <c r="C181" s="15"/>
      <c r="D181" s="28"/>
      <c r="E181" s="49"/>
      <c r="F181" s="49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129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Y181" s="84"/>
      <c r="BZ181" s="84"/>
      <c r="CL181" s="222"/>
      <c r="CM181" s="222"/>
      <c r="CN181" s="222"/>
      <c r="CO181" s="222"/>
    </row>
    <row r="182" spans="2:93" s="7" customFormat="1" hidden="1" outlineLevel="1" x14ac:dyDescent="0.2">
      <c r="B182" s="15"/>
      <c r="C182" s="15"/>
      <c r="D182" s="28"/>
      <c r="E182" s="49"/>
      <c r="F182" s="49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129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Y182" s="84"/>
      <c r="BZ182" s="84"/>
      <c r="CL182" s="222"/>
      <c r="CM182" s="222"/>
      <c r="CN182" s="222"/>
      <c r="CO182" s="222"/>
    </row>
    <row r="183" spans="2:93" s="7" customFormat="1" hidden="1" outlineLevel="1" x14ac:dyDescent="0.2">
      <c r="B183" s="15"/>
      <c r="C183" s="15"/>
      <c r="D183" s="28"/>
      <c r="E183" s="49"/>
      <c r="F183" s="49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129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Y183" s="84"/>
      <c r="BZ183" s="84"/>
      <c r="CL183" s="222"/>
      <c r="CM183" s="222"/>
      <c r="CN183" s="222"/>
      <c r="CO183" s="222"/>
    </row>
    <row r="184" spans="2:93" s="7" customFormat="1" hidden="1" outlineLevel="1" x14ac:dyDescent="0.2">
      <c r="B184" s="15"/>
      <c r="C184" s="15"/>
      <c r="D184" s="28"/>
      <c r="E184" s="49"/>
      <c r="F184" s="49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129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Y184" s="84"/>
      <c r="BZ184" s="84"/>
      <c r="CL184" s="222"/>
      <c r="CM184" s="222"/>
      <c r="CN184" s="222"/>
      <c r="CO184" s="222"/>
    </row>
    <row r="185" spans="2:93" s="7" customFormat="1" hidden="1" outlineLevel="1" x14ac:dyDescent="0.2">
      <c r="B185" s="15"/>
      <c r="C185" s="15"/>
      <c r="D185" s="28"/>
      <c r="E185" s="49"/>
      <c r="F185" s="49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129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Y185" s="84"/>
      <c r="BZ185" s="84"/>
      <c r="CL185" s="222"/>
      <c r="CM185" s="222"/>
      <c r="CN185" s="222"/>
      <c r="CO185" s="222"/>
    </row>
    <row r="186" spans="2:93" s="7" customFormat="1" hidden="1" outlineLevel="1" x14ac:dyDescent="0.2">
      <c r="B186" s="15"/>
      <c r="C186" s="15"/>
      <c r="D186" s="28"/>
      <c r="E186" s="49"/>
      <c r="F186" s="49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129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Y186" s="84"/>
      <c r="BZ186" s="84"/>
      <c r="CL186" s="222"/>
      <c r="CM186" s="222"/>
      <c r="CN186" s="222"/>
      <c r="CO186" s="222"/>
    </row>
    <row r="187" spans="2:93" s="7" customFormat="1" hidden="1" outlineLevel="1" x14ac:dyDescent="0.2">
      <c r="B187" s="15"/>
      <c r="C187" s="15"/>
      <c r="D187" s="28"/>
      <c r="E187" s="49"/>
      <c r="F187" s="49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129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Y187" s="84"/>
      <c r="BZ187" s="84"/>
      <c r="CL187" s="222"/>
      <c r="CM187" s="222"/>
      <c r="CN187" s="222"/>
      <c r="CO187" s="222"/>
    </row>
    <row r="188" spans="2:93" s="7" customFormat="1" hidden="1" outlineLevel="1" x14ac:dyDescent="0.2">
      <c r="B188" s="15"/>
      <c r="C188" s="15"/>
      <c r="D188" s="28"/>
      <c r="E188" s="49"/>
      <c r="F188" s="49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129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Y188" s="84"/>
      <c r="BZ188" s="84"/>
      <c r="CL188" s="222"/>
      <c r="CM188" s="222"/>
      <c r="CN188" s="222"/>
      <c r="CO188" s="222"/>
    </row>
    <row r="189" spans="2:93" s="7" customFormat="1" hidden="1" outlineLevel="1" x14ac:dyDescent="0.2">
      <c r="B189" s="15"/>
      <c r="C189" s="15"/>
      <c r="D189" s="28"/>
      <c r="E189" s="49"/>
      <c r="F189" s="49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129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Y189" s="84"/>
      <c r="BZ189" s="84"/>
      <c r="CL189" s="222"/>
      <c r="CM189" s="222"/>
      <c r="CN189" s="222"/>
      <c r="CO189" s="222"/>
    </row>
    <row r="190" spans="2:93" s="7" customFormat="1" hidden="1" outlineLevel="1" x14ac:dyDescent="0.2">
      <c r="B190" s="15"/>
      <c r="C190" s="15"/>
      <c r="D190" s="28"/>
      <c r="E190" s="49"/>
      <c r="F190" s="49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129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Y190" s="84"/>
      <c r="BZ190" s="84"/>
      <c r="CL190" s="222"/>
      <c r="CM190" s="222"/>
      <c r="CN190" s="222"/>
      <c r="CO190" s="222"/>
    </row>
    <row r="191" spans="2:93" s="7" customFormat="1" hidden="1" outlineLevel="1" x14ac:dyDescent="0.2">
      <c r="B191" s="15"/>
      <c r="C191" s="15"/>
      <c r="D191" s="28"/>
      <c r="E191" s="49"/>
      <c r="F191" s="49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129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Y191" s="84"/>
      <c r="BZ191" s="84"/>
      <c r="CL191" s="222"/>
      <c r="CM191" s="222"/>
      <c r="CN191" s="222"/>
      <c r="CO191" s="222"/>
    </row>
    <row r="192" spans="2:93" s="7" customFormat="1" hidden="1" outlineLevel="1" x14ac:dyDescent="0.2">
      <c r="B192" s="15"/>
      <c r="C192" s="15"/>
      <c r="D192" s="28"/>
      <c r="E192" s="49"/>
      <c r="F192" s="49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129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Y192" s="84"/>
      <c r="BZ192" s="84"/>
      <c r="CL192" s="222"/>
      <c r="CM192" s="222"/>
      <c r="CN192" s="222"/>
      <c r="CO192" s="222"/>
    </row>
    <row r="193" spans="2:93" s="7" customFormat="1" hidden="1" outlineLevel="1" x14ac:dyDescent="0.2">
      <c r="B193" s="15"/>
      <c r="C193" s="15"/>
      <c r="D193" s="28"/>
      <c r="E193" s="49"/>
      <c r="F193" s="49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129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Y193" s="84"/>
      <c r="BZ193" s="84"/>
      <c r="CL193" s="222"/>
      <c r="CM193" s="222"/>
      <c r="CN193" s="222"/>
      <c r="CO193" s="222"/>
    </row>
    <row r="194" spans="2:93" s="7" customFormat="1" hidden="1" outlineLevel="1" x14ac:dyDescent="0.2">
      <c r="B194" s="15"/>
      <c r="C194" s="15"/>
      <c r="D194" s="28"/>
      <c r="E194" s="49"/>
      <c r="F194" s="49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129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Y194" s="84"/>
      <c r="BZ194" s="84"/>
      <c r="CL194" s="222"/>
      <c r="CM194" s="222"/>
      <c r="CN194" s="222"/>
      <c r="CO194" s="222"/>
    </row>
    <row r="195" spans="2:93" s="7" customFormat="1" hidden="1" outlineLevel="1" x14ac:dyDescent="0.2">
      <c r="B195" s="15"/>
      <c r="C195" s="15"/>
      <c r="D195" s="28"/>
      <c r="E195" s="49"/>
      <c r="F195" s="49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129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Y195" s="84"/>
      <c r="BZ195" s="84"/>
      <c r="CL195" s="222"/>
      <c r="CM195" s="222"/>
      <c r="CN195" s="222"/>
      <c r="CO195" s="222"/>
    </row>
    <row r="196" spans="2:93" s="7" customFormat="1" hidden="1" outlineLevel="1" x14ac:dyDescent="0.2">
      <c r="B196" s="15"/>
      <c r="C196" s="15"/>
      <c r="D196" s="28"/>
      <c r="E196" s="49"/>
      <c r="F196" s="49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129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Y196" s="84"/>
      <c r="BZ196" s="84"/>
      <c r="CL196" s="222"/>
      <c r="CM196" s="222"/>
      <c r="CN196" s="222"/>
      <c r="CO196" s="222"/>
    </row>
    <row r="197" spans="2:93" s="7" customFormat="1" hidden="1" outlineLevel="1" x14ac:dyDescent="0.2">
      <c r="B197" s="15"/>
      <c r="C197" s="15"/>
      <c r="D197" s="28"/>
      <c r="E197" s="49"/>
      <c r="F197" s="49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129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Y197" s="84"/>
      <c r="BZ197" s="84"/>
      <c r="CL197" s="222"/>
      <c r="CM197" s="222"/>
      <c r="CN197" s="222"/>
      <c r="CO197" s="222"/>
    </row>
    <row r="198" spans="2:93" s="7" customFormat="1" hidden="1" outlineLevel="1" x14ac:dyDescent="0.2">
      <c r="B198" s="15"/>
      <c r="C198" s="15"/>
      <c r="D198" s="28"/>
      <c r="E198" s="49"/>
      <c r="F198" s="49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129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Y198" s="84"/>
      <c r="BZ198" s="84"/>
      <c r="CL198" s="222"/>
      <c r="CM198" s="222"/>
      <c r="CN198" s="222"/>
      <c r="CO198" s="222"/>
    </row>
    <row r="199" spans="2:93" s="7" customFormat="1" hidden="1" outlineLevel="1" x14ac:dyDescent="0.2">
      <c r="B199" s="15"/>
      <c r="C199" s="15"/>
      <c r="D199" s="28"/>
      <c r="E199" s="49"/>
      <c r="F199" s="49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129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Y199" s="84"/>
      <c r="BZ199" s="84"/>
      <c r="CL199" s="222"/>
      <c r="CM199" s="222"/>
      <c r="CN199" s="222"/>
      <c r="CO199" s="222"/>
    </row>
    <row r="200" spans="2:93" s="7" customFormat="1" hidden="1" outlineLevel="1" x14ac:dyDescent="0.2">
      <c r="B200" s="15"/>
      <c r="C200" s="15"/>
      <c r="D200" s="28"/>
      <c r="E200" s="49"/>
      <c r="F200" s="49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129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Y200" s="84"/>
      <c r="BZ200" s="84"/>
      <c r="CL200" s="222"/>
      <c r="CM200" s="222"/>
      <c r="CN200" s="222"/>
      <c r="CO200" s="222"/>
    </row>
    <row r="201" spans="2:93" s="7" customFormat="1" hidden="1" outlineLevel="1" x14ac:dyDescent="0.2">
      <c r="B201" s="15"/>
      <c r="C201" s="15"/>
      <c r="D201" s="28"/>
      <c r="E201" s="49"/>
      <c r="F201" s="49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129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Y201" s="84"/>
      <c r="BZ201" s="84"/>
      <c r="CL201" s="222"/>
      <c r="CM201" s="222"/>
      <c r="CN201" s="222"/>
      <c r="CO201" s="222"/>
    </row>
    <row r="202" spans="2:93" s="7" customFormat="1" hidden="1" outlineLevel="1" x14ac:dyDescent="0.2">
      <c r="B202" s="15"/>
      <c r="C202" s="15"/>
      <c r="D202" s="28"/>
      <c r="E202" s="49"/>
      <c r="F202" s="49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129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Y202" s="84"/>
      <c r="BZ202" s="84"/>
      <c r="CL202" s="222"/>
      <c r="CM202" s="222"/>
      <c r="CN202" s="222"/>
      <c r="CO202" s="222"/>
    </row>
    <row r="203" spans="2:93" s="7" customFormat="1" hidden="1" outlineLevel="1" x14ac:dyDescent="0.2">
      <c r="B203" s="15"/>
      <c r="C203" s="15"/>
      <c r="D203" s="28"/>
      <c r="E203" s="49"/>
      <c r="F203" s="49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129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Y203" s="84"/>
      <c r="BZ203" s="84"/>
      <c r="CL203" s="222"/>
      <c r="CM203" s="222"/>
      <c r="CN203" s="222"/>
      <c r="CO203" s="222"/>
    </row>
    <row r="204" spans="2:93" s="7" customFormat="1" hidden="1" outlineLevel="1" x14ac:dyDescent="0.2">
      <c r="B204" s="15"/>
      <c r="C204" s="15"/>
      <c r="D204" s="28"/>
      <c r="E204" s="49"/>
      <c r="F204" s="49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129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Y204" s="84"/>
      <c r="BZ204" s="84"/>
      <c r="CL204" s="222"/>
      <c r="CM204" s="222"/>
      <c r="CN204" s="222"/>
      <c r="CO204" s="222"/>
    </row>
    <row r="205" spans="2:93" s="7" customFormat="1" hidden="1" outlineLevel="1" x14ac:dyDescent="0.2">
      <c r="B205" s="15"/>
      <c r="C205" s="15"/>
      <c r="D205" s="28"/>
      <c r="E205" s="49"/>
      <c r="F205" s="49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129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Y205" s="84"/>
      <c r="BZ205" s="84"/>
      <c r="CL205" s="222"/>
      <c r="CM205" s="222"/>
      <c r="CN205" s="222"/>
      <c r="CO205" s="222"/>
    </row>
    <row r="206" spans="2:93" s="7" customFormat="1" hidden="1" outlineLevel="1" x14ac:dyDescent="0.2">
      <c r="B206" s="15"/>
      <c r="C206" s="15"/>
      <c r="D206" s="28"/>
      <c r="E206" s="49"/>
      <c r="F206" s="49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129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Y206" s="84"/>
      <c r="BZ206" s="84"/>
      <c r="CL206" s="222"/>
      <c r="CM206" s="222"/>
      <c r="CN206" s="222"/>
      <c r="CO206" s="222"/>
    </row>
    <row r="207" spans="2:93" s="7" customFormat="1" hidden="1" outlineLevel="1" x14ac:dyDescent="0.2">
      <c r="B207" s="15"/>
      <c r="C207" s="15"/>
      <c r="D207" s="28"/>
      <c r="E207" s="49"/>
      <c r="F207" s="49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129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Y207" s="84"/>
      <c r="BZ207" s="84"/>
      <c r="CL207" s="222"/>
      <c r="CM207" s="222"/>
      <c r="CN207" s="222"/>
      <c r="CO207" s="222"/>
    </row>
    <row r="208" spans="2:93" s="7" customFormat="1" hidden="1" outlineLevel="1" x14ac:dyDescent="0.2">
      <c r="B208" s="15"/>
      <c r="C208" s="15"/>
      <c r="D208" s="28"/>
      <c r="E208" s="49"/>
      <c r="F208" s="49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129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Y208" s="84"/>
      <c r="BZ208" s="84"/>
      <c r="CL208" s="222"/>
      <c r="CM208" s="222"/>
      <c r="CN208" s="222"/>
      <c r="CO208" s="222"/>
    </row>
    <row r="209" spans="2:93" s="7" customFormat="1" hidden="1" outlineLevel="1" x14ac:dyDescent="0.2">
      <c r="B209" s="15"/>
      <c r="C209" s="15"/>
      <c r="D209" s="28"/>
      <c r="E209" s="49"/>
      <c r="F209" s="49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129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Y209" s="84"/>
      <c r="BZ209" s="84"/>
      <c r="CL209" s="222"/>
      <c r="CM209" s="222"/>
      <c r="CN209" s="222"/>
      <c r="CO209" s="222"/>
    </row>
    <row r="210" spans="2:93" s="7" customFormat="1" hidden="1" outlineLevel="1" x14ac:dyDescent="0.2">
      <c r="B210" s="15"/>
      <c r="C210" s="15"/>
      <c r="D210" s="28"/>
      <c r="E210" s="49"/>
      <c r="F210" s="49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129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Y210" s="84"/>
      <c r="BZ210" s="84"/>
      <c r="CL210" s="222"/>
      <c r="CM210" s="222"/>
      <c r="CN210" s="222"/>
      <c r="CO210" s="222"/>
    </row>
    <row r="211" spans="2:93" s="7" customFormat="1" hidden="1" outlineLevel="1" x14ac:dyDescent="0.2">
      <c r="B211" s="15"/>
      <c r="C211" s="15"/>
      <c r="D211" s="28"/>
      <c r="E211" s="49"/>
      <c r="F211" s="49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129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Y211" s="84"/>
      <c r="BZ211" s="84"/>
      <c r="CL211" s="222"/>
      <c r="CM211" s="222"/>
      <c r="CN211" s="222"/>
      <c r="CO211" s="222"/>
    </row>
    <row r="212" spans="2:93" s="7" customFormat="1" hidden="1" outlineLevel="1" x14ac:dyDescent="0.2">
      <c r="B212" s="15"/>
      <c r="C212" s="15"/>
      <c r="D212" s="28"/>
      <c r="E212" s="49"/>
      <c r="F212" s="49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129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Y212" s="84"/>
      <c r="BZ212" s="84"/>
      <c r="CL212" s="222"/>
      <c r="CM212" s="222"/>
      <c r="CN212" s="222"/>
      <c r="CO212" s="222"/>
    </row>
    <row r="213" spans="2:93" s="7" customFormat="1" hidden="1" outlineLevel="1" x14ac:dyDescent="0.2">
      <c r="B213" s="15"/>
      <c r="C213" s="15"/>
      <c r="D213" s="28"/>
      <c r="E213" s="49"/>
      <c r="F213" s="49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129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Y213" s="84"/>
      <c r="BZ213" s="84"/>
      <c r="CL213" s="222"/>
      <c r="CM213" s="222"/>
      <c r="CN213" s="222"/>
      <c r="CO213" s="222"/>
    </row>
    <row r="214" spans="2:93" s="7" customFormat="1" hidden="1" outlineLevel="1" x14ac:dyDescent="0.2">
      <c r="B214" s="15"/>
      <c r="C214" s="15"/>
      <c r="D214" s="28"/>
      <c r="E214" s="49"/>
      <c r="F214" s="49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129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Y214" s="84"/>
      <c r="BZ214" s="84"/>
      <c r="CL214" s="222"/>
      <c r="CM214" s="222"/>
      <c r="CN214" s="222"/>
      <c r="CO214" s="222"/>
    </row>
    <row r="215" spans="2:93" s="7" customFormat="1" hidden="1" outlineLevel="1" x14ac:dyDescent="0.2">
      <c r="B215" s="15"/>
      <c r="C215" s="15"/>
      <c r="D215" s="28"/>
      <c r="E215" s="49"/>
      <c r="F215" s="49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129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Y215" s="84"/>
      <c r="BZ215" s="84"/>
      <c r="CL215" s="222"/>
      <c r="CM215" s="222"/>
      <c r="CN215" s="222"/>
      <c r="CO215" s="222"/>
    </row>
    <row r="216" spans="2:93" s="7" customFormat="1" hidden="1" outlineLevel="1" x14ac:dyDescent="0.2">
      <c r="B216" s="15"/>
      <c r="C216" s="15"/>
      <c r="D216" s="28"/>
      <c r="E216" s="49"/>
      <c r="F216" s="49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129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Y216" s="84"/>
      <c r="BZ216" s="84"/>
      <c r="CL216" s="222"/>
      <c r="CM216" s="222"/>
      <c r="CN216" s="222"/>
      <c r="CO216" s="222"/>
    </row>
    <row r="217" spans="2:93" s="7" customFormat="1" hidden="1" outlineLevel="1" x14ac:dyDescent="0.2">
      <c r="B217" s="15"/>
      <c r="C217" s="15"/>
      <c r="D217" s="28"/>
      <c r="E217" s="49"/>
      <c r="F217" s="49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129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Y217" s="84"/>
      <c r="BZ217" s="84"/>
      <c r="CL217" s="222"/>
      <c r="CM217" s="222"/>
      <c r="CN217" s="222"/>
      <c r="CO217" s="222"/>
    </row>
    <row r="218" spans="2:93" s="7" customFormat="1" hidden="1" outlineLevel="1" x14ac:dyDescent="0.2">
      <c r="B218" s="15"/>
      <c r="C218" s="15"/>
      <c r="D218" s="28"/>
      <c r="E218" s="49"/>
      <c r="F218" s="49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129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Y218" s="84"/>
      <c r="BZ218" s="84"/>
      <c r="CL218" s="222"/>
      <c r="CM218" s="222"/>
      <c r="CN218" s="222"/>
      <c r="CO218" s="222"/>
    </row>
    <row r="219" spans="2:93" s="7" customFormat="1" hidden="1" outlineLevel="1" x14ac:dyDescent="0.2">
      <c r="B219" s="15"/>
      <c r="C219" s="15"/>
      <c r="D219" s="28"/>
      <c r="E219" s="49"/>
      <c r="F219" s="49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129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Y219" s="84"/>
      <c r="BZ219" s="84"/>
      <c r="CL219" s="222"/>
      <c r="CM219" s="222"/>
      <c r="CN219" s="222"/>
      <c r="CO219" s="222"/>
    </row>
    <row r="220" spans="2:93" s="7" customFormat="1" hidden="1" outlineLevel="1" x14ac:dyDescent="0.2">
      <c r="B220" s="15"/>
      <c r="C220" s="15"/>
      <c r="D220" s="28"/>
      <c r="E220" s="49"/>
      <c r="F220" s="49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129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Y220" s="84"/>
      <c r="BZ220" s="84"/>
      <c r="CL220" s="222"/>
      <c r="CM220" s="222"/>
      <c r="CN220" s="222"/>
      <c r="CO220" s="222"/>
    </row>
    <row r="221" spans="2:93" s="7" customFormat="1" hidden="1" outlineLevel="1" x14ac:dyDescent="0.2">
      <c r="B221" s="15"/>
      <c r="C221" s="15"/>
      <c r="D221" s="28"/>
      <c r="E221" s="49"/>
      <c r="F221" s="49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129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Y221" s="84"/>
      <c r="BZ221" s="84"/>
      <c r="CL221" s="222"/>
      <c r="CM221" s="222"/>
      <c r="CN221" s="222"/>
      <c r="CO221" s="222"/>
    </row>
    <row r="222" spans="2:93" s="7" customFormat="1" hidden="1" outlineLevel="1" x14ac:dyDescent="0.2">
      <c r="B222" s="15"/>
      <c r="C222" s="15"/>
      <c r="D222" s="28"/>
      <c r="E222" s="49"/>
      <c r="F222" s="49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129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Y222" s="84"/>
      <c r="BZ222" s="84"/>
      <c r="CL222" s="222"/>
      <c r="CM222" s="222"/>
      <c r="CN222" s="222"/>
      <c r="CO222" s="222"/>
    </row>
    <row r="223" spans="2:93" s="7" customFormat="1" hidden="1" outlineLevel="1" x14ac:dyDescent="0.2">
      <c r="B223" s="15"/>
      <c r="C223" s="15"/>
      <c r="D223" s="28"/>
      <c r="E223" s="49"/>
      <c r="F223" s="49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129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Y223" s="84"/>
      <c r="BZ223" s="84"/>
      <c r="CL223" s="222"/>
      <c r="CM223" s="222"/>
      <c r="CN223" s="222"/>
      <c r="CO223" s="222"/>
    </row>
    <row r="224" spans="2:93" s="7" customFormat="1" hidden="1" outlineLevel="1" x14ac:dyDescent="0.2">
      <c r="B224" s="15"/>
      <c r="C224" s="15"/>
      <c r="D224" s="28"/>
      <c r="E224" s="49"/>
      <c r="F224" s="49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129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Y224" s="84"/>
      <c r="BZ224" s="84"/>
      <c r="CL224" s="222"/>
      <c r="CM224" s="222"/>
      <c r="CN224" s="222"/>
      <c r="CO224" s="222"/>
    </row>
    <row r="225" spans="2:93" s="7" customFormat="1" hidden="1" outlineLevel="1" x14ac:dyDescent="0.2">
      <c r="B225" s="15"/>
      <c r="C225" s="15"/>
      <c r="D225" s="28"/>
      <c r="E225" s="49"/>
      <c r="F225" s="49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129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Y225" s="84"/>
      <c r="BZ225" s="84"/>
      <c r="CL225" s="222"/>
      <c r="CM225" s="222"/>
      <c r="CN225" s="222"/>
      <c r="CO225" s="222"/>
    </row>
    <row r="226" spans="2:93" s="7" customFormat="1" hidden="1" outlineLevel="1" x14ac:dyDescent="0.2">
      <c r="B226" s="15"/>
      <c r="C226" s="15"/>
      <c r="D226" s="28"/>
      <c r="E226" s="49"/>
      <c r="F226" s="49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129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Y226" s="84"/>
      <c r="BZ226" s="84"/>
      <c r="CL226" s="222"/>
      <c r="CM226" s="222"/>
      <c r="CN226" s="222"/>
      <c r="CO226" s="222"/>
    </row>
    <row r="227" spans="2:93" s="7" customFormat="1" hidden="1" outlineLevel="1" x14ac:dyDescent="0.2">
      <c r="B227" s="15"/>
      <c r="C227" s="15"/>
      <c r="D227" s="28"/>
      <c r="E227" s="49"/>
      <c r="F227" s="49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129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Y227" s="84"/>
      <c r="BZ227" s="84"/>
      <c r="CL227" s="222"/>
      <c r="CM227" s="222"/>
      <c r="CN227" s="222"/>
      <c r="CO227" s="222"/>
    </row>
    <row r="228" spans="2:93" s="7" customFormat="1" hidden="1" outlineLevel="1" x14ac:dyDescent="0.2">
      <c r="B228" s="15"/>
      <c r="C228" s="15"/>
      <c r="D228" s="28"/>
      <c r="E228" s="49"/>
      <c r="F228" s="49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129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Y228" s="84"/>
      <c r="BZ228" s="84"/>
      <c r="CL228" s="222"/>
      <c r="CM228" s="222"/>
      <c r="CN228" s="222"/>
      <c r="CO228" s="222"/>
    </row>
    <row r="229" spans="2:93" s="7" customFormat="1" hidden="1" outlineLevel="1" x14ac:dyDescent="0.2">
      <c r="B229" s="15"/>
      <c r="C229" s="15"/>
      <c r="D229" s="28"/>
      <c r="E229" s="49"/>
      <c r="F229" s="49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129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Y229" s="84"/>
      <c r="BZ229" s="84"/>
      <c r="CL229" s="222"/>
      <c r="CM229" s="222"/>
      <c r="CN229" s="222"/>
      <c r="CO229" s="222"/>
    </row>
    <row r="230" spans="2:93" s="7" customFormat="1" hidden="1" outlineLevel="1" x14ac:dyDescent="0.2">
      <c r="B230" s="15"/>
      <c r="C230" s="15"/>
      <c r="D230" s="28"/>
      <c r="E230" s="49"/>
      <c r="F230" s="49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129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Y230" s="84"/>
      <c r="BZ230" s="84"/>
      <c r="CL230" s="222"/>
      <c r="CM230" s="222"/>
      <c r="CN230" s="222"/>
      <c r="CO230" s="222"/>
    </row>
    <row r="231" spans="2:93" s="7" customFormat="1" hidden="1" outlineLevel="1" x14ac:dyDescent="0.2">
      <c r="B231" s="15"/>
      <c r="C231" s="15"/>
      <c r="D231" s="28"/>
      <c r="E231" s="49"/>
      <c r="F231" s="49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129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Y231" s="84"/>
      <c r="BZ231" s="84"/>
      <c r="CL231" s="222"/>
      <c r="CM231" s="222"/>
      <c r="CN231" s="222"/>
      <c r="CO231" s="222"/>
    </row>
    <row r="232" spans="2:93" s="7" customFormat="1" hidden="1" outlineLevel="1" x14ac:dyDescent="0.2">
      <c r="B232" s="15"/>
      <c r="C232" s="15"/>
      <c r="D232" s="28"/>
      <c r="E232" s="49"/>
      <c r="F232" s="49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129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Y232" s="84"/>
      <c r="BZ232" s="84"/>
      <c r="CL232" s="222"/>
      <c r="CM232" s="222"/>
      <c r="CN232" s="222"/>
      <c r="CO232" s="222"/>
    </row>
    <row r="233" spans="2:93" s="7" customFormat="1" hidden="1" outlineLevel="1" x14ac:dyDescent="0.2">
      <c r="B233" s="15"/>
      <c r="C233" s="15"/>
      <c r="D233" s="28"/>
      <c r="E233" s="49"/>
      <c r="F233" s="49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129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Y233" s="84"/>
      <c r="BZ233" s="84"/>
      <c r="CL233" s="222"/>
      <c r="CM233" s="222"/>
      <c r="CN233" s="222"/>
      <c r="CO233" s="222"/>
    </row>
    <row r="234" spans="2:93" s="7" customFormat="1" hidden="1" outlineLevel="1" x14ac:dyDescent="0.2">
      <c r="B234" s="15"/>
      <c r="C234" s="15"/>
      <c r="D234" s="28"/>
      <c r="E234" s="49"/>
      <c r="F234" s="49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129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Y234" s="84"/>
      <c r="BZ234" s="84"/>
      <c r="CL234" s="222"/>
      <c r="CM234" s="222"/>
      <c r="CN234" s="222"/>
      <c r="CO234" s="222"/>
    </row>
    <row r="235" spans="2:93" s="7" customFormat="1" hidden="1" outlineLevel="1" x14ac:dyDescent="0.2">
      <c r="B235" s="15"/>
      <c r="C235" s="15"/>
      <c r="D235" s="28"/>
      <c r="E235" s="49"/>
      <c r="F235" s="49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129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Y235" s="84"/>
      <c r="BZ235" s="84"/>
      <c r="CL235" s="222"/>
      <c r="CM235" s="222"/>
      <c r="CN235" s="222"/>
      <c r="CO235" s="222"/>
    </row>
    <row r="236" spans="2:93" s="7" customFormat="1" hidden="1" outlineLevel="1" x14ac:dyDescent="0.2">
      <c r="B236" s="15"/>
      <c r="C236" s="15"/>
      <c r="D236" s="28"/>
      <c r="E236" s="49"/>
      <c r="F236" s="49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129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Y236" s="84"/>
      <c r="BZ236" s="84"/>
      <c r="CL236" s="222"/>
      <c r="CM236" s="222"/>
      <c r="CN236" s="222"/>
      <c r="CO236" s="222"/>
    </row>
    <row r="237" spans="2:93" s="7" customFormat="1" hidden="1" outlineLevel="1" x14ac:dyDescent="0.2">
      <c r="B237" s="15"/>
      <c r="C237" s="15"/>
      <c r="D237" s="28"/>
      <c r="E237" s="49"/>
      <c r="F237" s="49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129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Y237" s="84"/>
      <c r="BZ237" s="84"/>
      <c r="CL237" s="222"/>
      <c r="CM237" s="222"/>
      <c r="CN237" s="222"/>
      <c r="CO237" s="222"/>
    </row>
    <row r="238" spans="2:93" s="7" customFormat="1" hidden="1" outlineLevel="1" x14ac:dyDescent="0.2">
      <c r="B238" s="15"/>
      <c r="C238" s="15"/>
      <c r="D238" s="28"/>
      <c r="E238" s="49"/>
      <c r="F238" s="49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129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Y238" s="84"/>
      <c r="BZ238" s="84"/>
      <c r="CL238" s="222"/>
      <c r="CM238" s="222"/>
      <c r="CN238" s="222"/>
      <c r="CO238" s="222"/>
    </row>
    <row r="239" spans="2:93" s="7" customFormat="1" hidden="1" outlineLevel="1" x14ac:dyDescent="0.2">
      <c r="B239" s="15"/>
      <c r="C239" s="15"/>
      <c r="D239" s="28"/>
      <c r="E239" s="49"/>
      <c r="F239" s="49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129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Y239" s="84"/>
      <c r="BZ239" s="84"/>
      <c r="CL239" s="222"/>
      <c r="CM239" s="222"/>
      <c r="CN239" s="222"/>
      <c r="CO239" s="222"/>
    </row>
    <row r="240" spans="2:93" s="7" customFormat="1" hidden="1" outlineLevel="1" x14ac:dyDescent="0.2">
      <c r="B240" s="15"/>
      <c r="C240" s="15"/>
      <c r="D240" s="28"/>
      <c r="E240" s="49"/>
      <c r="F240" s="49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129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Y240" s="84"/>
      <c r="BZ240" s="84"/>
      <c r="CL240" s="222"/>
      <c r="CM240" s="222"/>
      <c r="CN240" s="222"/>
      <c r="CO240" s="222"/>
    </row>
    <row r="241" spans="2:121" s="7" customFormat="1" hidden="1" outlineLevel="1" x14ac:dyDescent="0.2">
      <c r="B241" s="15"/>
      <c r="C241" s="15"/>
      <c r="D241" s="28"/>
      <c r="E241" s="49"/>
      <c r="F241" s="49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129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Y241" s="84"/>
      <c r="BZ241" s="84"/>
      <c r="CL241" s="222"/>
      <c r="CM241" s="222"/>
      <c r="CN241" s="222"/>
      <c r="CO241" s="222"/>
    </row>
    <row r="242" spans="2:121" s="7" customFormat="1" hidden="1" outlineLevel="1" x14ac:dyDescent="0.2">
      <c r="B242" s="15"/>
      <c r="C242" s="15"/>
      <c r="D242" s="28"/>
      <c r="E242" s="49"/>
      <c r="F242" s="49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129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Y242" s="84"/>
      <c r="BZ242" s="84"/>
      <c r="CL242" s="222"/>
      <c r="CM242" s="222"/>
      <c r="CN242" s="222"/>
      <c r="CO242" s="222"/>
    </row>
    <row r="243" spans="2:121" s="7" customFormat="1" hidden="1" outlineLevel="1" x14ac:dyDescent="0.2">
      <c r="B243" s="15"/>
      <c r="C243" s="15"/>
      <c r="D243" s="28"/>
      <c r="E243" s="49"/>
      <c r="F243" s="49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129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Y243" s="84"/>
      <c r="BZ243" s="84"/>
      <c r="CL243" s="222"/>
      <c r="CM243" s="222"/>
      <c r="CN243" s="222"/>
      <c r="CO243" s="222"/>
    </row>
    <row r="244" spans="2:121" s="7" customFormat="1" hidden="1" outlineLevel="1" x14ac:dyDescent="0.2">
      <c r="B244" s="15"/>
      <c r="C244" s="15"/>
      <c r="D244" s="28"/>
      <c r="E244" s="49"/>
      <c r="F244" s="49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129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Y244" s="84"/>
      <c r="BZ244" s="84"/>
      <c r="CL244" s="222"/>
      <c r="CM244" s="222"/>
      <c r="CN244" s="222"/>
      <c r="CO244" s="222"/>
    </row>
    <row r="245" spans="2:121" s="7" customFormat="1" hidden="1" outlineLevel="1" x14ac:dyDescent="0.2">
      <c r="B245" s="15"/>
      <c r="C245" s="15"/>
      <c r="D245" s="28"/>
      <c r="E245" s="49"/>
      <c r="F245" s="49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129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Y245" s="84"/>
      <c r="BZ245" s="84"/>
      <c r="CL245" s="222"/>
      <c r="CM245" s="222"/>
      <c r="CN245" s="222"/>
      <c r="CO245" s="222"/>
    </row>
    <row r="246" spans="2:121" s="7" customFormat="1" hidden="1" outlineLevel="1" x14ac:dyDescent="0.2">
      <c r="B246" s="15"/>
      <c r="C246" s="15"/>
      <c r="D246" s="28"/>
      <c r="E246" s="49"/>
      <c r="F246" s="49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129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Y246" s="84"/>
      <c r="BZ246" s="84"/>
      <c r="CL246" s="222"/>
      <c r="CM246" s="222"/>
      <c r="CN246" s="222"/>
      <c r="CO246" s="222"/>
    </row>
    <row r="247" spans="2:121" s="7" customFormat="1" hidden="1" outlineLevel="1" x14ac:dyDescent="0.2">
      <c r="B247" s="15"/>
      <c r="C247" s="15"/>
      <c r="D247" s="28"/>
      <c r="E247" s="49"/>
      <c r="F247" s="49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129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Y247" s="84"/>
      <c r="BZ247" s="84"/>
      <c r="CL247" s="222"/>
      <c r="CM247" s="222"/>
      <c r="CN247" s="222"/>
      <c r="CO247" s="222"/>
    </row>
    <row r="248" spans="2:121" s="7" customFormat="1" hidden="1" outlineLevel="1" x14ac:dyDescent="0.2">
      <c r="B248" s="15"/>
      <c r="C248" s="15"/>
      <c r="D248" s="28"/>
      <c r="E248" s="49"/>
      <c r="F248" s="49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129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Y248" s="84"/>
      <c r="BZ248" s="84"/>
      <c r="CL248" s="222"/>
      <c r="CM248" s="222"/>
      <c r="CN248" s="222"/>
      <c r="CO248" s="222"/>
    </row>
    <row r="249" spans="2:121" s="75" customFormat="1" collapsed="1" x14ac:dyDescent="0.2">
      <c r="B249" s="70"/>
      <c r="C249" s="71"/>
      <c r="D249" s="100"/>
      <c r="E249" s="70"/>
      <c r="F249" s="101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84"/>
      <c r="BZ249" s="84"/>
      <c r="CL249" s="222"/>
      <c r="CM249" s="222"/>
      <c r="CN249" s="222"/>
      <c r="CO249" s="222"/>
    </row>
    <row r="250" spans="2:121" s="104" customFormat="1" ht="25.5" x14ac:dyDescent="0.2">
      <c r="B250" s="102"/>
      <c r="C250" s="80" t="s">
        <v>26</v>
      </c>
      <c r="D250" s="103"/>
      <c r="E250" s="51"/>
      <c r="F250" s="51"/>
      <c r="G250" s="61">
        <f>nor!G250+og!G250</f>
        <v>210</v>
      </c>
      <c r="H250" s="258"/>
      <c r="I250" s="62"/>
      <c r="J250" s="61">
        <f>nor!J250+og!J250</f>
        <v>4890029</v>
      </c>
      <c r="K250" s="61">
        <f>nor!K250+og!K250</f>
        <v>259618.1</v>
      </c>
      <c r="L250" s="61">
        <f>nor!L250+og!L250</f>
        <v>151381.53</v>
      </c>
      <c r="M250" s="61">
        <f>nor!M250+og!M250</f>
        <v>102592.8</v>
      </c>
      <c r="N250" s="61">
        <f>nor!N250+og!N250</f>
        <v>18899</v>
      </c>
      <c r="O250" s="61">
        <f>nor!O250+og!O250</f>
        <v>43249</v>
      </c>
      <c r="P250" s="61">
        <f>nor!P250+og!P250</f>
        <v>18980</v>
      </c>
      <c r="Q250" s="285">
        <f>nor!Q250+og!Q250</f>
        <v>38206</v>
      </c>
      <c r="R250" s="270">
        <f>nor!R250+og!R250</f>
        <v>1053814.48</v>
      </c>
      <c r="S250" s="61">
        <f>nor!S250+og!S250</f>
        <v>642065.23999999987</v>
      </c>
      <c r="T250" s="61">
        <f>nor!T250+og!T250</f>
        <v>17066</v>
      </c>
      <c r="U250" s="61">
        <f>nor!U250+og!U250</f>
        <v>946973.26</v>
      </c>
      <c r="V250" s="61">
        <f>nor!V250+og!V250</f>
        <v>576142.62</v>
      </c>
      <c r="W250" s="61">
        <f>nor!W250+og!W250</f>
        <v>1828</v>
      </c>
      <c r="X250" s="270">
        <f>nor!X250+og!X250</f>
        <v>106509.32</v>
      </c>
      <c r="Y250" s="61">
        <f>nor!Y250+og!Y250</f>
        <v>65850.549999999988</v>
      </c>
      <c r="Z250" s="61">
        <f>nor!Z250+og!Z250</f>
        <v>5</v>
      </c>
      <c r="AA250" s="61">
        <f>nor!AA250+og!AA250</f>
        <v>331.9</v>
      </c>
      <c r="AB250" s="61">
        <f>nor!AB250+og!AB250</f>
        <v>72.069999999999993</v>
      </c>
      <c r="AC250" s="270">
        <f>nor!AC250+og!AC250</f>
        <v>87872.659999999974</v>
      </c>
      <c r="AD250" s="270">
        <f>nor!AD250+og!AD250</f>
        <v>29430.44</v>
      </c>
      <c r="AE250" s="270">
        <f>nor!AE250+og!AE250</f>
        <v>0</v>
      </c>
      <c r="AF250" s="270">
        <f>nor!AF250+og!AF250</f>
        <v>29430.44</v>
      </c>
      <c r="AG250" s="270">
        <f>nor!AG250+og!AG250</f>
        <v>53876.72</v>
      </c>
      <c r="AH250" s="270">
        <f>nor!AH250+og!AH250</f>
        <v>4565.5</v>
      </c>
      <c r="AI250" s="61">
        <f>nor!AI250+og!AI250</f>
        <v>1141687.1400000001</v>
      </c>
      <c r="AJ250" s="61">
        <f>nor!AJ250+og!AJ250</f>
        <v>5120</v>
      </c>
      <c r="AK250" s="61">
        <f>nor!AK250+og!AK250</f>
        <v>340</v>
      </c>
      <c r="AL250" s="61">
        <f>nor!AL250+og!AL250</f>
        <v>750</v>
      </c>
      <c r="AM250" s="61">
        <f>nor!AM250+og!AM250</f>
        <v>349</v>
      </c>
      <c r="AN250" s="61">
        <f>nor!AN250+og!AN250</f>
        <v>33</v>
      </c>
      <c r="AO250" s="61">
        <f>nor!AO250+og!AO250</f>
        <v>427</v>
      </c>
      <c r="AP250" s="61">
        <f>nor!AP250+og!AP250</f>
        <v>879438.06</v>
      </c>
      <c r="AQ250" s="61">
        <f>nor!AQ250+og!AQ250</f>
        <v>7097.5550000000003</v>
      </c>
      <c r="AR250" s="61">
        <f>nor!AR250+og!AR250</f>
        <v>105973.17</v>
      </c>
      <c r="AS250" s="61">
        <f>nor!AS250+og!AS250</f>
        <v>71114.67</v>
      </c>
      <c r="AT250" s="61">
        <f>nor!AT250+og!AT250</f>
        <v>22586</v>
      </c>
      <c r="AU250" s="61">
        <f>nor!AU250+og!AU250</f>
        <v>1342441.67</v>
      </c>
      <c r="AV250" s="61">
        <f>nor!AV250+og!AV250</f>
        <v>378133</v>
      </c>
      <c r="AW250" s="61">
        <f>nor!AW250+og!AW250</f>
        <v>964308.66999999993</v>
      </c>
      <c r="AX250" s="61">
        <f>nor!AX250+og!AX250</f>
        <v>281199.33333333337</v>
      </c>
      <c r="AY250" s="61">
        <f>nor!AY250+og!AY250</f>
        <v>47368.333333333328</v>
      </c>
      <c r="AZ250" s="61">
        <f>nor!AZ250+og!AZ250</f>
        <v>242989.5</v>
      </c>
      <c r="BA250" s="61">
        <f>nor!BA250+og!BA250</f>
        <v>220389.5</v>
      </c>
      <c r="BB250" s="61">
        <f>nor!BB250+og!BB250</f>
        <v>6241</v>
      </c>
      <c r="BC250" s="61">
        <f>nor!BC250+og!BC250</f>
        <v>4844</v>
      </c>
      <c r="BD250" s="61">
        <f>nor!BD250+og!BD250</f>
        <v>63511</v>
      </c>
      <c r="BE250" s="61">
        <f>nor!BE250+og!BE250</f>
        <v>61381.5</v>
      </c>
      <c r="BF250" s="61">
        <f>nor!BF250+og!BF250</f>
        <v>264</v>
      </c>
      <c r="BG250" s="61">
        <f>nor!BG250+og!BG250</f>
        <v>2320949.5899159661</v>
      </c>
      <c r="BH250" s="61">
        <f>nor!BH250+og!BH250</f>
        <v>446635.4</v>
      </c>
      <c r="BI250" s="61">
        <f>nor!BI250+og!BI250</f>
        <v>28194</v>
      </c>
      <c r="BJ250" s="61">
        <f>nor!BJ250+og!BJ250</f>
        <v>79</v>
      </c>
      <c r="BK250" s="61">
        <f>nor!BK250+og!BK250</f>
        <v>414985.69</v>
      </c>
      <c r="BL250" s="61">
        <f>nor!BL250+og!BL250</f>
        <v>245787.46000000002</v>
      </c>
      <c r="BM250" s="61">
        <f>nor!BM250+og!BM250</f>
        <v>126</v>
      </c>
      <c r="BN250" s="61">
        <f>nor!BN250+og!BN250</f>
        <v>592054.5</v>
      </c>
      <c r="BO250" s="61">
        <f>nor!BO250+og!BO250</f>
        <v>367083.90999999992</v>
      </c>
      <c r="BP250" s="61">
        <f>nor!BP250+og!BP250</f>
        <v>5</v>
      </c>
      <c r="BQ250" s="61">
        <f>nor!BQ250+og!BQ250</f>
        <v>46774.29</v>
      </c>
      <c r="BR250" s="61">
        <f>nor!BR250+og!BR250</f>
        <v>29193.87</v>
      </c>
      <c r="BS250" s="61">
        <f>nor!BS250+og!BS250</f>
        <v>48</v>
      </c>
      <c r="BT250" s="61">
        <f>nor!BT250+og!BT250</f>
        <v>384</v>
      </c>
      <c r="BU250" s="61">
        <f>nor!BU250+og!BU250</f>
        <v>160892</v>
      </c>
      <c r="BV250" s="61">
        <f>nor!BV250+og!BV250</f>
        <v>397648</v>
      </c>
      <c r="BW250" s="61">
        <f>nor!BW250+og!BW250</f>
        <v>401</v>
      </c>
      <c r="BX250" s="247">
        <f>nor!BX250+og!BX250</f>
        <v>389022.76</v>
      </c>
      <c r="BY250" s="270">
        <f>nor!BY250+og!BY250</f>
        <v>380637.57999999996</v>
      </c>
      <c r="BZ250" s="270">
        <f>nor!BZ250+og!BZ250</f>
        <v>149465.66999999998</v>
      </c>
      <c r="CA250" s="61">
        <f>nor!CA250+og!CM250</f>
        <v>602038</v>
      </c>
      <c r="CB250" s="61">
        <f>nor!CB250+og!CN250</f>
        <v>342419.9</v>
      </c>
      <c r="CC250" s="61">
        <f>nor!CC250+og!CO250</f>
        <v>53</v>
      </c>
      <c r="CD250" s="61">
        <f>nor!CD250+og!CP250</f>
        <v>378133</v>
      </c>
      <c r="CE250" s="61">
        <f>nor!CE250+og!CQ250</f>
        <v>157</v>
      </c>
      <c r="CF250" s="61">
        <f>nor!CF250+og!CR250</f>
        <v>964308.66999999993</v>
      </c>
      <c r="CG250" s="61">
        <f>nor!CG250+og!CS250</f>
        <v>210</v>
      </c>
      <c r="CH250" s="61">
        <f>nor!CH250+og!CT250</f>
        <v>1342441.67</v>
      </c>
      <c r="CI250" s="288">
        <f>nor!CI250+og!CU250</f>
        <v>11037</v>
      </c>
      <c r="CJ250" s="61">
        <f>nor!CJ250+og!CV250</f>
        <v>1</v>
      </c>
      <c r="CK250" s="61">
        <f>nor!CK250+og!CW250</f>
        <v>5811.7</v>
      </c>
      <c r="CL250" s="223"/>
      <c r="CM250" s="61">
        <f>nor!CM250+og!CY250</f>
        <v>1</v>
      </c>
      <c r="CN250" s="61">
        <f>nor!CN250+og!CZ250</f>
        <v>6705.9</v>
      </c>
      <c r="CO250" s="223"/>
      <c r="CP250" s="199">
        <f>nor!CP250+og!DB250</f>
        <v>210</v>
      </c>
      <c r="CQ250" s="199">
        <f>nor!CQ250+og!DC250</f>
        <v>29</v>
      </c>
      <c r="CR250" s="199">
        <f>nor!CR250+og!DD250</f>
        <v>29</v>
      </c>
      <c r="CS250" s="199">
        <f>nor!CS250+og!DE250</f>
        <v>35</v>
      </c>
      <c r="CT250" s="199">
        <f>nor!CT250+og!DF250</f>
        <v>393</v>
      </c>
      <c r="CU250" s="199">
        <f>nor!CU250+og!DG250</f>
        <v>33</v>
      </c>
      <c r="CV250" s="199">
        <f>nor!CV250+og!DH250</f>
        <v>33</v>
      </c>
      <c r="CW250" s="199">
        <f>nor!CW250+og!DI250</f>
        <v>45</v>
      </c>
      <c r="CX250" s="199">
        <f>nor!CX250+og!DJ250</f>
        <v>33</v>
      </c>
      <c r="CY250" s="199">
        <f>nor!CY250+og!DK250</f>
        <v>18872</v>
      </c>
      <c r="CZ250" s="199">
        <f>nor!CZ250+og!DL250</f>
        <v>17205</v>
      </c>
      <c r="DA250" s="199">
        <f>nor!DA250+og!DM250</f>
        <v>1667</v>
      </c>
      <c r="DB250" s="199">
        <f>nor!DB250+og!DN250</f>
        <v>13799</v>
      </c>
      <c r="DC250" s="199">
        <f>nor!DC250+og!DO250</f>
        <v>8842</v>
      </c>
      <c r="DD250" s="199">
        <f>nor!DD250+og!DP250</f>
        <v>12651</v>
      </c>
      <c r="DE250" s="199">
        <f>nor!DE250+og!DQ250</f>
        <v>11496</v>
      </c>
      <c r="DF250" s="199">
        <f>nor!DF250+og!DR250</f>
        <v>9223</v>
      </c>
      <c r="DG250" s="199">
        <f>nor!DG250+og!DS250</f>
        <v>12126</v>
      </c>
      <c r="DH250" s="199">
        <f>nor!DH250+og!DT250</f>
        <v>12085</v>
      </c>
      <c r="DI250" s="199">
        <f>nor!DI250+og!DU250</f>
        <v>959</v>
      </c>
      <c r="DJ250" s="199">
        <f>nor!DJ250+og!DV250</f>
        <v>551</v>
      </c>
      <c r="DK250" s="199">
        <f>nor!DK250+og!DW250</f>
        <v>1195</v>
      </c>
      <c r="DL250" s="199">
        <f>nor!DL250+og!DX250</f>
        <v>694</v>
      </c>
      <c r="DM250" s="199">
        <f>nor!DM250+og!DY250</f>
        <v>567</v>
      </c>
      <c r="DN250" s="199">
        <f>nor!DN250+og!DZ250</f>
        <v>1165</v>
      </c>
      <c r="DO250" s="199">
        <f>nor!DO250+og!EA250</f>
        <v>728</v>
      </c>
      <c r="DP250" s="199">
        <f>nor!DP250+og!EB250</f>
        <v>18872</v>
      </c>
      <c r="DQ250" s="199">
        <f>nor!DQ250+og!EC250</f>
        <v>18776</v>
      </c>
    </row>
    <row r="251" spans="2:121" s="107" customFormat="1" x14ac:dyDescent="0.2">
      <c r="B251" s="105"/>
      <c r="C251" s="25" t="s">
        <v>14</v>
      </c>
      <c r="D251" s="28"/>
      <c r="E251" s="49"/>
      <c r="F251" s="49"/>
      <c r="G251" s="38">
        <f>nor!G251+og!G251</f>
        <v>59</v>
      </c>
      <c r="H251" s="260">
        <v>5</v>
      </c>
      <c r="I251" s="106"/>
      <c r="J251" s="38">
        <f>nor!J251+og!J251</f>
        <v>896918.5</v>
      </c>
      <c r="K251" s="38">
        <f>nor!K251+og!K251</f>
        <v>65910</v>
      </c>
      <c r="L251" s="38">
        <f>nor!L251+og!L251</f>
        <v>75675</v>
      </c>
      <c r="M251" s="38">
        <f>nor!M251+og!M251</f>
        <v>0</v>
      </c>
      <c r="N251" s="38">
        <f>nor!N251+og!N251</f>
        <v>5160</v>
      </c>
      <c r="O251" s="38">
        <f>nor!O251+og!O251</f>
        <v>10190</v>
      </c>
      <c r="P251" s="38">
        <f>nor!P251+og!P251</f>
        <v>5179</v>
      </c>
      <c r="Q251" s="286">
        <f>nor!Q251+og!Q251</f>
        <v>9076</v>
      </c>
      <c r="R251" s="38">
        <f>nor!R251+og!R251</f>
        <v>224309.87999999998</v>
      </c>
      <c r="S251" s="38">
        <f>nor!S251+og!S251</f>
        <v>147489.73999999996</v>
      </c>
      <c r="T251" s="38">
        <f>nor!T251+og!T251</f>
        <v>4622</v>
      </c>
      <c r="U251" s="38">
        <f>nor!U251+og!U251</f>
        <v>201331.68000000002</v>
      </c>
      <c r="V251" s="38">
        <f>nor!V251+og!V251</f>
        <v>132940.40000000002</v>
      </c>
      <c r="W251" s="38">
        <f>nor!W251+og!W251</f>
        <v>538</v>
      </c>
      <c r="X251" s="38">
        <f>nor!X251+og!X251</f>
        <v>22978.2</v>
      </c>
      <c r="Y251" s="38">
        <f>nor!Y251+og!Y251</f>
        <v>14549.339999999993</v>
      </c>
      <c r="Z251" s="38">
        <f>nor!Z251+og!Z251</f>
        <v>0</v>
      </c>
      <c r="AA251" s="38">
        <f>nor!AA251+og!AA251</f>
        <v>0</v>
      </c>
      <c r="AB251" s="38">
        <f>nor!AB251+og!AB251</f>
        <v>0</v>
      </c>
      <c r="AC251" s="38">
        <f>nor!AC251+og!AC251</f>
        <v>12865.339999999998</v>
      </c>
      <c r="AD251" s="38">
        <f>nor!AD251+og!AD251</f>
        <v>1804.8700000000003</v>
      </c>
      <c r="AE251" s="38">
        <f>nor!AE251+og!AE251</f>
        <v>0</v>
      </c>
      <c r="AF251" s="38">
        <f>nor!AF251+og!AF251</f>
        <v>1804.8700000000003</v>
      </c>
      <c r="AG251" s="38">
        <f>nor!AG251+og!AG251</f>
        <v>10848.069999999998</v>
      </c>
      <c r="AH251" s="38">
        <f>nor!AH251+og!AH251</f>
        <v>212.4</v>
      </c>
      <c r="AI251" s="38">
        <f>nor!AI251+og!AI251</f>
        <v>237175.22</v>
      </c>
      <c r="AJ251" s="38">
        <f>nor!AJ251+og!AJ251</f>
        <v>0</v>
      </c>
      <c r="AK251" s="38">
        <f>nor!AK251+og!AK251</f>
        <v>0</v>
      </c>
      <c r="AL251" s="38">
        <f>nor!AL251+og!AL251</f>
        <v>283</v>
      </c>
      <c r="AM251" s="38">
        <f>nor!AM251+og!AM251</f>
        <v>0</v>
      </c>
      <c r="AN251" s="38">
        <f>nor!AN251+og!AN251</f>
        <v>22</v>
      </c>
      <c r="AO251" s="38">
        <f>nor!AO251+og!AO251</f>
        <v>77</v>
      </c>
      <c r="AP251" s="38">
        <f>nor!AP251+og!AP251</f>
        <v>174034</v>
      </c>
      <c r="AQ251" s="38">
        <f>nor!AQ251+og!AQ251</f>
        <v>280.75</v>
      </c>
      <c r="AR251" s="38">
        <f>nor!AR251+og!AR251</f>
        <v>27458.5</v>
      </c>
      <c r="AS251" s="38">
        <f>nor!AS251+og!AS251</f>
        <v>18018</v>
      </c>
      <c r="AT251" s="38">
        <f>nor!AT251+og!AT251</f>
        <v>4053</v>
      </c>
      <c r="AU251" s="38">
        <f>nor!AU251+og!AU251</f>
        <v>223075</v>
      </c>
      <c r="AV251" s="38">
        <f>nor!AV251+og!AV251</f>
        <v>0</v>
      </c>
      <c r="AW251" s="38">
        <f>nor!AW251+og!AW251</f>
        <v>223075</v>
      </c>
      <c r="AX251" s="38">
        <f>nor!AX251+og!AX251</f>
        <v>70136</v>
      </c>
      <c r="AY251" s="38">
        <f>nor!AY251+og!AY251</f>
        <v>11582</v>
      </c>
      <c r="AZ251" s="38">
        <f>nor!AZ251+og!AZ251</f>
        <v>63013.5</v>
      </c>
      <c r="BA251" s="38">
        <f>nor!BA251+og!BA251</f>
        <v>63319.5</v>
      </c>
      <c r="BB251" s="38">
        <f>nor!BB251+og!BB251</f>
        <v>1346</v>
      </c>
      <c r="BC251" s="38">
        <f>nor!BC251+og!BC251</f>
        <v>819</v>
      </c>
      <c r="BD251" s="38">
        <f>nor!BD251+og!BD251</f>
        <v>15485</v>
      </c>
      <c r="BE251" s="38">
        <f>nor!BE251+og!BE251</f>
        <v>5493.5</v>
      </c>
      <c r="BF251" s="38">
        <f>nor!BF251+og!BF251</f>
        <v>140</v>
      </c>
      <c r="BG251" s="38">
        <f>nor!BG251+og!BG251</f>
        <v>758657.78991596634</v>
      </c>
      <c r="BH251" s="38">
        <f>nor!BH251+og!BH251</f>
        <v>22005</v>
      </c>
      <c r="BI251" s="38">
        <f>nor!BI251+og!BI251</f>
        <v>0</v>
      </c>
      <c r="BJ251" s="38">
        <f>nor!BJ251+og!BJ251</f>
        <v>20</v>
      </c>
      <c r="BK251" s="38">
        <f>nor!BK251+og!BK251</f>
        <v>96684.01999999999</v>
      </c>
      <c r="BL251" s="38">
        <f>nor!BL251+og!BL251</f>
        <v>61247.719999999994</v>
      </c>
      <c r="BM251" s="38">
        <f>nor!BM251+og!BM251</f>
        <v>37</v>
      </c>
      <c r="BN251" s="38">
        <f>nor!BN251+og!BN251</f>
        <v>115603.35999999999</v>
      </c>
      <c r="BO251" s="38">
        <f>nor!BO251+og!BO251</f>
        <v>78106.14999999998</v>
      </c>
      <c r="BP251" s="38">
        <f>nor!BP251+og!BP251</f>
        <v>2</v>
      </c>
      <c r="BQ251" s="38">
        <f>nor!BQ251+og!BQ251</f>
        <v>12022.5</v>
      </c>
      <c r="BR251" s="38">
        <f>nor!BR251+og!BR251</f>
        <v>8135.87</v>
      </c>
      <c r="BS251" s="38">
        <f>nor!BS251+og!BS251</f>
        <v>17</v>
      </c>
      <c r="BT251" s="38">
        <f>nor!BT251+og!BT251</f>
        <v>107</v>
      </c>
      <c r="BU251" s="38">
        <f>nor!BU251+og!BU251</f>
        <v>27750</v>
      </c>
      <c r="BV251" s="38">
        <f>nor!BV251+og!BV251</f>
        <v>51314</v>
      </c>
      <c r="BW251" s="38">
        <f>nor!BW251+og!BW251</f>
        <v>251</v>
      </c>
      <c r="BX251" s="38">
        <f>nor!BX251+og!BX251</f>
        <v>93051</v>
      </c>
      <c r="BY251" s="251">
        <f>nor!BY251+og!BY251</f>
        <v>82601.069999999992</v>
      </c>
      <c r="BZ251" s="38">
        <f>nor!BZ251+og!BZ251</f>
        <v>18473.27</v>
      </c>
      <c r="CA251" s="38">
        <f>nor!CA251+og!CM251</f>
        <v>178252</v>
      </c>
      <c r="CB251" s="38">
        <f>nor!CB251+og!CN251</f>
        <v>112342</v>
      </c>
      <c r="CC251" s="38">
        <f>nor!CC251+og!CO251</f>
        <v>0</v>
      </c>
      <c r="CD251" s="38">
        <f>nor!CD251+og!CP251</f>
        <v>0</v>
      </c>
      <c r="CE251" s="38">
        <f>nor!CE251+og!CQ251</f>
        <v>59</v>
      </c>
      <c r="CF251" s="38">
        <f>nor!CF251+og!CR251</f>
        <v>223075</v>
      </c>
      <c r="CG251" s="38">
        <f>nor!CG251+og!CS251</f>
        <v>59</v>
      </c>
      <c r="CH251" s="38">
        <f>nor!CH251+og!CT251</f>
        <v>223075</v>
      </c>
      <c r="CI251" s="289">
        <f>nor!CI251+og!CU251</f>
        <v>3179</v>
      </c>
      <c r="CJ251" s="38">
        <f>nor!CJ251+og!CV251</f>
        <v>1</v>
      </c>
      <c r="CK251" s="38">
        <f>nor!CK251+og!CW251</f>
        <v>5811.7</v>
      </c>
      <c r="CL251" s="224"/>
      <c r="CM251" s="38">
        <f>nor!CM251+og!CY251</f>
        <v>1</v>
      </c>
      <c r="CN251" s="38">
        <f>nor!CN251+og!CZ251</f>
        <v>6705.9</v>
      </c>
      <c r="CO251" s="224"/>
      <c r="CP251" s="199">
        <f>nor!CP251+og!DB251</f>
        <v>59</v>
      </c>
      <c r="CQ251" s="199">
        <f>nor!CQ251+og!DC251</f>
        <v>0</v>
      </c>
      <c r="CR251" s="199">
        <f>nor!CR251+og!DD251</f>
        <v>0</v>
      </c>
      <c r="CS251" s="199">
        <f>nor!CS251+og!DE251</f>
        <v>2</v>
      </c>
      <c r="CT251" s="199">
        <f>nor!CT251+og!DF251</f>
        <v>116</v>
      </c>
      <c r="CU251" s="199">
        <f>nor!CU251+og!DG251</f>
        <v>0</v>
      </c>
      <c r="CV251" s="199">
        <f>nor!CV251+og!DH251</f>
        <v>0</v>
      </c>
      <c r="CW251" s="199">
        <f>nor!CW251+og!DI251</f>
        <v>2</v>
      </c>
      <c r="CX251" s="199">
        <f>nor!CX251+og!DJ251</f>
        <v>0</v>
      </c>
      <c r="CY251" s="199">
        <f>nor!CY251+og!DK251</f>
        <v>5586</v>
      </c>
      <c r="CZ251" s="199">
        <f>nor!CZ251+og!DL251</f>
        <v>5228</v>
      </c>
      <c r="DA251" s="199">
        <f>nor!DA251+og!DM251</f>
        <v>358</v>
      </c>
      <c r="DB251" s="199">
        <f>nor!DB251+og!DN251</f>
        <v>4302</v>
      </c>
      <c r="DC251" s="199">
        <f>nor!DC251+og!DO251</f>
        <v>2524</v>
      </c>
      <c r="DD251" s="199">
        <f>nor!DD251+og!DP251</f>
        <v>3950</v>
      </c>
      <c r="DE251" s="199">
        <f>nor!DE251+og!DQ251</f>
        <v>3388</v>
      </c>
      <c r="DF251" s="199">
        <f>nor!DF251+og!DR251</f>
        <v>2726</v>
      </c>
      <c r="DG251" s="199">
        <f>nor!DG251+og!DS251</f>
        <v>3665</v>
      </c>
      <c r="DH251" s="199">
        <f>nor!DH251+og!DT251</f>
        <v>3668</v>
      </c>
      <c r="DI251" s="199">
        <f>nor!DI251+og!DU251</f>
        <v>208</v>
      </c>
      <c r="DJ251" s="199">
        <f>nor!DJ251+og!DV251</f>
        <v>116</v>
      </c>
      <c r="DK251" s="199">
        <f>nor!DK251+og!DW251</f>
        <v>323</v>
      </c>
      <c r="DL251" s="199">
        <f>nor!DL251+og!DX251</f>
        <v>145</v>
      </c>
      <c r="DM251" s="199">
        <f>nor!DM251+og!DY251</f>
        <v>121</v>
      </c>
      <c r="DN251" s="199">
        <f>nor!DN251+og!DZ251</f>
        <v>306</v>
      </c>
      <c r="DO251" s="199">
        <f>nor!DO251+og!EA251</f>
        <v>158</v>
      </c>
      <c r="DP251" s="199">
        <f>nor!DP251+og!EB251</f>
        <v>5586</v>
      </c>
      <c r="DQ251" s="199">
        <f>nor!DQ251+og!EC251</f>
        <v>5568</v>
      </c>
    </row>
    <row r="252" spans="2:121" s="107" customFormat="1" x14ac:dyDescent="0.2">
      <c r="B252" s="105"/>
      <c r="C252" s="25" t="s">
        <v>15</v>
      </c>
      <c r="D252" s="28"/>
      <c r="E252" s="49"/>
      <c r="F252" s="49"/>
      <c r="G252" s="38">
        <f>nor!G252+og!G252</f>
        <v>26</v>
      </c>
      <c r="H252" s="260">
        <v>9</v>
      </c>
      <c r="I252" s="106"/>
      <c r="J252" s="38">
        <f>nor!J252+og!J252</f>
        <v>886371</v>
      </c>
      <c r="K252" s="38">
        <f>nor!K252+og!K252</f>
        <v>45341</v>
      </c>
      <c r="L252" s="38">
        <f>nor!L252+og!L252</f>
        <v>14865</v>
      </c>
      <c r="M252" s="38">
        <f>nor!M252+og!M252</f>
        <v>16898</v>
      </c>
      <c r="N252" s="38">
        <f>nor!N252+og!N252</f>
        <v>2798</v>
      </c>
      <c r="O252" s="38">
        <f>nor!O252+og!O252</f>
        <v>6117</v>
      </c>
      <c r="P252" s="38">
        <f>nor!P252+og!P252</f>
        <v>2802</v>
      </c>
      <c r="Q252" s="286">
        <f>nor!Q252+og!Q252</f>
        <v>5338</v>
      </c>
      <c r="R252" s="38">
        <f>nor!R252+og!R252</f>
        <v>151102.41000000003</v>
      </c>
      <c r="S252" s="38">
        <f>nor!S252+og!S252</f>
        <v>86431.460000000021</v>
      </c>
      <c r="T252" s="38">
        <f>nor!T252+og!T252</f>
        <v>2653</v>
      </c>
      <c r="U252" s="38">
        <f>nor!U252+og!U252</f>
        <v>143521.50000000003</v>
      </c>
      <c r="V252" s="38">
        <f>nor!V252+og!V252</f>
        <v>81796.709999999977</v>
      </c>
      <c r="W252" s="38">
        <f>nor!W252+og!W252</f>
        <v>144</v>
      </c>
      <c r="X252" s="38">
        <f>nor!X252+og!X252</f>
        <v>7522.5099999999993</v>
      </c>
      <c r="Y252" s="38">
        <f>nor!Y252+og!Y252</f>
        <v>4603.7999999999993</v>
      </c>
      <c r="Z252" s="38">
        <f>nor!Z252+og!Z252</f>
        <v>1</v>
      </c>
      <c r="AA252" s="38">
        <f>nor!AA252+og!AA252</f>
        <v>58.4</v>
      </c>
      <c r="AB252" s="38">
        <f>nor!AB252+og!AB252</f>
        <v>30.95</v>
      </c>
      <c r="AC252" s="38">
        <f>nor!AC252+og!AC252</f>
        <v>25960.01</v>
      </c>
      <c r="AD252" s="38">
        <f>nor!AD252+og!AD252</f>
        <v>7736.06</v>
      </c>
      <c r="AE252" s="38">
        <f>nor!AE252+og!AE252</f>
        <v>0</v>
      </c>
      <c r="AF252" s="38">
        <f>nor!AF252+og!AF252</f>
        <v>7736.06</v>
      </c>
      <c r="AG252" s="38">
        <f>nor!AG252+og!AG252</f>
        <v>17471.650000000001</v>
      </c>
      <c r="AH252" s="38">
        <f>nor!AH252+og!AH252</f>
        <v>752.3</v>
      </c>
      <c r="AI252" s="38">
        <f>nor!AI252+og!AI252</f>
        <v>177062.42</v>
      </c>
      <c r="AJ252" s="38">
        <f>nor!AJ252+og!AJ252</f>
        <v>0</v>
      </c>
      <c r="AK252" s="38">
        <f>nor!AK252+og!AK252</f>
        <v>87</v>
      </c>
      <c r="AL252" s="38">
        <f>nor!AL252+og!AL252</f>
        <v>87</v>
      </c>
      <c r="AM252" s="38">
        <f>nor!AM252+og!AM252</f>
        <v>86</v>
      </c>
      <c r="AN252" s="38">
        <f>nor!AN252+og!AN252</f>
        <v>3</v>
      </c>
      <c r="AO252" s="38">
        <f>nor!AO252+og!AO252</f>
        <v>60</v>
      </c>
      <c r="AP252" s="38">
        <f>nor!AP252+og!AP252</f>
        <v>147804</v>
      </c>
      <c r="AQ252" s="38">
        <f>nor!AQ252+og!AQ252</f>
        <v>961.875</v>
      </c>
      <c r="AR252" s="38">
        <f>nor!AR252+og!AR252</f>
        <v>15512</v>
      </c>
      <c r="AS252" s="38">
        <f>nor!AS252+og!AS252</f>
        <v>8187</v>
      </c>
      <c r="AT252" s="38">
        <f>nor!AT252+og!AT252</f>
        <v>3385</v>
      </c>
      <c r="AU252" s="38">
        <f>nor!AU252+og!AU252</f>
        <v>243599</v>
      </c>
      <c r="AV252" s="38">
        <f>nor!AV252+og!AV252</f>
        <v>140234</v>
      </c>
      <c r="AW252" s="38">
        <f>nor!AW252+og!AW252</f>
        <v>103365</v>
      </c>
      <c r="AX252" s="38">
        <f>nor!AX252+og!AX252</f>
        <v>0</v>
      </c>
      <c r="AY252" s="38">
        <f>nor!AY252+og!AY252</f>
        <v>8138</v>
      </c>
      <c r="AZ252" s="38">
        <f>nor!AZ252+og!AZ252</f>
        <v>41267</v>
      </c>
      <c r="BA252" s="38">
        <f>nor!BA252+og!BA252</f>
        <v>27341</v>
      </c>
      <c r="BB252" s="38">
        <f>nor!BB252+og!BB252</f>
        <v>238</v>
      </c>
      <c r="BC252" s="38">
        <f>nor!BC252+og!BC252</f>
        <v>323</v>
      </c>
      <c r="BD252" s="38">
        <f>nor!BD252+og!BD252</f>
        <v>9589</v>
      </c>
      <c r="BE252" s="38">
        <f>nor!BE252+og!BE252</f>
        <v>5904</v>
      </c>
      <c r="BF252" s="38">
        <f>nor!BF252+og!BF252</f>
        <v>14</v>
      </c>
      <c r="BG252" s="38">
        <f>nor!BG252+og!BG252</f>
        <v>540423</v>
      </c>
      <c r="BH252" s="38">
        <f>nor!BH252+og!BH252</f>
        <v>114117</v>
      </c>
      <c r="BI252" s="38">
        <f>nor!BI252+og!BI252</f>
        <v>6747</v>
      </c>
      <c r="BJ252" s="38">
        <f>nor!BJ252+og!BJ252</f>
        <v>26</v>
      </c>
      <c r="BK252" s="38">
        <f>nor!BK252+og!BK252</f>
        <v>151102.41000000003</v>
      </c>
      <c r="BL252" s="38">
        <f>nor!BL252+og!BL252</f>
        <v>86431.460000000021</v>
      </c>
      <c r="BM252" s="38">
        <f>nor!BM252+og!BM252</f>
        <v>0</v>
      </c>
      <c r="BN252" s="38">
        <f>nor!BN252+og!BN252</f>
        <v>0</v>
      </c>
      <c r="BO252" s="38">
        <f>nor!BO252+og!BO252</f>
        <v>0</v>
      </c>
      <c r="BP252" s="38">
        <f>nor!BP252+og!BP252</f>
        <v>0</v>
      </c>
      <c r="BQ252" s="38">
        <f>nor!BQ252+og!BQ252</f>
        <v>0</v>
      </c>
      <c r="BR252" s="38">
        <f>nor!BR252+og!BR252</f>
        <v>0</v>
      </c>
      <c r="BS252" s="38">
        <f>nor!BS252+og!BS252</f>
        <v>5</v>
      </c>
      <c r="BT252" s="38">
        <f>nor!BT252+og!BT252</f>
        <v>45</v>
      </c>
      <c r="BU252" s="38">
        <f>nor!BU252+og!BU252</f>
        <v>27341</v>
      </c>
      <c r="BV252" s="38">
        <f>nor!BV252+og!BV252</f>
        <v>95191</v>
      </c>
      <c r="BW252" s="38">
        <f>nor!BW252+og!BW252</f>
        <v>86</v>
      </c>
      <c r="BX252" s="38">
        <f>nor!BX252+og!BX252</f>
        <v>147804</v>
      </c>
      <c r="BY252" s="251">
        <f>nor!BY252+og!BY252</f>
        <v>62329.360000000008</v>
      </c>
      <c r="BZ252" s="38">
        <f>nor!BZ252+og!BZ252</f>
        <v>31188.21</v>
      </c>
      <c r="CA252" s="38">
        <f>nor!CA252+og!CM252</f>
        <v>85148</v>
      </c>
      <c r="CB252" s="38">
        <f>nor!CB252+og!CN252</f>
        <v>39807</v>
      </c>
      <c r="CC252" s="38">
        <f>nor!CC252+og!CO252</f>
        <v>17</v>
      </c>
      <c r="CD252" s="38">
        <f>nor!CD252+og!CP252</f>
        <v>140234</v>
      </c>
      <c r="CE252" s="38">
        <f>nor!CE252+og!CQ252</f>
        <v>9</v>
      </c>
      <c r="CF252" s="38">
        <f>nor!CF252+og!CR252</f>
        <v>103365</v>
      </c>
      <c r="CG252" s="38">
        <f>nor!CG252+og!CS252</f>
        <v>26</v>
      </c>
      <c r="CH252" s="38">
        <f>nor!CH252+og!CT252</f>
        <v>243599</v>
      </c>
      <c r="CI252" s="289">
        <f>nor!CI252+og!CU252</f>
        <v>1409</v>
      </c>
      <c r="CJ252" s="38">
        <f>nor!CJ252+og!CV252</f>
        <v>0</v>
      </c>
      <c r="CK252" s="38">
        <f>nor!CK252+og!CW252</f>
        <v>0</v>
      </c>
      <c r="CL252" s="224"/>
      <c r="CM252" s="38">
        <f>nor!CM252+og!CY252</f>
        <v>0</v>
      </c>
      <c r="CN252" s="38">
        <f>nor!CN252+og!CZ252</f>
        <v>0</v>
      </c>
      <c r="CO252" s="224"/>
      <c r="CP252" s="199">
        <f>nor!CP252+og!DB252</f>
        <v>26</v>
      </c>
      <c r="CQ252" s="199">
        <f>nor!CQ252+og!DC252</f>
        <v>0</v>
      </c>
      <c r="CR252" s="199">
        <f>nor!CR252+og!DD252</f>
        <v>0</v>
      </c>
      <c r="CS252" s="199">
        <f>nor!CS252+og!DE252</f>
        <v>2</v>
      </c>
      <c r="CT252" s="199">
        <f>nor!CT252+og!DF252</f>
        <v>48</v>
      </c>
      <c r="CU252" s="199">
        <f>nor!CU252+og!DG252</f>
        <v>0</v>
      </c>
      <c r="CV252" s="199">
        <f>nor!CV252+og!DH252</f>
        <v>0</v>
      </c>
      <c r="CW252" s="199">
        <f>nor!CW252+og!DI252</f>
        <v>8</v>
      </c>
      <c r="CX252" s="199">
        <f>nor!CX252+og!DJ252</f>
        <v>0</v>
      </c>
      <c r="CY252" s="199">
        <f>nor!CY252+og!DK252</f>
        <v>2447</v>
      </c>
      <c r="CZ252" s="199">
        <f>nor!CZ252+og!DL252</f>
        <v>2256</v>
      </c>
      <c r="DA252" s="199">
        <f>nor!DA252+og!DM252</f>
        <v>191</v>
      </c>
      <c r="DB252" s="199">
        <f>nor!DB252+og!DN252</f>
        <v>1797</v>
      </c>
      <c r="DC252" s="199">
        <f>nor!DC252+og!DO252</f>
        <v>1168</v>
      </c>
      <c r="DD252" s="199">
        <f>nor!DD252+og!DP252</f>
        <v>1619</v>
      </c>
      <c r="DE252" s="199">
        <f>nor!DE252+og!DQ252</f>
        <v>1504</v>
      </c>
      <c r="DF252" s="199">
        <f>nor!DF252+og!DR252</f>
        <v>1197</v>
      </c>
      <c r="DG252" s="199">
        <f>nor!DG252+og!DS252</f>
        <v>1561</v>
      </c>
      <c r="DH252" s="199">
        <f>nor!DH252+og!DT252</f>
        <v>1570</v>
      </c>
      <c r="DI252" s="199">
        <f>nor!DI252+og!DU252</f>
        <v>125</v>
      </c>
      <c r="DJ252" s="199">
        <f>nor!DJ252+og!DV252</f>
        <v>68</v>
      </c>
      <c r="DK252" s="199">
        <f>nor!DK252+og!DW252</f>
        <v>116</v>
      </c>
      <c r="DL252" s="199">
        <f>nor!DL252+og!DX252</f>
        <v>79</v>
      </c>
      <c r="DM252" s="199">
        <f>nor!DM252+og!DY252</f>
        <v>70</v>
      </c>
      <c r="DN252" s="199">
        <f>nor!DN252+og!DZ252</f>
        <v>113</v>
      </c>
      <c r="DO252" s="199">
        <f>nor!DO252+og!EA252</f>
        <v>82</v>
      </c>
      <c r="DP252" s="199">
        <f>nor!DP252+og!EB252</f>
        <v>2447</v>
      </c>
      <c r="DQ252" s="199">
        <f>nor!DQ252+og!EC252</f>
        <v>2431</v>
      </c>
    </row>
    <row r="253" spans="2:121" s="107" customFormat="1" x14ac:dyDescent="0.2">
      <c r="B253" s="105"/>
      <c r="C253" s="25" t="s">
        <v>16</v>
      </c>
      <c r="D253" s="28"/>
      <c r="E253" s="49"/>
      <c r="F253" s="49"/>
      <c r="G253" s="38">
        <f>nor!G253+og!G253</f>
        <v>45</v>
      </c>
      <c r="H253" s="260">
        <v>9</v>
      </c>
      <c r="I253" s="106"/>
      <c r="J253" s="38">
        <f>nor!J253+og!J253</f>
        <v>1107325</v>
      </c>
      <c r="K253" s="38">
        <f>nor!K253+og!K253</f>
        <v>48561</v>
      </c>
      <c r="L253" s="38">
        <f>nor!L253+og!L253</f>
        <v>0</v>
      </c>
      <c r="M253" s="38">
        <f>nor!M253+og!M253</f>
        <v>43888.78</v>
      </c>
      <c r="N253" s="38">
        <f>nor!N253+og!N253</f>
        <v>4922</v>
      </c>
      <c r="O253" s="38">
        <f>nor!O253+og!O253</f>
        <v>11394</v>
      </c>
      <c r="P253" s="38">
        <f>nor!P253+og!P253</f>
        <v>4940</v>
      </c>
      <c r="Q253" s="286">
        <f>nor!Q253+og!Q253</f>
        <v>10880</v>
      </c>
      <c r="R253" s="38">
        <f>nor!R253+og!R253</f>
        <v>280769.39</v>
      </c>
      <c r="S253" s="38">
        <f>nor!S253+og!S253</f>
        <v>168028.76999999996</v>
      </c>
      <c r="T253" s="38">
        <f>nor!T253+og!T253</f>
        <v>4476</v>
      </c>
      <c r="U253" s="38">
        <f>nor!U253+og!U253</f>
        <v>252893.47999999998</v>
      </c>
      <c r="V253" s="38">
        <f>nor!V253+og!V253</f>
        <v>151214.77000000002</v>
      </c>
      <c r="W253" s="38">
        <f>nor!W253+og!W253</f>
        <v>445</v>
      </c>
      <c r="X253" s="38">
        <f>nor!X253+og!X253</f>
        <v>27810.21</v>
      </c>
      <c r="Y253" s="38">
        <f>nor!Y253+og!Y253</f>
        <v>16772.88</v>
      </c>
      <c r="Z253" s="38">
        <f>nor!Z253+og!Z253</f>
        <v>1</v>
      </c>
      <c r="AA253" s="38">
        <f>nor!AA253+og!AA253</f>
        <v>65.7</v>
      </c>
      <c r="AB253" s="38">
        <f>nor!AB253+og!AB253</f>
        <v>41.12</v>
      </c>
      <c r="AC253" s="38">
        <f>nor!AC253+og!AC253</f>
        <v>4356.55</v>
      </c>
      <c r="AD253" s="38">
        <f>nor!AD253+og!AD253</f>
        <v>1149.25</v>
      </c>
      <c r="AE253" s="38">
        <f>nor!AE253+og!AE253</f>
        <v>0</v>
      </c>
      <c r="AF253" s="38">
        <f>nor!AF253+og!AF253</f>
        <v>1149.25</v>
      </c>
      <c r="AG253" s="38">
        <f>nor!AG253+og!AG253</f>
        <v>3207.3000000000006</v>
      </c>
      <c r="AH253" s="38">
        <f>nor!AH253+og!AH253</f>
        <v>0</v>
      </c>
      <c r="AI253" s="38">
        <f>nor!AI253+og!AI253</f>
        <v>285125.94000000006</v>
      </c>
      <c r="AJ253" s="38">
        <f>nor!AJ253+og!AJ253</f>
        <v>2494</v>
      </c>
      <c r="AK253" s="38">
        <f>nor!AK253+og!AK253</f>
        <v>141</v>
      </c>
      <c r="AL253" s="38">
        <f>nor!AL253+og!AL253</f>
        <v>141</v>
      </c>
      <c r="AM253" s="38">
        <f>nor!AM253+og!AM253</f>
        <v>141</v>
      </c>
      <c r="AN253" s="38">
        <f>nor!AN253+og!AN253</f>
        <v>0</v>
      </c>
      <c r="AO253" s="38">
        <f>nor!AO253+og!AO253</f>
        <v>143</v>
      </c>
      <c r="AP253" s="38">
        <f>nor!AP253+og!AP253</f>
        <v>227452</v>
      </c>
      <c r="AQ253" s="38">
        <f>nor!AQ253+og!AQ253</f>
        <v>2173.2600000000002</v>
      </c>
      <c r="AR253" s="38">
        <f>nor!AR253+og!AR253</f>
        <v>26384</v>
      </c>
      <c r="AS253" s="38">
        <f>nor!AS253+og!AS253</f>
        <v>16344</v>
      </c>
      <c r="AT253" s="38">
        <f>nor!AT253+og!AT253</f>
        <v>4616</v>
      </c>
      <c r="AU253" s="38">
        <f>nor!AU253+og!AU253</f>
        <v>345291</v>
      </c>
      <c r="AV253" s="38">
        <f>nor!AV253+og!AV253</f>
        <v>159307</v>
      </c>
      <c r="AW253" s="38">
        <f>nor!AW253+og!AW253</f>
        <v>185984</v>
      </c>
      <c r="AX253" s="38">
        <f>nor!AX253+og!AX253</f>
        <v>121852</v>
      </c>
      <c r="AY253" s="38">
        <f>nor!AY253+og!AY253</f>
        <v>11686</v>
      </c>
      <c r="AZ253" s="38">
        <f>nor!AZ253+og!AZ253</f>
        <v>43639</v>
      </c>
      <c r="BA253" s="38">
        <f>nor!BA253+og!BA253</f>
        <v>40498</v>
      </c>
      <c r="BB253" s="38">
        <f>nor!BB253+og!BB253</f>
        <v>2318</v>
      </c>
      <c r="BC253" s="38">
        <f>nor!BC253+og!BC253</f>
        <v>1159</v>
      </c>
      <c r="BD253" s="38">
        <f>nor!BD253+og!BD253</f>
        <v>16348</v>
      </c>
      <c r="BE253" s="38">
        <f>nor!BE253+og!BE253</f>
        <v>17434</v>
      </c>
      <c r="BF253" s="38">
        <f>nor!BF253+og!BF253</f>
        <v>37</v>
      </c>
      <c r="BG253" s="38">
        <f>nor!BG253+og!BG253</f>
        <v>460274</v>
      </c>
      <c r="BH253" s="38">
        <f>nor!BH253+og!BH253</f>
        <v>163081</v>
      </c>
      <c r="BI253" s="38">
        <f>nor!BI253+og!BI253</f>
        <v>12501</v>
      </c>
      <c r="BJ253" s="38">
        <f>nor!BJ253+og!BJ253</f>
        <v>0</v>
      </c>
      <c r="BK253" s="38">
        <f>nor!BK253+og!BK253</f>
        <v>0</v>
      </c>
      <c r="BL253" s="38">
        <f>nor!BL253+og!BL253</f>
        <v>0</v>
      </c>
      <c r="BM253" s="38">
        <f>nor!BM253+og!BM253</f>
        <v>45</v>
      </c>
      <c r="BN253" s="38">
        <f>nor!BN253+og!BN253</f>
        <v>280769.39</v>
      </c>
      <c r="BO253" s="38">
        <f>nor!BO253+og!BO253</f>
        <v>168028.76999999996</v>
      </c>
      <c r="BP253" s="38">
        <f>nor!BP253+og!BP253</f>
        <v>0</v>
      </c>
      <c r="BQ253" s="38">
        <f>nor!BQ253+og!BQ253</f>
        <v>0</v>
      </c>
      <c r="BR253" s="38">
        <f>nor!BR253+og!BR253</f>
        <v>0</v>
      </c>
      <c r="BS253" s="38">
        <f>nor!BS253+og!BS253</f>
        <v>19</v>
      </c>
      <c r="BT253" s="38">
        <f>nor!BT253+og!BT253</f>
        <v>84</v>
      </c>
      <c r="BU253" s="38">
        <f>nor!BU253+og!BU253</f>
        <v>40614</v>
      </c>
      <c r="BV253" s="38">
        <f>nor!BV253+og!BV253</f>
        <v>127756</v>
      </c>
      <c r="BW253" s="38">
        <f>nor!BW253+og!BW253</f>
        <v>0</v>
      </c>
      <c r="BX253" s="38">
        <f>nor!BX253+og!BX253</f>
        <v>0</v>
      </c>
      <c r="BY253" s="251">
        <f>nor!BY253+og!BY253</f>
        <v>81096.909999999989</v>
      </c>
      <c r="BZ253" s="38">
        <f>nor!BZ253+og!BZ253</f>
        <v>38173.129999999997</v>
      </c>
      <c r="CA253" s="38">
        <f>nor!CA253+og!CM253</f>
        <v>119919</v>
      </c>
      <c r="CB253" s="38">
        <f>nor!CB253+og!CN253</f>
        <v>71358</v>
      </c>
      <c r="CC253" s="38">
        <f>nor!CC253+og!CO253</f>
        <v>23</v>
      </c>
      <c r="CD253" s="38">
        <f>nor!CD253+og!CP253</f>
        <v>159307</v>
      </c>
      <c r="CE253" s="38">
        <f>nor!CE253+og!CQ253</f>
        <v>22</v>
      </c>
      <c r="CF253" s="38">
        <f>nor!CF253+og!CR253</f>
        <v>185984</v>
      </c>
      <c r="CG253" s="38">
        <f>nor!CG253+og!CS253</f>
        <v>45</v>
      </c>
      <c r="CH253" s="38">
        <f>nor!CH253+og!CT253</f>
        <v>345291</v>
      </c>
      <c r="CI253" s="289">
        <f>nor!CI253+og!CU253</f>
        <v>2362</v>
      </c>
      <c r="CJ253" s="38">
        <f>nor!CJ253+og!CV253</f>
        <v>0</v>
      </c>
      <c r="CK253" s="38">
        <f>nor!CK253+og!CW253</f>
        <v>0</v>
      </c>
      <c r="CL253" s="224"/>
      <c r="CM253" s="38">
        <f>nor!CM253+og!CY253</f>
        <v>0</v>
      </c>
      <c r="CN253" s="38">
        <f>nor!CN253+og!CZ253</f>
        <v>0</v>
      </c>
      <c r="CO253" s="224"/>
      <c r="CP253" s="199">
        <f>nor!CP253+og!DB253</f>
        <v>45</v>
      </c>
      <c r="CQ253" s="199">
        <f>nor!CQ253+og!DC253</f>
        <v>13</v>
      </c>
      <c r="CR253" s="199">
        <f>nor!CR253+og!DD253</f>
        <v>13</v>
      </c>
      <c r="CS253" s="199">
        <f>nor!CS253+og!DE253</f>
        <v>14</v>
      </c>
      <c r="CT253" s="199">
        <f>nor!CT253+og!DF253</f>
        <v>83</v>
      </c>
      <c r="CU253" s="199">
        <f>nor!CU253+og!DG253</f>
        <v>17</v>
      </c>
      <c r="CV253" s="199">
        <f>nor!CV253+og!DH253</f>
        <v>17</v>
      </c>
      <c r="CW253" s="199">
        <f>nor!CW253+og!DI253</f>
        <v>18</v>
      </c>
      <c r="CX253" s="199">
        <f>nor!CX253+og!DJ253</f>
        <v>17</v>
      </c>
      <c r="CY253" s="199">
        <f>nor!CY253+og!DK253</f>
        <v>3902</v>
      </c>
      <c r="CZ253" s="199">
        <f>nor!CZ253+og!DL253</f>
        <v>3460</v>
      </c>
      <c r="DA253" s="199">
        <f>nor!DA253+og!DM253</f>
        <v>442</v>
      </c>
      <c r="DB253" s="199">
        <f>nor!DB253+og!DN253</f>
        <v>2732</v>
      </c>
      <c r="DC253" s="199">
        <f>nor!DC253+og!DO253</f>
        <v>1826</v>
      </c>
      <c r="DD253" s="199">
        <f>nor!DD253+og!DP253</f>
        <v>2734</v>
      </c>
      <c r="DE253" s="199">
        <f>nor!DE253+og!DQ253</f>
        <v>2488</v>
      </c>
      <c r="DF253" s="199">
        <f>nor!DF253+og!DR253</f>
        <v>1908</v>
      </c>
      <c r="DG253" s="199">
        <f>nor!DG253+og!DS253</f>
        <v>2616</v>
      </c>
      <c r="DH253" s="199">
        <f>nor!DH253+og!DT253</f>
        <v>2616</v>
      </c>
      <c r="DI253" s="199">
        <f>nor!DI253+og!DU253</f>
        <v>249</v>
      </c>
      <c r="DJ253" s="199">
        <f>nor!DJ253+og!DV253</f>
        <v>153</v>
      </c>
      <c r="DK253" s="199">
        <f>nor!DK253+og!DW253</f>
        <v>301</v>
      </c>
      <c r="DL253" s="199">
        <f>nor!DL253+og!DX253</f>
        <v>223</v>
      </c>
      <c r="DM253" s="199">
        <f>nor!DM253+og!DY253</f>
        <v>160</v>
      </c>
      <c r="DN253" s="199">
        <f>nor!DN253+og!DZ253</f>
        <v>289</v>
      </c>
      <c r="DO253" s="199">
        <f>nor!DO253+og!EA253</f>
        <v>235</v>
      </c>
      <c r="DP253" s="199">
        <f>nor!DP253+og!EB253</f>
        <v>3902</v>
      </c>
      <c r="DQ253" s="199">
        <f>nor!DQ253+og!EC253</f>
        <v>3891</v>
      </c>
    </row>
    <row r="254" spans="2:121" s="107" customFormat="1" x14ac:dyDescent="0.2">
      <c r="B254" s="105"/>
      <c r="C254" s="25" t="s">
        <v>17</v>
      </c>
      <c r="D254" s="28"/>
      <c r="E254" s="49"/>
      <c r="F254" s="49"/>
      <c r="G254" s="38">
        <f>nor!G254+og!G254</f>
        <v>48</v>
      </c>
      <c r="H254" s="260">
        <v>9</v>
      </c>
      <c r="I254" s="106"/>
      <c r="J254" s="38">
        <f>nor!J254+og!J254</f>
        <v>1055284.5</v>
      </c>
      <c r="K254" s="38">
        <f>nor!K254+og!K254</f>
        <v>43413.1</v>
      </c>
      <c r="L254" s="38">
        <f>nor!L254+og!L254</f>
        <v>0</v>
      </c>
      <c r="M254" s="38">
        <f>nor!M254+og!M254</f>
        <v>39222.020000000004</v>
      </c>
      <c r="N254" s="38">
        <f>nor!N254+og!N254</f>
        <v>3559</v>
      </c>
      <c r="O254" s="38">
        <f>nor!O254+og!O254</f>
        <v>9627</v>
      </c>
      <c r="P254" s="38">
        <f>nor!P254+og!P254</f>
        <v>3584</v>
      </c>
      <c r="Q254" s="286">
        <f>nor!Q254+og!Q254</f>
        <v>8315</v>
      </c>
      <c r="R254" s="38">
        <f>nor!R254+og!R254</f>
        <v>233681.34</v>
      </c>
      <c r="S254" s="38">
        <f>nor!S254+og!S254</f>
        <v>143747.19</v>
      </c>
      <c r="T254" s="38">
        <f>nor!T254+og!T254</f>
        <v>3217</v>
      </c>
      <c r="U254" s="38">
        <f>nor!U254+og!U254</f>
        <v>210430.91999999998</v>
      </c>
      <c r="V254" s="38">
        <f>nor!V254+og!V254</f>
        <v>129277.95999999999</v>
      </c>
      <c r="W254" s="38">
        <f>nor!W254+og!W254</f>
        <v>342</v>
      </c>
      <c r="X254" s="38">
        <f>nor!X254+og!X254</f>
        <v>23250.42</v>
      </c>
      <c r="Y254" s="38">
        <f>nor!Y254+og!Y254</f>
        <v>14469.23</v>
      </c>
      <c r="Z254" s="38">
        <f>nor!Z254+og!Z254</f>
        <v>0</v>
      </c>
      <c r="AA254" s="38">
        <f>nor!AA254+og!AA254</f>
        <v>0</v>
      </c>
      <c r="AB254" s="38">
        <f>nor!AB254+og!AB254</f>
        <v>0</v>
      </c>
      <c r="AC254" s="38">
        <f>nor!AC254+og!AC254</f>
        <v>9174</v>
      </c>
      <c r="AD254" s="38">
        <f>nor!AD254+og!AD254</f>
        <v>3392</v>
      </c>
      <c r="AE254" s="38">
        <f>nor!AE254+og!AE254</f>
        <v>0</v>
      </c>
      <c r="AF254" s="38">
        <f>nor!AF254+og!AF254</f>
        <v>3392</v>
      </c>
      <c r="AG254" s="38">
        <f>nor!AG254+og!AG254</f>
        <v>4456.3</v>
      </c>
      <c r="AH254" s="38">
        <f>nor!AH254+og!AH254</f>
        <v>1325.7</v>
      </c>
      <c r="AI254" s="38">
        <f>nor!AI254+og!AI254</f>
        <v>242855.33999999997</v>
      </c>
      <c r="AJ254" s="38">
        <f>nor!AJ254+og!AJ254</f>
        <v>2606</v>
      </c>
      <c r="AK254" s="38">
        <f>nor!AK254+og!AK254</f>
        <v>106</v>
      </c>
      <c r="AL254" s="38">
        <f>nor!AL254+og!AL254</f>
        <v>106</v>
      </c>
      <c r="AM254" s="38">
        <f>nor!AM254+og!AM254</f>
        <v>106</v>
      </c>
      <c r="AN254" s="38">
        <f>nor!AN254+og!AN254</f>
        <v>0</v>
      </c>
      <c r="AO254" s="38">
        <f>nor!AO254+og!AO254</f>
        <v>106</v>
      </c>
      <c r="AP254" s="38">
        <f>nor!AP254+og!AP254</f>
        <v>188422.3</v>
      </c>
      <c r="AQ254" s="38">
        <f>nor!AQ254+og!AQ254</f>
        <v>2014.2950000000001</v>
      </c>
      <c r="AR254" s="38">
        <f>nor!AR254+og!AR254</f>
        <v>21218.67</v>
      </c>
      <c r="AS254" s="38">
        <f>nor!AS254+og!AS254</f>
        <v>15322.33</v>
      </c>
      <c r="AT254" s="38">
        <f>nor!AT254+og!AT254</f>
        <v>7525</v>
      </c>
      <c r="AU254" s="38">
        <f>nor!AU254+og!AU254</f>
        <v>380168.67</v>
      </c>
      <c r="AV254" s="38">
        <f>nor!AV254+og!AV254</f>
        <v>76846</v>
      </c>
      <c r="AW254" s="38">
        <f>nor!AW254+og!AW254</f>
        <v>303322.67</v>
      </c>
      <c r="AX254" s="38">
        <f>nor!AX254+og!AX254</f>
        <v>89211.333333333343</v>
      </c>
      <c r="AY254" s="38">
        <f>nor!AY254+og!AY254</f>
        <v>10905.333333333332</v>
      </c>
      <c r="AZ254" s="38">
        <f>nor!AZ254+og!AZ254</f>
        <v>39086</v>
      </c>
      <c r="BA254" s="38">
        <f>nor!BA254+og!BA254</f>
        <v>34559</v>
      </c>
      <c r="BB254" s="38">
        <f>nor!BB254+og!BB254</f>
        <v>1798</v>
      </c>
      <c r="BC254" s="38">
        <f>nor!BC254+og!BC254</f>
        <v>1998</v>
      </c>
      <c r="BD254" s="38">
        <f>nor!BD254+og!BD254</f>
        <v>12756</v>
      </c>
      <c r="BE254" s="38">
        <f>nor!BE254+og!BE254</f>
        <v>22149</v>
      </c>
      <c r="BF254" s="38">
        <f>nor!BF254+og!BF254</f>
        <v>55</v>
      </c>
      <c r="BG254" s="38">
        <f>nor!BG254+og!BG254</f>
        <v>358801</v>
      </c>
      <c r="BH254" s="38">
        <f>nor!BH254+og!BH254</f>
        <v>127922</v>
      </c>
      <c r="BI254" s="38">
        <f>nor!BI254+og!BI254</f>
        <v>8586</v>
      </c>
      <c r="BJ254" s="38">
        <f>nor!BJ254+og!BJ254</f>
        <v>1</v>
      </c>
      <c r="BK254" s="38">
        <f>nor!BK254+og!BK254</f>
        <v>3247.8</v>
      </c>
      <c r="BL254" s="38">
        <f>nor!BL254+og!BL254</f>
        <v>1740.2</v>
      </c>
      <c r="BM254" s="38">
        <f>nor!BM254+og!BM254</f>
        <v>44</v>
      </c>
      <c r="BN254" s="38">
        <f>nor!BN254+og!BN254</f>
        <v>195681.75</v>
      </c>
      <c r="BO254" s="38">
        <f>nor!BO254+og!BO254</f>
        <v>120948.98999999999</v>
      </c>
      <c r="BP254" s="38">
        <f>nor!BP254+og!BP254</f>
        <v>3</v>
      </c>
      <c r="BQ254" s="38">
        <f>nor!BQ254+og!BQ254</f>
        <v>34751.79</v>
      </c>
      <c r="BR254" s="38">
        <f>nor!BR254+og!BR254</f>
        <v>21058</v>
      </c>
      <c r="BS254" s="38">
        <f>nor!BS254+og!BS254</f>
        <v>7</v>
      </c>
      <c r="BT254" s="38">
        <f>nor!BT254+og!BT254</f>
        <v>82</v>
      </c>
      <c r="BU254" s="38">
        <f>nor!BU254+og!BU254</f>
        <v>12051</v>
      </c>
      <c r="BV254" s="38">
        <f>nor!BV254+og!BV254</f>
        <v>736</v>
      </c>
      <c r="BW254" s="38">
        <f>nor!BW254+og!BW254</f>
        <v>28</v>
      </c>
      <c r="BX254" s="38">
        <f>nor!BX254+og!BX254</f>
        <v>6442</v>
      </c>
      <c r="BY254" s="251">
        <f>nor!BY254+og!BY254</f>
        <v>78397.279999999984</v>
      </c>
      <c r="BZ254" s="38">
        <f>nor!BZ254+og!BZ254</f>
        <v>40525.299999999996</v>
      </c>
      <c r="CA254" s="38">
        <f>nor!CA254+og!CM254</f>
        <v>91385</v>
      </c>
      <c r="CB254" s="38">
        <f>nor!CB254+og!CN254</f>
        <v>47971.9</v>
      </c>
      <c r="CC254" s="38">
        <f>nor!CC254+og!CO254</f>
        <v>12</v>
      </c>
      <c r="CD254" s="38">
        <f>nor!CD254+og!CP254</f>
        <v>76846</v>
      </c>
      <c r="CE254" s="38">
        <f>nor!CE254+og!CQ254</f>
        <v>36</v>
      </c>
      <c r="CF254" s="38">
        <f>nor!CF254+og!CR254</f>
        <v>303322.67</v>
      </c>
      <c r="CG254" s="38">
        <f>nor!CG254+og!CS254</f>
        <v>48</v>
      </c>
      <c r="CH254" s="38">
        <f>nor!CH254+og!CT254</f>
        <v>380168.67</v>
      </c>
      <c r="CI254" s="289">
        <f>nor!CI254+og!CU254</f>
        <v>2562</v>
      </c>
      <c r="CJ254" s="38">
        <f>nor!CJ254+og!CV254</f>
        <v>0</v>
      </c>
      <c r="CK254" s="38">
        <f>nor!CK254+og!CW254</f>
        <v>0</v>
      </c>
      <c r="CL254" s="224"/>
      <c r="CM254" s="38">
        <f>nor!CM254+og!CY254</f>
        <v>0</v>
      </c>
      <c r="CN254" s="38">
        <f>nor!CN254+og!CZ254</f>
        <v>0</v>
      </c>
      <c r="CO254" s="224"/>
      <c r="CP254" s="199">
        <f>nor!CP254+og!DB254</f>
        <v>48</v>
      </c>
      <c r="CQ254" s="199">
        <f>nor!CQ254+og!DC254</f>
        <v>16</v>
      </c>
      <c r="CR254" s="199">
        <f>nor!CR254+og!DD254</f>
        <v>16</v>
      </c>
      <c r="CS254" s="199">
        <f>nor!CS254+og!DE254</f>
        <v>17</v>
      </c>
      <c r="CT254" s="199">
        <f>nor!CT254+og!DF254</f>
        <v>91</v>
      </c>
      <c r="CU254" s="199">
        <f>nor!CU254+og!DG254</f>
        <v>16</v>
      </c>
      <c r="CV254" s="199">
        <f>nor!CV254+og!DH254</f>
        <v>16</v>
      </c>
      <c r="CW254" s="199">
        <f>nor!CW254+og!DI254</f>
        <v>17</v>
      </c>
      <c r="CX254" s="199">
        <f>nor!CX254+og!DJ254</f>
        <v>16</v>
      </c>
      <c r="CY254" s="199">
        <f>nor!CY254+og!DK254</f>
        <v>4096</v>
      </c>
      <c r="CZ254" s="199">
        <f>nor!CZ254+og!DL254</f>
        <v>3659</v>
      </c>
      <c r="DA254" s="199">
        <f>nor!DA254+og!DM254</f>
        <v>437</v>
      </c>
      <c r="DB254" s="199">
        <f>nor!DB254+og!DN254</f>
        <v>2932</v>
      </c>
      <c r="DC254" s="199">
        <f>nor!DC254+og!DO254</f>
        <v>2017</v>
      </c>
      <c r="DD254" s="199">
        <f>nor!DD254+og!DP254</f>
        <v>2558</v>
      </c>
      <c r="DE254" s="199">
        <f>nor!DE254+og!DQ254</f>
        <v>2455</v>
      </c>
      <c r="DF254" s="199">
        <f>nor!DF254+og!DR254</f>
        <v>2064</v>
      </c>
      <c r="DG254" s="199">
        <f>nor!DG254+og!DS254</f>
        <v>2524</v>
      </c>
      <c r="DH254" s="199">
        <f>nor!DH254+og!DT254</f>
        <v>2525</v>
      </c>
      <c r="DI254" s="199">
        <f>nor!DI254+og!DU254</f>
        <v>241</v>
      </c>
      <c r="DJ254" s="199">
        <f>nor!DJ254+og!DV254</f>
        <v>148</v>
      </c>
      <c r="DK254" s="199">
        <f>nor!DK254+og!DW254</f>
        <v>249</v>
      </c>
      <c r="DL254" s="199">
        <f>nor!DL254+og!DX254</f>
        <v>172</v>
      </c>
      <c r="DM254" s="199">
        <f>nor!DM254+og!DY254</f>
        <v>150</v>
      </c>
      <c r="DN254" s="199">
        <f>nor!DN254+og!DZ254</f>
        <v>252</v>
      </c>
      <c r="DO254" s="199">
        <f>nor!DO254+og!EA254</f>
        <v>178</v>
      </c>
      <c r="DP254" s="199">
        <f>nor!DP254+og!EB254</f>
        <v>4096</v>
      </c>
      <c r="DQ254" s="199">
        <f>nor!DQ254+og!EC254</f>
        <v>4076</v>
      </c>
    </row>
    <row r="255" spans="2:121" s="107" customFormat="1" x14ac:dyDescent="0.2">
      <c r="B255" s="105"/>
      <c r="C255" s="25" t="s">
        <v>18</v>
      </c>
      <c r="D255" s="28"/>
      <c r="E255" s="49"/>
      <c r="F255" s="49"/>
      <c r="G255" s="38">
        <f>nor!G255+og!G255</f>
        <v>3</v>
      </c>
      <c r="H255" s="260">
        <v>12</v>
      </c>
      <c r="I255" s="106"/>
      <c r="J255" s="38">
        <f>nor!J255+og!J255</f>
        <v>73466</v>
      </c>
      <c r="K255" s="38">
        <f>nor!K255+og!K255</f>
        <v>3429</v>
      </c>
      <c r="L255" s="38">
        <f>nor!L255+og!L255</f>
        <v>0</v>
      </c>
      <c r="M255" s="38">
        <f>nor!M255+og!M255</f>
        <v>1622</v>
      </c>
      <c r="N255" s="38">
        <f>nor!N255+og!N255</f>
        <v>165</v>
      </c>
      <c r="O255" s="38">
        <f>nor!O255+og!O255</f>
        <v>363</v>
      </c>
      <c r="P255" s="38">
        <f>nor!P255+og!P255</f>
        <v>165</v>
      </c>
      <c r="Q255" s="286">
        <f>nor!Q255+og!Q255</f>
        <v>311</v>
      </c>
      <c r="R255" s="38">
        <f>nor!R255+og!R255</f>
        <v>9610.1</v>
      </c>
      <c r="S255" s="38">
        <f>nor!S255+og!S255</f>
        <v>5310.8</v>
      </c>
      <c r="T255" s="38">
        <f>nor!T255+og!T255</f>
        <v>160</v>
      </c>
      <c r="U255" s="38">
        <f>nor!U255+og!U255</f>
        <v>9357.1</v>
      </c>
      <c r="V255" s="38">
        <f>nor!V255+og!V255</f>
        <v>5153.95</v>
      </c>
      <c r="W255" s="38">
        <f>nor!W255+og!W255</f>
        <v>5</v>
      </c>
      <c r="X255" s="38">
        <f>nor!X255+og!X255</f>
        <v>253</v>
      </c>
      <c r="Y255" s="38">
        <f>nor!Y255+og!Y255</f>
        <v>156.85</v>
      </c>
      <c r="Z255" s="38">
        <f>nor!Z255+og!Z255</f>
        <v>0</v>
      </c>
      <c r="AA255" s="38">
        <f>nor!AA255+og!AA255</f>
        <v>0</v>
      </c>
      <c r="AB255" s="38">
        <f>nor!AB255+og!AB255</f>
        <v>0</v>
      </c>
      <c r="AC255" s="38">
        <f>nor!AC255+og!AC255</f>
        <v>2115.1</v>
      </c>
      <c r="AD255" s="38">
        <f>nor!AD255+og!AD255</f>
        <v>1545.3000000000002</v>
      </c>
      <c r="AE255" s="38">
        <f>nor!AE255+og!AE255</f>
        <v>0</v>
      </c>
      <c r="AF255" s="38">
        <f>nor!AF255+og!AF255</f>
        <v>1545.3000000000002</v>
      </c>
      <c r="AG255" s="38">
        <f>nor!AG255+og!AG255</f>
        <v>569.79999999999995</v>
      </c>
      <c r="AH255" s="38">
        <f>nor!AH255+og!AH255</f>
        <v>0</v>
      </c>
      <c r="AI255" s="38">
        <f>nor!AI255+og!AI255</f>
        <v>11725.2</v>
      </c>
      <c r="AJ255" s="38">
        <f>nor!AJ255+og!AJ255</f>
        <v>0</v>
      </c>
      <c r="AK255" s="38">
        <f>nor!AK255+og!AK255</f>
        <v>6</v>
      </c>
      <c r="AL255" s="38">
        <f>nor!AL255+og!AL255</f>
        <v>3</v>
      </c>
      <c r="AM255" s="38">
        <f>nor!AM255+og!AM255</f>
        <v>3</v>
      </c>
      <c r="AN255" s="38">
        <f>nor!AN255+og!AN255</f>
        <v>0</v>
      </c>
      <c r="AO255" s="38">
        <f>nor!AO255+og!AO255</f>
        <v>3</v>
      </c>
      <c r="AP255" s="38">
        <f>nor!AP255+og!AP255</f>
        <v>9900</v>
      </c>
      <c r="AQ255" s="38">
        <f>nor!AQ255+og!AQ255</f>
        <v>15.25</v>
      </c>
      <c r="AR255" s="38">
        <f>nor!AR255+og!AR255</f>
        <v>2225</v>
      </c>
      <c r="AS255" s="38">
        <f>nor!AS255+og!AS255</f>
        <v>888</v>
      </c>
      <c r="AT255" s="38">
        <f>nor!AT255+og!AT255</f>
        <v>117</v>
      </c>
      <c r="AU255" s="38">
        <f>nor!AU255+og!AU255</f>
        <v>13170</v>
      </c>
      <c r="AV255" s="38">
        <f>nor!AV255+og!AV255</f>
        <v>0</v>
      </c>
      <c r="AW255" s="38">
        <f>nor!AW255+og!AW255</f>
        <v>13170</v>
      </c>
      <c r="AX255" s="38">
        <f>nor!AX255+og!AX255</f>
        <v>0</v>
      </c>
      <c r="AY255" s="38">
        <f>nor!AY255+og!AY255</f>
        <v>834</v>
      </c>
      <c r="AZ255" s="38">
        <f>nor!AZ255+og!AZ255</f>
        <v>3280</v>
      </c>
      <c r="BA255" s="38">
        <f>nor!BA255+og!BA255</f>
        <v>1652</v>
      </c>
      <c r="BB255" s="38">
        <f>nor!BB255+og!BB255</f>
        <v>26</v>
      </c>
      <c r="BC255" s="38">
        <f>nor!BC255+og!BC255</f>
        <v>258</v>
      </c>
      <c r="BD255" s="38">
        <f>nor!BD255+og!BD255</f>
        <v>583</v>
      </c>
      <c r="BE255" s="38">
        <f>nor!BE255+og!BE255</f>
        <v>1023</v>
      </c>
      <c r="BF255" s="38">
        <f>nor!BF255+og!BF255</f>
        <v>3</v>
      </c>
      <c r="BG255" s="38">
        <f>nor!BG255+og!BG255</f>
        <v>22800</v>
      </c>
      <c r="BH255" s="38">
        <f>nor!BH255+og!BH255</f>
        <v>9810</v>
      </c>
      <c r="BI255" s="38">
        <f>nor!BI255+og!BI255</f>
        <v>360</v>
      </c>
      <c r="BJ255" s="38">
        <f>nor!BJ255+og!BJ255</f>
        <v>3</v>
      </c>
      <c r="BK255" s="38">
        <f>nor!BK255+og!BK255</f>
        <v>9610.1</v>
      </c>
      <c r="BL255" s="38">
        <f>nor!BL255+og!BL255</f>
        <v>5310.8</v>
      </c>
      <c r="BM255" s="38">
        <f>nor!BM255+og!BM255</f>
        <v>0</v>
      </c>
      <c r="BN255" s="38">
        <f>nor!BN255+og!BN255</f>
        <v>0</v>
      </c>
      <c r="BO255" s="38">
        <f>nor!BO255+og!BO255</f>
        <v>0</v>
      </c>
      <c r="BP255" s="38">
        <f>nor!BP255+og!BP255</f>
        <v>0</v>
      </c>
      <c r="BQ255" s="38">
        <f>nor!BQ255+og!BQ255</f>
        <v>0</v>
      </c>
      <c r="BR255" s="38">
        <f>nor!BR255+og!BR255</f>
        <v>0</v>
      </c>
      <c r="BS255" s="38">
        <f>nor!BS255+og!BS255</f>
        <v>0</v>
      </c>
      <c r="BT255" s="38">
        <f>nor!BT255+og!BT255</f>
        <v>3</v>
      </c>
      <c r="BU255" s="38">
        <f>nor!BU255+og!BU255</f>
        <v>1652</v>
      </c>
      <c r="BV255" s="38">
        <f>nor!BV255+og!BV255</f>
        <v>11004</v>
      </c>
      <c r="BW255" s="38">
        <f>nor!BW255+og!BW255</f>
        <v>0</v>
      </c>
      <c r="BX255" s="38">
        <f>nor!BX255+og!BX255</f>
        <v>9900</v>
      </c>
      <c r="BY255" s="251">
        <f>nor!BY255+og!BY255</f>
        <v>5452.7000000000007</v>
      </c>
      <c r="BZ255" s="38">
        <f>nor!BZ255+og!BZ255</f>
        <v>3421.6</v>
      </c>
      <c r="CA255" s="38">
        <f>nor!CA255+og!CM255</f>
        <v>5802</v>
      </c>
      <c r="CB255" s="38">
        <f>nor!CB255+og!CN255</f>
        <v>2373</v>
      </c>
      <c r="CC255" s="38">
        <f>nor!CC255+og!CO255</f>
        <v>0</v>
      </c>
      <c r="CD255" s="38">
        <f>nor!CD255+og!CP255</f>
        <v>0</v>
      </c>
      <c r="CE255" s="38">
        <f>nor!CE255+og!CQ255</f>
        <v>3</v>
      </c>
      <c r="CF255" s="38">
        <f>nor!CF255+og!CR255</f>
        <v>13170</v>
      </c>
      <c r="CG255" s="38">
        <f>nor!CG255+og!CS255</f>
        <v>3</v>
      </c>
      <c r="CH255" s="38">
        <f>nor!CH255+og!CT255</f>
        <v>13170</v>
      </c>
      <c r="CI255" s="289">
        <f>nor!CI255+og!CU255</f>
        <v>172</v>
      </c>
      <c r="CJ255" s="38">
        <f>nor!CJ255+og!CV255</f>
        <v>0</v>
      </c>
      <c r="CK255" s="38">
        <f>nor!CK255+og!CW255</f>
        <v>0</v>
      </c>
      <c r="CL255" s="224"/>
      <c r="CM255" s="38">
        <f>nor!CM255+og!CY255</f>
        <v>0</v>
      </c>
      <c r="CN255" s="38">
        <f>nor!CN255+og!CZ255</f>
        <v>0</v>
      </c>
      <c r="CO255" s="224"/>
      <c r="CP255" s="199">
        <f>nor!CP255+og!DB255</f>
        <v>3</v>
      </c>
      <c r="CQ255" s="199">
        <f>nor!CQ255+og!DC255</f>
        <v>0</v>
      </c>
      <c r="CR255" s="199">
        <f>nor!CR255+og!DD255</f>
        <v>0</v>
      </c>
      <c r="CS255" s="199">
        <f>nor!CS255+og!DE255</f>
        <v>0</v>
      </c>
      <c r="CT255" s="199">
        <f>nor!CT255+og!DF255</f>
        <v>3</v>
      </c>
      <c r="CU255" s="199">
        <f>nor!CU255+og!DG255</f>
        <v>0</v>
      </c>
      <c r="CV255" s="199">
        <f>nor!CV255+og!DH255</f>
        <v>0</v>
      </c>
      <c r="CW255" s="199">
        <f>nor!CW255+og!DI255</f>
        <v>0</v>
      </c>
      <c r="CX255" s="199">
        <f>nor!CX255+og!DJ255</f>
        <v>0</v>
      </c>
      <c r="CY255" s="199">
        <f>nor!CY255+og!DK255</f>
        <v>155</v>
      </c>
      <c r="CZ255" s="199">
        <f>nor!CZ255+og!DL255</f>
        <v>134</v>
      </c>
      <c r="DA255" s="199">
        <f>nor!DA255+og!DM255</f>
        <v>21</v>
      </c>
      <c r="DB255" s="199">
        <f>nor!DB255+og!DN255</f>
        <v>102</v>
      </c>
      <c r="DC255" s="199">
        <f>nor!DC255+og!DO255</f>
        <v>74</v>
      </c>
      <c r="DD255" s="199">
        <f>nor!DD255+og!DP255</f>
        <v>102</v>
      </c>
      <c r="DE255" s="199">
        <f>nor!DE255+og!DQ255</f>
        <v>91</v>
      </c>
      <c r="DF255" s="199">
        <f>nor!DF255+og!DR255</f>
        <v>73</v>
      </c>
      <c r="DG255" s="199">
        <f>nor!DG255+og!DS255</f>
        <v>104</v>
      </c>
      <c r="DH255" s="199">
        <f>nor!DH255+og!DT255</f>
        <v>89</v>
      </c>
      <c r="DI255" s="199">
        <f>nor!DI255+og!DU255</f>
        <v>10</v>
      </c>
      <c r="DJ255" s="199">
        <f>nor!DJ255+og!DV255</f>
        <v>4</v>
      </c>
      <c r="DK255" s="199">
        <f>nor!DK255+og!DW255</f>
        <v>9</v>
      </c>
      <c r="DL255" s="199">
        <f>nor!DL255+og!DX255</f>
        <v>4</v>
      </c>
      <c r="DM255" s="199">
        <f>nor!DM255+og!DY255</f>
        <v>4</v>
      </c>
      <c r="DN255" s="199">
        <f>nor!DN255+og!DZ255</f>
        <v>9</v>
      </c>
      <c r="DO255" s="199">
        <f>nor!DO255+og!EA255</f>
        <v>4</v>
      </c>
      <c r="DP255" s="199">
        <f>nor!DP255+og!EB255</f>
        <v>155</v>
      </c>
      <c r="DQ255" s="199">
        <f>nor!DQ255+og!EC255</f>
        <v>155</v>
      </c>
    </row>
    <row r="256" spans="2:121" s="107" customFormat="1" x14ac:dyDescent="0.2">
      <c r="B256" s="105"/>
      <c r="C256" s="25" t="s">
        <v>23</v>
      </c>
      <c r="D256" s="7"/>
      <c r="E256" s="27"/>
      <c r="F256" s="27"/>
      <c r="G256" s="38">
        <f>nor!G256+og!G256</f>
        <v>25</v>
      </c>
      <c r="H256" s="261">
        <v>5</v>
      </c>
      <c r="I256" s="106"/>
      <c r="J256" s="38">
        <f>nor!J256+og!J256</f>
        <v>812732</v>
      </c>
      <c r="K256" s="38">
        <f>nor!K256+og!K256</f>
        <v>48516</v>
      </c>
      <c r="L256" s="38">
        <f>nor!L256+og!L256</f>
        <v>57683.53</v>
      </c>
      <c r="M256" s="38">
        <f>nor!M256+og!M256</f>
        <v>0</v>
      </c>
      <c r="N256" s="38">
        <f>nor!N256+og!N256</f>
        <v>2087</v>
      </c>
      <c r="O256" s="38">
        <f>nor!O256+og!O256</f>
        <v>5129</v>
      </c>
      <c r="P256" s="38">
        <f>nor!P256+og!P256</f>
        <v>2102</v>
      </c>
      <c r="Q256" s="286">
        <f>nor!Q256+og!Q256</f>
        <v>3848</v>
      </c>
      <c r="R256" s="38">
        <f>nor!R256+og!R256</f>
        <v>143129.25</v>
      </c>
      <c r="S256" s="38">
        <f>nor!S256+og!S256</f>
        <v>84951.829999999973</v>
      </c>
      <c r="T256" s="38">
        <f>nor!T256+og!T256</f>
        <v>1741</v>
      </c>
      <c r="U256" s="38">
        <f>nor!U256+og!U256</f>
        <v>118783.13000000002</v>
      </c>
      <c r="V256" s="38">
        <f>nor!V256+og!V256</f>
        <v>69986.100000000006</v>
      </c>
      <c r="W256" s="38">
        <f>nor!W256+og!W256</f>
        <v>343</v>
      </c>
      <c r="X256" s="38">
        <f>nor!X256+og!X256</f>
        <v>24138.320000000003</v>
      </c>
      <c r="Y256" s="38">
        <f>nor!Y256+og!Y256</f>
        <v>14965.73</v>
      </c>
      <c r="Z256" s="38">
        <f>nor!Z256+og!Z256</f>
        <v>3</v>
      </c>
      <c r="AA256" s="38">
        <f>nor!AA256+og!AA256</f>
        <v>207.8</v>
      </c>
      <c r="AB256" s="38">
        <f>nor!AB256+og!AB256</f>
        <v>0</v>
      </c>
      <c r="AC256" s="38">
        <f>nor!AC256+og!AC256</f>
        <v>33346.959999999992</v>
      </c>
      <c r="AD256" s="38">
        <f>nor!AD256+og!AD256</f>
        <v>13802.960000000001</v>
      </c>
      <c r="AE256" s="38">
        <f>nor!AE256+og!AE256</f>
        <v>0</v>
      </c>
      <c r="AF256" s="38">
        <f>nor!AF256+og!AF256</f>
        <v>13802.960000000001</v>
      </c>
      <c r="AG256" s="38">
        <f>nor!AG256+og!AG256</f>
        <v>17268.900000000001</v>
      </c>
      <c r="AH256" s="38">
        <f>nor!AH256+og!AH256</f>
        <v>2275.1</v>
      </c>
      <c r="AI256" s="38">
        <f>nor!AI256+og!AI256</f>
        <v>176476.20999999993</v>
      </c>
      <c r="AJ256" s="38">
        <f>nor!AJ256+og!AJ256</f>
        <v>20</v>
      </c>
      <c r="AK256" s="38">
        <f>nor!AK256+og!AK256</f>
        <v>0</v>
      </c>
      <c r="AL256" s="38">
        <f>nor!AL256+og!AL256</f>
        <v>119</v>
      </c>
      <c r="AM256" s="38">
        <f>nor!AM256+og!AM256</f>
        <v>2</v>
      </c>
      <c r="AN256" s="38">
        <f>nor!AN256+og!AN256</f>
        <v>5</v>
      </c>
      <c r="AO256" s="38">
        <f>nor!AO256+og!AO256</f>
        <v>34</v>
      </c>
      <c r="AP256" s="38">
        <f>nor!AP256+og!AP256</f>
        <v>121809.76</v>
      </c>
      <c r="AQ256" s="38">
        <f>nor!AQ256+og!AQ256</f>
        <v>1652.125</v>
      </c>
      <c r="AR256" s="38">
        <f>nor!AR256+og!AR256</f>
        <v>11458</v>
      </c>
      <c r="AS256" s="38">
        <f>nor!AS256+og!AS256</f>
        <v>10889.34</v>
      </c>
      <c r="AT256" s="38">
        <f>nor!AT256+og!AT256</f>
        <v>2540</v>
      </c>
      <c r="AU256" s="38">
        <f>nor!AU256+og!AU256</f>
        <v>122028</v>
      </c>
      <c r="AV256" s="38">
        <f>nor!AV256+og!AV256</f>
        <v>1746</v>
      </c>
      <c r="AW256" s="38">
        <f>nor!AW256+og!AW256</f>
        <v>120282</v>
      </c>
      <c r="AX256" s="38">
        <f>nor!AX256+og!AX256</f>
        <v>0</v>
      </c>
      <c r="AY256" s="38">
        <f>nor!AY256+og!AY256</f>
        <v>3501</v>
      </c>
      <c r="AZ256" s="38">
        <f>nor!AZ256+og!AZ256</f>
        <v>48390</v>
      </c>
      <c r="BA256" s="38">
        <f>nor!BA256+og!BA256</f>
        <v>48706</v>
      </c>
      <c r="BB256" s="38">
        <f>nor!BB256+og!BB256</f>
        <v>495</v>
      </c>
      <c r="BC256" s="38">
        <f>nor!BC256+og!BC256</f>
        <v>249</v>
      </c>
      <c r="BD256" s="38">
        <f>nor!BD256+og!BD256</f>
        <v>8243</v>
      </c>
      <c r="BE256" s="38">
        <f>nor!BE256+og!BE256</f>
        <v>9169</v>
      </c>
      <c r="BF256" s="38">
        <f>nor!BF256+og!BF256</f>
        <v>12</v>
      </c>
      <c r="BG256" s="38">
        <f>nor!BG256+og!BG256</f>
        <v>162821.79999999999</v>
      </c>
      <c r="BH256" s="38">
        <f>nor!BH256+og!BH256</f>
        <v>8300.4</v>
      </c>
      <c r="BI256" s="38">
        <f>nor!BI256+og!BI256</f>
        <v>0</v>
      </c>
      <c r="BJ256" s="38">
        <f>nor!BJ256+og!BJ256</f>
        <v>25</v>
      </c>
      <c r="BK256" s="38">
        <f>nor!BK256+og!BK256</f>
        <v>143129.25</v>
      </c>
      <c r="BL256" s="38">
        <f>nor!BL256+og!BL256</f>
        <v>84951.829999999973</v>
      </c>
      <c r="BM256" s="38">
        <f>nor!BM256+og!BM256</f>
        <v>0</v>
      </c>
      <c r="BN256" s="38">
        <f>nor!BN256+og!BN256</f>
        <v>0</v>
      </c>
      <c r="BO256" s="38">
        <f>nor!BO256+og!BO256</f>
        <v>0</v>
      </c>
      <c r="BP256" s="38">
        <f>nor!BP256+og!BP256</f>
        <v>0</v>
      </c>
      <c r="BQ256" s="38">
        <f>nor!BQ256+og!BQ256</f>
        <v>0</v>
      </c>
      <c r="BR256" s="38">
        <f>nor!BR256+og!BR256</f>
        <v>0</v>
      </c>
      <c r="BS256" s="38">
        <f>nor!BS256+og!BS256</f>
        <v>0</v>
      </c>
      <c r="BT256" s="38">
        <f>nor!BT256+og!BT256</f>
        <v>60</v>
      </c>
      <c r="BU256" s="38">
        <f>nor!BU256+og!BU256</f>
        <v>47980</v>
      </c>
      <c r="BV256" s="38">
        <f>nor!BV256+og!BV256</f>
        <v>103605</v>
      </c>
      <c r="BW256" s="38">
        <f>nor!BW256+og!BW256</f>
        <v>36</v>
      </c>
      <c r="BX256" s="38">
        <f>nor!BX256+og!BX256</f>
        <v>121809.76</v>
      </c>
      <c r="BY256" s="251">
        <f>nor!BY256+og!BY256</f>
        <v>64750.37999999999</v>
      </c>
      <c r="BZ256" s="38">
        <f>nor!BZ256+og!BZ256</f>
        <v>15583.669999999998</v>
      </c>
      <c r="CA256" s="38">
        <f>nor!CA256+og!CM256</f>
        <v>112151</v>
      </c>
      <c r="CB256" s="38">
        <f>nor!CB256+og!CN256</f>
        <v>63635</v>
      </c>
      <c r="CC256" s="38">
        <f>nor!CC256+og!CO256</f>
        <v>1</v>
      </c>
      <c r="CD256" s="38">
        <f>nor!CD256+og!CP256</f>
        <v>1746</v>
      </c>
      <c r="CE256" s="38">
        <f>nor!CE256+og!CQ256</f>
        <v>24</v>
      </c>
      <c r="CF256" s="38">
        <f>nor!CF256+og!CR256</f>
        <v>120282</v>
      </c>
      <c r="CG256" s="38">
        <f>nor!CG256+og!CS256</f>
        <v>25</v>
      </c>
      <c r="CH256" s="38">
        <f>nor!CH256+og!CT256</f>
        <v>122028</v>
      </c>
      <c r="CI256" s="289">
        <f>nor!CI256+og!CU256</f>
        <v>1149</v>
      </c>
      <c r="CJ256" s="38">
        <f>nor!CJ256+og!CV256</f>
        <v>0</v>
      </c>
      <c r="CK256" s="38">
        <f>nor!CK256+og!CW256</f>
        <v>0</v>
      </c>
      <c r="CL256" s="224"/>
      <c r="CM256" s="38">
        <f>nor!CM256+og!CY256</f>
        <v>0</v>
      </c>
      <c r="CN256" s="38">
        <f>nor!CN256+og!CZ256</f>
        <v>0</v>
      </c>
      <c r="CO256" s="224"/>
      <c r="CP256" s="199">
        <f>nor!CP256+og!DB256</f>
        <v>25</v>
      </c>
      <c r="CQ256" s="199">
        <f>nor!CQ256+og!DC256</f>
        <v>0</v>
      </c>
      <c r="CR256" s="199">
        <f>nor!CR256+og!DD256</f>
        <v>0</v>
      </c>
      <c r="CS256" s="199">
        <f>nor!CS256+og!DE256</f>
        <v>0</v>
      </c>
      <c r="CT256" s="199">
        <f>nor!CT256+og!DF256</f>
        <v>47</v>
      </c>
      <c r="CU256" s="199">
        <f>nor!CU256+og!DG256</f>
        <v>0</v>
      </c>
      <c r="CV256" s="199">
        <f>nor!CV256+og!DH256</f>
        <v>0</v>
      </c>
      <c r="CW256" s="199">
        <f>nor!CW256+og!DI256</f>
        <v>0</v>
      </c>
      <c r="CX256" s="199">
        <f>nor!CX256+og!DJ256</f>
        <v>0</v>
      </c>
      <c r="CY256" s="199">
        <f>nor!CY256+og!DK256</f>
        <v>2415</v>
      </c>
      <c r="CZ256" s="199">
        <f>nor!CZ256+og!DL256</f>
        <v>2226</v>
      </c>
      <c r="DA256" s="199">
        <f>nor!DA256+og!DM256</f>
        <v>189</v>
      </c>
      <c r="DB256" s="199">
        <f>nor!DB256+og!DN256</f>
        <v>1740</v>
      </c>
      <c r="DC256" s="199">
        <f>nor!DC256+og!DO256</f>
        <v>1120</v>
      </c>
      <c r="DD256" s="199">
        <f>nor!DD256+og!DP256</f>
        <v>1509</v>
      </c>
      <c r="DE256" s="199">
        <f>nor!DE256+og!DQ256</f>
        <v>1419</v>
      </c>
      <c r="DF256" s="199">
        <f>nor!DF256+og!DR256</f>
        <v>1129</v>
      </c>
      <c r="DG256" s="199">
        <f>nor!DG256+og!DS256</f>
        <v>1495</v>
      </c>
      <c r="DH256" s="199">
        <f>nor!DH256+og!DT256</f>
        <v>1442</v>
      </c>
      <c r="DI256" s="199">
        <f>nor!DI256+og!DU256</f>
        <v>107</v>
      </c>
      <c r="DJ256" s="199">
        <f>nor!DJ256+og!DV256</f>
        <v>56</v>
      </c>
      <c r="DK256" s="199">
        <f>nor!DK256+og!DW256</f>
        <v>162</v>
      </c>
      <c r="DL256" s="199">
        <f>nor!DL256+og!DX256</f>
        <v>65</v>
      </c>
      <c r="DM256" s="199">
        <f>nor!DM256+og!DY256</f>
        <v>56</v>
      </c>
      <c r="DN256" s="199">
        <f>nor!DN256+og!DZ256</f>
        <v>161</v>
      </c>
      <c r="DO256" s="199">
        <f>nor!DO256+og!EA256</f>
        <v>65</v>
      </c>
      <c r="DP256" s="199">
        <f>nor!DP256+og!EB256</f>
        <v>2415</v>
      </c>
      <c r="DQ256" s="199">
        <f>nor!DQ256+og!EC256</f>
        <v>2388</v>
      </c>
    </row>
    <row r="257" spans="3:121" x14ac:dyDescent="0.2">
      <c r="C257" s="245" t="s">
        <v>337</v>
      </c>
      <c r="E257" s="30"/>
      <c r="F257" s="30"/>
      <c r="G257" s="38">
        <f>nor!G257+og!G257</f>
        <v>0</v>
      </c>
      <c r="H257" s="262">
        <v>9</v>
      </c>
      <c r="I257" s="31"/>
      <c r="J257" s="3">
        <f>nor!J257+og!J257</f>
        <v>0</v>
      </c>
      <c r="K257" s="3">
        <f>nor!K257+og!K257</f>
        <v>0</v>
      </c>
      <c r="L257" s="3">
        <f>nor!L257+og!L257</f>
        <v>0</v>
      </c>
      <c r="M257" s="3">
        <f>nor!M257+og!M257</f>
        <v>0</v>
      </c>
      <c r="N257" s="3">
        <f>nor!N257+og!N257</f>
        <v>0</v>
      </c>
      <c r="O257" s="3">
        <f>nor!O257+og!O257</f>
        <v>0</v>
      </c>
      <c r="P257" s="3">
        <f>nor!P257+og!P257</f>
        <v>0</v>
      </c>
      <c r="Q257" s="82">
        <f>nor!Q257+og!Q257</f>
        <v>0</v>
      </c>
      <c r="R257" s="32">
        <f>nor!R257+og!R257</f>
        <v>0</v>
      </c>
      <c r="S257" s="32">
        <f>nor!S257+og!S257</f>
        <v>0</v>
      </c>
      <c r="T257" s="3">
        <f>nor!T257+og!T257</f>
        <v>0</v>
      </c>
      <c r="U257" s="33">
        <f>nor!U257+og!U257</f>
        <v>0</v>
      </c>
      <c r="V257" s="33">
        <f>nor!V257+og!V257</f>
        <v>0</v>
      </c>
      <c r="W257" s="3">
        <f>nor!W257+og!W257</f>
        <v>0</v>
      </c>
      <c r="X257" s="3">
        <f>nor!X257+og!X257</f>
        <v>0</v>
      </c>
      <c r="Y257" s="3">
        <f>nor!Y257+og!Y257</f>
        <v>0</v>
      </c>
      <c r="Z257" s="3">
        <f>nor!Z257+og!Z257</f>
        <v>0</v>
      </c>
      <c r="AA257" s="3">
        <f>nor!AA257+og!AA257</f>
        <v>0</v>
      </c>
      <c r="AB257" s="3">
        <f>nor!AB257+og!AB257</f>
        <v>0</v>
      </c>
      <c r="AC257" s="7">
        <f>nor!AC257+og!AC257</f>
        <v>0</v>
      </c>
      <c r="AD257" s="32">
        <f>nor!AD257+og!AD257</f>
        <v>0</v>
      </c>
      <c r="AE257" s="3">
        <f>nor!AE257+og!AE257</f>
        <v>0</v>
      </c>
      <c r="AF257" s="3">
        <f>nor!AF257+og!AF257</f>
        <v>0</v>
      </c>
      <c r="AG257" s="3">
        <f>nor!AG257+og!AG257</f>
        <v>0</v>
      </c>
      <c r="AH257" s="3">
        <f>nor!AH257+og!AH257</f>
        <v>0</v>
      </c>
      <c r="AI257" s="3">
        <f>nor!AI257+og!AI257</f>
        <v>0</v>
      </c>
      <c r="AJ257" s="3">
        <f>nor!AJ257+og!AJ257</f>
        <v>0</v>
      </c>
      <c r="AK257" s="3">
        <f>nor!AK257+og!AK257</f>
        <v>0</v>
      </c>
      <c r="AL257" s="3">
        <f>nor!AL257+og!AL257</f>
        <v>0</v>
      </c>
      <c r="AM257" s="3">
        <f>nor!AM257+og!AM257</f>
        <v>0</v>
      </c>
      <c r="AN257" s="3">
        <f>nor!AN257+og!AN257</f>
        <v>0</v>
      </c>
      <c r="AO257" s="3">
        <f>nor!AO257+og!AO257</f>
        <v>0</v>
      </c>
      <c r="AP257" s="7">
        <f>nor!AP257+og!AP257</f>
        <v>0</v>
      </c>
      <c r="AQ257" s="7">
        <f>nor!AQ257+og!AQ257</f>
        <v>0</v>
      </c>
      <c r="AR257" s="7">
        <f>nor!AR257+og!AR257</f>
        <v>0</v>
      </c>
      <c r="AS257" s="24">
        <f>nor!AS257+og!AS257</f>
        <v>0</v>
      </c>
      <c r="AT257" s="7">
        <f>nor!AT257+og!AT257</f>
        <v>0</v>
      </c>
      <c r="AU257" s="7">
        <f>nor!AU257+og!AU257</f>
        <v>0</v>
      </c>
      <c r="AV257" s="7">
        <f>nor!AV257+og!AV257</f>
        <v>0</v>
      </c>
      <c r="AW257" s="7">
        <f>nor!AW257+og!AW257</f>
        <v>0</v>
      </c>
      <c r="AX257" s="7">
        <f>nor!AX257+og!AX257</f>
        <v>0</v>
      </c>
      <c r="AY257" s="7">
        <f>nor!AY257+og!AY257</f>
        <v>0</v>
      </c>
      <c r="AZ257" s="7">
        <f>nor!AZ257+og!AZ257</f>
        <v>0</v>
      </c>
      <c r="BA257" s="7">
        <f>nor!BA257+og!BA257</f>
        <v>0</v>
      </c>
      <c r="BB257" s="7">
        <f>nor!BB257+og!BB257</f>
        <v>0</v>
      </c>
      <c r="BC257" s="7">
        <f>nor!BC257+og!BC257</f>
        <v>0</v>
      </c>
      <c r="BD257" s="7">
        <f>nor!BD257+og!BD257</f>
        <v>0</v>
      </c>
      <c r="BE257" s="7">
        <f>nor!BE257+og!BE257</f>
        <v>0</v>
      </c>
      <c r="BF257" s="7">
        <f>nor!BF257+og!BF257</f>
        <v>0</v>
      </c>
      <c r="BG257" s="7">
        <f>nor!BG257+og!BG257</f>
        <v>0</v>
      </c>
      <c r="BH257" s="7">
        <f>nor!BH257+og!BH257</f>
        <v>0</v>
      </c>
      <c r="BI257" s="7">
        <f>nor!BI257+og!BI257</f>
        <v>0</v>
      </c>
      <c r="BJ257" s="3">
        <f>nor!BJ257+og!BJ257</f>
        <v>0</v>
      </c>
      <c r="BK257" s="3">
        <f>nor!BK257+og!BK257</f>
        <v>0</v>
      </c>
      <c r="BL257" s="3">
        <f>nor!BL257+og!BL257</f>
        <v>0</v>
      </c>
      <c r="BM257" s="3">
        <f>nor!BM257+og!BM257</f>
        <v>0</v>
      </c>
      <c r="BN257" s="3">
        <f>nor!BN257+og!BN257</f>
        <v>0</v>
      </c>
      <c r="BO257" s="3">
        <f>nor!BO257+og!BO257</f>
        <v>0</v>
      </c>
      <c r="BP257" s="3">
        <f>nor!BP257+og!BP257</f>
        <v>0</v>
      </c>
      <c r="BQ257" s="3">
        <f>nor!BQ257+og!BQ257</f>
        <v>0</v>
      </c>
      <c r="BR257" s="3">
        <f>nor!BR257+og!BR257</f>
        <v>0</v>
      </c>
      <c r="BS257" s="3">
        <f>nor!BS257+og!BS257</f>
        <v>0</v>
      </c>
      <c r="BT257" s="3">
        <f>nor!BT257+og!BT257</f>
        <v>0</v>
      </c>
      <c r="BU257" s="3">
        <f>nor!BU257+og!BU257</f>
        <v>0</v>
      </c>
      <c r="BV257" s="3">
        <f>nor!BV257+og!BV257</f>
        <v>0</v>
      </c>
      <c r="BW257" s="3">
        <f>nor!BW257+og!BW257</f>
        <v>0</v>
      </c>
      <c r="BX257" s="3">
        <f>nor!BX257+og!BX257</f>
        <v>0</v>
      </c>
      <c r="BY257" s="130">
        <f>nor!BY257+og!BY257</f>
        <v>0</v>
      </c>
      <c r="BZ257" s="82">
        <f>nor!BZ257+og!BZ257</f>
        <v>0</v>
      </c>
      <c r="CA257" s="3">
        <f>nor!CA257+og!CM257</f>
        <v>0</v>
      </c>
      <c r="CB257" s="3">
        <f>nor!CB257+og!CN257</f>
        <v>0</v>
      </c>
      <c r="CC257" s="3">
        <f>nor!CC257+og!CO257</f>
        <v>0</v>
      </c>
      <c r="CD257" s="3">
        <f>nor!CD257+og!CP257</f>
        <v>0</v>
      </c>
      <c r="CE257" s="3">
        <f>nor!CE257+og!CQ257</f>
        <v>0</v>
      </c>
      <c r="CF257" s="3">
        <f>nor!CF257+og!CR257</f>
        <v>0</v>
      </c>
      <c r="CG257" s="3">
        <f>nor!CG257+og!CS257</f>
        <v>0</v>
      </c>
      <c r="CH257" s="3">
        <f>nor!CH257+og!CT257</f>
        <v>0</v>
      </c>
      <c r="CI257" s="290">
        <f>nor!CI257+og!CU257</f>
        <v>0</v>
      </c>
      <c r="CJ257" s="3">
        <f>nor!CJ257+og!CV257</f>
        <v>0</v>
      </c>
      <c r="CK257" s="3">
        <f>nor!CK257+og!CW257</f>
        <v>0</v>
      </c>
      <c r="CL257" s="224"/>
      <c r="CM257" s="3">
        <f>nor!CM257+og!CY257</f>
        <v>0</v>
      </c>
      <c r="CN257" s="3">
        <f>nor!CN257+og!CZ257</f>
        <v>0</v>
      </c>
      <c r="CO257" s="224"/>
      <c r="CP257">
        <f>nor!CP257+og!DB257</f>
        <v>0</v>
      </c>
      <c r="CQ257" s="3">
        <f>nor!CQ257+og!DC257</f>
        <v>0</v>
      </c>
      <c r="CR257" s="3">
        <f>nor!CR257+og!DD257</f>
        <v>0</v>
      </c>
      <c r="CS257" s="3">
        <f>nor!CS257+og!DE257</f>
        <v>0</v>
      </c>
      <c r="CT257" s="3">
        <f>nor!CT257+og!DF257</f>
        <v>0</v>
      </c>
      <c r="CU257" s="3">
        <f>nor!CU257+og!DG257</f>
        <v>0</v>
      </c>
      <c r="CV257" s="3">
        <f>nor!CV257+og!DH257</f>
        <v>0</v>
      </c>
      <c r="CW257" s="3">
        <f>nor!CW257+og!DI257</f>
        <v>0</v>
      </c>
      <c r="CX257" s="3">
        <f>nor!CX257+og!DJ257</f>
        <v>0</v>
      </c>
      <c r="CY257" s="3">
        <f>nor!CY257+og!DK257</f>
        <v>0</v>
      </c>
      <c r="CZ257" s="3">
        <f>nor!CZ257+og!DL257</f>
        <v>0</v>
      </c>
      <c r="DA257" s="3">
        <f>nor!DA257+og!DM257</f>
        <v>0</v>
      </c>
      <c r="DB257" s="3">
        <f>nor!DB257+og!DN257</f>
        <v>0</v>
      </c>
      <c r="DC257" s="3">
        <f>nor!DC257+og!DO257</f>
        <v>0</v>
      </c>
      <c r="DD257" s="3">
        <f>nor!DD257+og!DP257</f>
        <v>0</v>
      </c>
      <c r="DE257" s="3">
        <f>nor!DE257+og!DQ257</f>
        <v>0</v>
      </c>
      <c r="DF257" s="3">
        <f>nor!DF257+og!DR257</f>
        <v>0</v>
      </c>
      <c r="DG257" s="3">
        <f>nor!DG257+og!DS257</f>
        <v>0</v>
      </c>
      <c r="DH257" s="3">
        <f>nor!DH257+og!DT257</f>
        <v>0</v>
      </c>
      <c r="DI257" s="3">
        <f>nor!DI257+og!DU257</f>
        <v>0</v>
      </c>
      <c r="DJ257" s="3">
        <f>nor!DJ257+og!DV257</f>
        <v>0</v>
      </c>
      <c r="DK257" s="3">
        <f>nor!DK257+og!DW257</f>
        <v>0</v>
      </c>
      <c r="DL257" s="3">
        <f>nor!DL257+og!DX257</f>
        <v>0</v>
      </c>
      <c r="DM257" s="3">
        <f>nor!DM257+og!DY257</f>
        <v>0</v>
      </c>
      <c r="DN257" s="3">
        <f>nor!DN257+og!DZ257</f>
        <v>0</v>
      </c>
      <c r="DO257" s="3">
        <f>nor!DO257+og!EA257</f>
        <v>0</v>
      </c>
      <c r="DP257" s="3">
        <f>nor!DP257+og!EB257</f>
        <v>0</v>
      </c>
      <c r="DQ257" s="3">
        <f>nor!DQ257+og!EC257</f>
        <v>0</v>
      </c>
    </row>
    <row r="258" spans="3:121" x14ac:dyDescent="0.2">
      <c r="C258" s="245" t="s">
        <v>338</v>
      </c>
      <c r="E258" s="30"/>
      <c r="F258" s="30"/>
      <c r="G258" s="38">
        <f>nor!G258+og!G258</f>
        <v>0</v>
      </c>
      <c r="H258" s="262">
        <v>5</v>
      </c>
      <c r="I258" s="31"/>
      <c r="J258" s="3">
        <f>nor!J258+og!J258</f>
        <v>0</v>
      </c>
      <c r="K258" s="3">
        <f>nor!K258+og!K258</f>
        <v>0</v>
      </c>
      <c r="L258" s="3">
        <f>nor!L258+og!L258</f>
        <v>0</v>
      </c>
      <c r="M258" s="3">
        <f>nor!M258+og!M258</f>
        <v>0</v>
      </c>
      <c r="N258" s="3">
        <f>nor!N258+og!N258</f>
        <v>0</v>
      </c>
      <c r="O258" s="3">
        <f>nor!O258+og!O258</f>
        <v>0</v>
      </c>
      <c r="P258" s="3">
        <f>nor!P258+og!P258</f>
        <v>0</v>
      </c>
      <c r="Q258" s="82">
        <f>nor!Q258+og!Q258</f>
        <v>0</v>
      </c>
      <c r="R258" s="108">
        <f>nor!R258+og!R258</f>
        <v>0</v>
      </c>
      <c r="S258" s="108">
        <f>nor!S258+og!S258</f>
        <v>0</v>
      </c>
      <c r="T258" s="3">
        <f>nor!T258+og!T258</f>
        <v>0</v>
      </c>
      <c r="U258" s="109">
        <f>nor!U258+og!U258</f>
        <v>0</v>
      </c>
      <c r="V258" s="109">
        <f>nor!V258+og!V258</f>
        <v>0</v>
      </c>
      <c r="W258" s="3">
        <f>nor!W258+og!W258</f>
        <v>0</v>
      </c>
      <c r="X258" s="3">
        <f>nor!X258+og!X258</f>
        <v>0</v>
      </c>
      <c r="Y258" s="3">
        <f>nor!Y258+og!Y258</f>
        <v>0</v>
      </c>
      <c r="Z258" s="3">
        <f>nor!Z258+og!Z258</f>
        <v>0</v>
      </c>
      <c r="AA258" s="3">
        <f>nor!AA258+og!AA258</f>
        <v>0</v>
      </c>
      <c r="AB258" s="3">
        <f>nor!AB258+og!AB258</f>
        <v>0</v>
      </c>
      <c r="AC258" s="39">
        <f>nor!AC258+og!AC258</f>
        <v>0</v>
      </c>
      <c r="AD258" s="64">
        <f>nor!AD258+og!AD258</f>
        <v>0</v>
      </c>
      <c r="AE258" s="3">
        <f>nor!AE258+og!AE258</f>
        <v>0</v>
      </c>
      <c r="AF258" s="3">
        <f>nor!AF258+og!AF258</f>
        <v>0</v>
      </c>
      <c r="AG258" s="3">
        <f>nor!AG258+og!AG258</f>
        <v>0</v>
      </c>
      <c r="AH258" s="3">
        <f>nor!AH258+og!AH258</f>
        <v>0</v>
      </c>
      <c r="AI258" s="3">
        <f>nor!AI258+og!AI258</f>
        <v>0</v>
      </c>
      <c r="AJ258" s="3">
        <f>nor!AJ258+og!AJ258</f>
        <v>0</v>
      </c>
      <c r="AK258" s="3">
        <f>nor!AK258+og!AK258</f>
        <v>0</v>
      </c>
      <c r="AL258" s="3">
        <f>nor!AL258+og!AL258</f>
        <v>0</v>
      </c>
      <c r="AM258" s="3">
        <f>nor!AM258+og!AM258</f>
        <v>0</v>
      </c>
      <c r="AN258" s="3">
        <f>nor!AN258+og!AN258</f>
        <v>0</v>
      </c>
      <c r="AO258" s="3">
        <f>nor!AO258+og!AO258</f>
        <v>0</v>
      </c>
      <c r="AP258" s="7">
        <f>nor!AP258+og!AP258</f>
        <v>0</v>
      </c>
      <c r="AQ258" s="7">
        <f>nor!AQ258+og!AQ258</f>
        <v>0</v>
      </c>
      <c r="AR258" s="7">
        <f>nor!AR258+og!AR258</f>
        <v>0</v>
      </c>
      <c r="AS258" s="24">
        <f>nor!AS258+og!AS258</f>
        <v>0</v>
      </c>
      <c r="AT258" s="39">
        <f>nor!AT258+og!AT258</f>
        <v>0</v>
      </c>
      <c r="AU258" s="39">
        <f>nor!AU258+og!AU258</f>
        <v>0</v>
      </c>
      <c r="AV258" s="39">
        <f>nor!AV258+og!AV258</f>
        <v>0</v>
      </c>
      <c r="AW258" s="7">
        <f>nor!AW258+og!AW258</f>
        <v>0</v>
      </c>
      <c r="AX258" s="7">
        <f>nor!AX258+og!AX258</f>
        <v>0</v>
      </c>
      <c r="AY258" s="7">
        <f>nor!AY258+og!AY258</f>
        <v>0</v>
      </c>
      <c r="AZ258" s="7">
        <f>nor!AZ258+og!AZ258</f>
        <v>0</v>
      </c>
      <c r="BA258" s="7">
        <f>nor!BA258+og!BA258</f>
        <v>0</v>
      </c>
      <c r="BB258" s="7">
        <f>nor!BB258+og!BB258</f>
        <v>0</v>
      </c>
      <c r="BC258" s="7">
        <f>nor!BC258+og!BC258</f>
        <v>0</v>
      </c>
      <c r="BD258" s="7">
        <f>nor!BD258+og!BD258</f>
        <v>0</v>
      </c>
      <c r="BE258" s="7">
        <f>nor!BE258+og!BE258</f>
        <v>0</v>
      </c>
      <c r="BF258" s="7">
        <f>nor!BF258+og!BF258</f>
        <v>0</v>
      </c>
      <c r="BG258" s="7">
        <f>nor!BG258+og!BG258</f>
        <v>0</v>
      </c>
      <c r="BH258" s="7">
        <f>nor!BH258+og!BH258</f>
        <v>0</v>
      </c>
      <c r="BI258" s="7">
        <f>nor!BI258+og!BI258</f>
        <v>0</v>
      </c>
      <c r="BJ258" s="3">
        <f>nor!BJ258+og!BJ258</f>
        <v>0</v>
      </c>
      <c r="BK258" s="3">
        <f>nor!BK258+og!BK258</f>
        <v>0</v>
      </c>
      <c r="BL258" s="3">
        <f>nor!BL258+og!BL258</f>
        <v>0</v>
      </c>
      <c r="BM258" s="3">
        <f>nor!BM258+og!BM258</f>
        <v>0</v>
      </c>
      <c r="BN258" s="3">
        <f>nor!BN258+og!BN258</f>
        <v>0</v>
      </c>
      <c r="BO258" s="3">
        <f>nor!BO258+og!BO258</f>
        <v>0</v>
      </c>
      <c r="BP258" s="3">
        <f>nor!BP258+og!BP258</f>
        <v>0</v>
      </c>
      <c r="BQ258" s="3">
        <f>nor!BQ258+og!BQ258</f>
        <v>0</v>
      </c>
      <c r="BR258" s="3">
        <f>nor!BR258+og!BR258</f>
        <v>0</v>
      </c>
      <c r="BS258" s="3">
        <f>nor!BS258+og!BS258</f>
        <v>0</v>
      </c>
      <c r="BT258" s="3">
        <f>nor!BT258+og!BT258</f>
        <v>0</v>
      </c>
      <c r="BU258" s="3">
        <f>nor!BU258+og!BU258</f>
        <v>0</v>
      </c>
      <c r="BV258" s="3">
        <f>nor!BV258+og!BV258</f>
        <v>0</v>
      </c>
      <c r="BW258" s="3">
        <f>nor!BW258+og!BW258</f>
        <v>0</v>
      </c>
      <c r="BX258" s="3">
        <f>nor!BX258+og!BX258</f>
        <v>0</v>
      </c>
      <c r="BY258" s="130">
        <f>nor!BY258+og!BY258</f>
        <v>0</v>
      </c>
      <c r="BZ258" s="82">
        <f>nor!BZ258+og!BZ258</f>
        <v>0</v>
      </c>
      <c r="CA258" s="3">
        <f>nor!CA258+og!CM258</f>
        <v>0</v>
      </c>
      <c r="CB258" s="3">
        <f>nor!CB258+og!CN258</f>
        <v>0</v>
      </c>
      <c r="CC258" s="3">
        <f>nor!CC258+og!CO258</f>
        <v>0</v>
      </c>
      <c r="CD258" s="3">
        <f>nor!CD258+og!CP258</f>
        <v>0</v>
      </c>
      <c r="CE258" s="3">
        <f>nor!CE258+og!CQ258</f>
        <v>0</v>
      </c>
      <c r="CF258" s="3">
        <f>nor!CF258+og!CR258</f>
        <v>0</v>
      </c>
      <c r="CG258" s="3">
        <f>nor!CG258+og!CS258</f>
        <v>0</v>
      </c>
      <c r="CH258" s="3">
        <f>nor!CH258+og!CT258</f>
        <v>0</v>
      </c>
      <c r="CI258" s="290">
        <f>nor!CI258+og!CU258</f>
        <v>0</v>
      </c>
      <c r="CJ258" s="3">
        <f>nor!CJ258+og!CV258</f>
        <v>0</v>
      </c>
      <c r="CK258" s="3">
        <f>nor!CK258+og!CW258</f>
        <v>0</v>
      </c>
      <c r="CL258" s="224"/>
      <c r="CM258" s="3">
        <f>nor!CM258+og!CY258</f>
        <v>0</v>
      </c>
      <c r="CN258" s="3">
        <f>nor!CN258+og!CZ258</f>
        <v>0</v>
      </c>
      <c r="CO258" s="224"/>
      <c r="CP258">
        <f>nor!CP258+og!DB258</f>
        <v>0</v>
      </c>
      <c r="CQ258" s="3">
        <f>nor!CQ258+og!DC258</f>
        <v>0</v>
      </c>
      <c r="CR258" s="3">
        <f>nor!CR258+og!DD258</f>
        <v>0</v>
      </c>
      <c r="CS258" s="3">
        <f>nor!CS258+og!DE258</f>
        <v>0</v>
      </c>
      <c r="CT258" s="3">
        <f>nor!CT258+og!DF258</f>
        <v>0</v>
      </c>
      <c r="CU258" s="3">
        <f>nor!CU258+og!DG258</f>
        <v>0</v>
      </c>
      <c r="CV258" s="3">
        <f>nor!CV258+og!DH258</f>
        <v>0</v>
      </c>
      <c r="CW258" s="3">
        <f>nor!CW258+og!DI258</f>
        <v>0</v>
      </c>
      <c r="CX258" s="3">
        <f>nor!CX258+og!DJ258</f>
        <v>0</v>
      </c>
      <c r="CY258" s="3">
        <f>nor!CY258+og!DK258</f>
        <v>0</v>
      </c>
      <c r="CZ258" s="3">
        <f>nor!CZ258+og!DL258</f>
        <v>0</v>
      </c>
      <c r="DA258" s="3">
        <f>nor!DA258+og!DM258</f>
        <v>0</v>
      </c>
      <c r="DB258" s="3">
        <f>nor!DB258+og!DN258</f>
        <v>0</v>
      </c>
      <c r="DC258" s="3">
        <f>nor!DC258+og!DO258</f>
        <v>0</v>
      </c>
      <c r="DD258" s="3">
        <f>nor!DD258+og!DP258</f>
        <v>0</v>
      </c>
      <c r="DE258" s="3">
        <f>nor!DE258+og!DQ258</f>
        <v>0</v>
      </c>
      <c r="DF258" s="3">
        <f>nor!DF258+og!DR258</f>
        <v>0</v>
      </c>
      <c r="DG258" s="3">
        <f>nor!DG258+og!DS258</f>
        <v>0</v>
      </c>
      <c r="DH258" s="3">
        <f>nor!DH258+og!DT258</f>
        <v>0</v>
      </c>
      <c r="DI258" s="3">
        <f>nor!DI258+og!DU258</f>
        <v>0</v>
      </c>
      <c r="DJ258" s="3">
        <f>nor!DJ258+og!DV258</f>
        <v>0</v>
      </c>
      <c r="DK258" s="3">
        <f>nor!DK258+og!DW258</f>
        <v>0</v>
      </c>
      <c r="DL258" s="3">
        <f>nor!DL258+og!DX258</f>
        <v>0</v>
      </c>
      <c r="DM258" s="3">
        <f>nor!DM258+og!DY258</f>
        <v>0</v>
      </c>
      <c r="DN258" s="3">
        <f>nor!DN258+og!DZ258</f>
        <v>0</v>
      </c>
      <c r="DO258" s="3">
        <f>nor!DO258+og!EA258</f>
        <v>0</v>
      </c>
      <c r="DP258" s="3">
        <f>nor!DP258+og!EB258</f>
        <v>0</v>
      </c>
      <c r="DQ258" s="3">
        <f>nor!DQ258+og!EC258</f>
        <v>0</v>
      </c>
    </row>
    <row r="259" spans="3:121" x14ac:dyDescent="0.2">
      <c r="C259" s="27" t="s">
        <v>343</v>
      </c>
      <c r="E259" s="30"/>
      <c r="F259" s="30"/>
      <c r="G259" s="38">
        <f>nor!G259+og!G259</f>
        <v>4</v>
      </c>
      <c r="H259" s="262">
        <v>5</v>
      </c>
      <c r="I259" s="31"/>
      <c r="J259" s="3">
        <f>nor!J259+og!J259</f>
        <v>57932</v>
      </c>
      <c r="K259" s="3">
        <f>nor!K259+og!K259</f>
        <v>4448</v>
      </c>
      <c r="L259" s="3">
        <f>nor!L259+og!L259</f>
        <v>3158</v>
      </c>
      <c r="M259" s="3">
        <f>nor!M259+og!M259</f>
        <v>962</v>
      </c>
      <c r="N259" s="3">
        <f>nor!N259+og!N259</f>
        <v>208</v>
      </c>
      <c r="O259" s="3">
        <f>nor!O259+og!O259</f>
        <v>429</v>
      </c>
      <c r="P259" s="3">
        <f>nor!P259+og!P259</f>
        <v>208</v>
      </c>
      <c r="Q259" s="82">
        <f>nor!Q259+og!Q259</f>
        <v>438</v>
      </c>
      <c r="R259" s="108">
        <f>nor!R259+og!R259</f>
        <v>11212.11</v>
      </c>
      <c r="S259" s="108">
        <f>nor!S259+og!S259</f>
        <v>6105.4500000000007</v>
      </c>
      <c r="T259" s="3">
        <f>nor!T259+og!T259</f>
        <v>197</v>
      </c>
      <c r="U259" s="33">
        <f>nor!U259+og!U259</f>
        <v>10655.45</v>
      </c>
      <c r="V259" s="33">
        <f>nor!V259+og!V259</f>
        <v>5772.73</v>
      </c>
      <c r="W259" s="3">
        <f>nor!W259+og!W259</f>
        <v>11</v>
      </c>
      <c r="X259" s="3">
        <f>nor!X259+og!X259</f>
        <v>556.66</v>
      </c>
      <c r="Y259" s="3">
        <f>nor!Y259+og!Y259</f>
        <v>332.72</v>
      </c>
      <c r="Z259" s="3">
        <f>nor!Z259+og!Z259</f>
        <v>0</v>
      </c>
      <c r="AA259" s="3">
        <f>nor!AA259+og!AA259</f>
        <v>0</v>
      </c>
      <c r="AB259" s="3">
        <f>nor!AB259+og!AB259</f>
        <v>0</v>
      </c>
      <c r="AC259" s="7">
        <f>nor!AC259+og!AC259</f>
        <v>54.7</v>
      </c>
      <c r="AD259" s="32">
        <f>nor!AD259+og!AD259</f>
        <v>0</v>
      </c>
      <c r="AE259" s="3">
        <f>nor!AE259+og!AE259</f>
        <v>0</v>
      </c>
      <c r="AF259" s="3">
        <f>nor!AF259+og!AF259</f>
        <v>0</v>
      </c>
      <c r="AG259" s="3">
        <f>nor!AG259+og!AG259</f>
        <v>54.7</v>
      </c>
      <c r="AH259" s="3">
        <f>nor!AH259+og!AH259</f>
        <v>0</v>
      </c>
      <c r="AI259" s="3">
        <f>nor!AI259+og!AI259</f>
        <v>11266.810000000001</v>
      </c>
      <c r="AJ259" s="3">
        <f>nor!AJ259+og!AJ259</f>
        <v>0</v>
      </c>
      <c r="AK259" s="3">
        <f>nor!AK259+og!AK259</f>
        <v>0</v>
      </c>
      <c r="AL259" s="3">
        <f>nor!AL259+og!AL259</f>
        <v>11</v>
      </c>
      <c r="AM259" s="3">
        <f>nor!AM259+og!AM259</f>
        <v>11</v>
      </c>
      <c r="AN259" s="3">
        <f>nor!AN259+og!AN259</f>
        <v>3</v>
      </c>
      <c r="AO259" s="3">
        <f>nor!AO259+og!AO259</f>
        <v>4</v>
      </c>
      <c r="AP259" s="7">
        <f>nor!AP259+og!AP259</f>
        <v>10016</v>
      </c>
      <c r="AQ259" s="7">
        <f>nor!AQ259+og!AQ259</f>
        <v>0</v>
      </c>
      <c r="AR259" s="7">
        <f>nor!AR259+og!AR259</f>
        <v>1717</v>
      </c>
      <c r="AS259" s="24">
        <f>nor!AS259+og!AS259</f>
        <v>1466</v>
      </c>
      <c r="AT259" s="7">
        <f>nor!AT259+og!AT259</f>
        <v>350</v>
      </c>
      <c r="AU259" s="7">
        <f>nor!AU259+og!AU259</f>
        <v>15110</v>
      </c>
      <c r="AV259" s="7">
        <f>nor!AV259+og!AV259</f>
        <v>0</v>
      </c>
      <c r="AW259" s="7">
        <f>nor!AW259+og!AW259</f>
        <v>15110</v>
      </c>
      <c r="AX259" s="7">
        <f>nor!AX259+og!AX259</f>
        <v>0</v>
      </c>
      <c r="AY259" s="7">
        <f>nor!AY259+og!AY259</f>
        <v>722</v>
      </c>
      <c r="AZ259" s="7">
        <f>nor!AZ259+og!AZ259</f>
        <v>4314</v>
      </c>
      <c r="BA259" s="7">
        <f>nor!BA259+og!BA259</f>
        <v>4314</v>
      </c>
      <c r="BB259" s="7">
        <f>nor!BB259+og!BB259</f>
        <v>20</v>
      </c>
      <c r="BC259" s="7">
        <f>nor!BC259+og!BC259</f>
        <v>38</v>
      </c>
      <c r="BD259" s="7">
        <f>nor!BD259+og!BD259</f>
        <v>507</v>
      </c>
      <c r="BE259" s="7">
        <f>nor!BE259+og!BE259</f>
        <v>209</v>
      </c>
      <c r="BF259" s="7">
        <f>nor!BF259+og!BF259</f>
        <v>3</v>
      </c>
      <c r="BG259" s="7">
        <f>nor!BG259+og!BG259</f>
        <v>17172</v>
      </c>
      <c r="BH259" s="7">
        <f>nor!BH259+og!BH259</f>
        <v>1400</v>
      </c>
      <c r="BI259" s="7">
        <f>nor!BI259+og!BI259</f>
        <v>0</v>
      </c>
      <c r="BJ259" s="3">
        <f>nor!BJ259+og!BJ259</f>
        <v>4</v>
      </c>
      <c r="BK259" s="3">
        <f>nor!BK259+og!BK259</f>
        <v>11212.11</v>
      </c>
      <c r="BL259" s="3">
        <f>nor!BL259+og!BL259</f>
        <v>6105.4500000000007</v>
      </c>
      <c r="BM259" s="3">
        <f>nor!BM259+og!BM259</f>
        <v>0</v>
      </c>
      <c r="BN259" s="3">
        <f>nor!BN259+og!BN259</f>
        <v>0</v>
      </c>
      <c r="BO259" s="3">
        <f>nor!BO259+og!BO259</f>
        <v>0</v>
      </c>
      <c r="BP259" s="3">
        <f>nor!BP259+og!BP259</f>
        <v>0</v>
      </c>
      <c r="BQ259" s="3">
        <f>nor!BQ259+og!BQ259</f>
        <v>0</v>
      </c>
      <c r="BR259" s="3">
        <f>nor!BR259+og!BR259</f>
        <v>0</v>
      </c>
      <c r="BS259" s="3">
        <f>nor!BS259+og!BS259</f>
        <v>0</v>
      </c>
      <c r="BT259" s="3">
        <f>nor!BT259+og!BT259</f>
        <v>3</v>
      </c>
      <c r="BU259" s="3">
        <f>nor!BU259+og!BU259</f>
        <v>3504</v>
      </c>
      <c r="BV259" s="3">
        <f>nor!BV259+og!BV259</f>
        <v>8042</v>
      </c>
      <c r="BW259" s="3">
        <f>nor!BW259+og!BW259</f>
        <v>0</v>
      </c>
      <c r="BX259" s="3">
        <f>nor!BX259+og!BX259</f>
        <v>10016</v>
      </c>
      <c r="BY259" s="82">
        <f>nor!BY259+og!BY259</f>
        <v>6009.880000000001</v>
      </c>
      <c r="BZ259" s="82">
        <f>nor!BZ259+og!BZ259</f>
        <v>2100.4899999999998</v>
      </c>
      <c r="CA259" s="3">
        <f>nor!CA259+og!CM259</f>
        <v>9381</v>
      </c>
      <c r="CB259" s="3">
        <f>nor!CB259+og!CN259</f>
        <v>4933</v>
      </c>
      <c r="CC259" s="3">
        <f>nor!CC259+og!CO259</f>
        <v>0</v>
      </c>
      <c r="CD259" s="3">
        <f>nor!CD259+og!CP259</f>
        <v>0</v>
      </c>
      <c r="CE259" s="3">
        <f>nor!CE259+og!CQ259</f>
        <v>4</v>
      </c>
      <c r="CF259" s="3">
        <f>nor!CF259+og!CR259</f>
        <v>15110</v>
      </c>
      <c r="CG259" s="3">
        <f>nor!CG259+og!CS259</f>
        <v>4</v>
      </c>
      <c r="CH259" s="3">
        <f>nor!CH259+og!CT259</f>
        <v>15110</v>
      </c>
      <c r="CI259" s="290">
        <f>nor!CI259+og!CU259</f>
        <v>204</v>
      </c>
      <c r="CJ259" s="3">
        <f>nor!CJ259+og!CV259</f>
        <v>0</v>
      </c>
      <c r="CK259" s="3">
        <f>nor!CK259+og!CW259</f>
        <v>0</v>
      </c>
      <c r="CL259" s="259"/>
      <c r="CM259" s="3">
        <f>nor!CM259+og!CY259</f>
        <v>0</v>
      </c>
      <c r="CN259" s="3">
        <f>nor!CN259+og!CZ259</f>
        <v>0</v>
      </c>
      <c r="CO259" s="259"/>
      <c r="CP259">
        <f>nor!CP259+og!DB259</f>
        <v>4</v>
      </c>
      <c r="CQ259" s="3">
        <f>nor!CQ259+og!DC259</f>
        <v>0</v>
      </c>
      <c r="CR259" s="3">
        <f>nor!CR259+og!DD259</f>
        <v>0</v>
      </c>
      <c r="CS259" s="3">
        <f>nor!CS259+og!DE259</f>
        <v>0</v>
      </c>
      <c r="CT259" s="3">
        <f>nor!CT259+og!DF259</f>
        <v>5</v>
      </c>
      <c r="CU259" s="3">
        <f>nor!CU259+og!DG259</f>
        <v>0</v>
      </c>
      <c r="CV259" s="3">
        <f>nor!CV259+og!DH259</f>
        <v>0</v>
      </c>
      <c r="CW259" s="3">
        <f>nor!CW259+og!DI259</f>
        <v>0</v>
      </c>
      <c r="CX259" s="3">
        <f>nor!CX259+og!DJ259</f>
        <v>0</v>
      </c>
      <c r="CY259" s="3">
        <f>nor!CY259+og!DK259</f>
        <v>271</v>
      </c>
      <c r="CZ259" s="3">
        <f>nor!CZ259+og!DL259</f>
        <v>242</v>
      </c>
      <c r="DA259" s="3">
        <f>nor!DA259+og!DM259</f>
        <v>29</v>
      </c>
      <c r="DB259" s="3">
        <f>nor!DB259+og!DN259</f>
        <v>194</v>
      </c>
      <c r="DC259" s="3">
        <f>nor!DC259+og!DO259</f>
        <v>113</v>
      </c>
      <c r="DD259" s="3">
        <f>nor!DD259+og!DP259</f>
        <v>179</v>
      </c>
      <c r="DE259" s="3">
        <f>nor!DE259+og!DQ259</f>
        <v>151</v>
      </c>
      <c r="DF259" s="3">
        <f>nor!DF259+og!DR259</f>
        <v>126</v>
      </c>
      <c r="DG259" s="3">
        <f>nor!DG259+og!DS259</f>
        <v>161</v>
      </c>
      <c r="DH259" s="3">
        <f>nor!DH259+og!DT259</f>
        <v>175</v>
      </c>
      <c r="DI259" s="3">
        <f>nor!DI259+og!DU259</f>
        <v>19</v>
      </c>
      <c r="DJ259" s="3">
        <f>nor!DJ259+og!DV259</f>
        <v>6</v>
      </c>
      <c r="DK259" s="3">
        <f>nor!DK259+og!DW259</f>
        <v>35</v>
      </c>
      <c r="DL259" s="3">
        <f>nor!DL259+og!DX259</f>
        <v>6</v>
      </c>
      <c r="DM259" s="3">
        <f>nor!DM259+og!DY259</f>
        <v>6</v>
      </c>
      <c r="DN259" s="3">
        <f>nor!DN259+og!DZ259</f>
        <v>35</v>
      </c>
      <c r="DO259" s="3">
        <f>nor!DO259+og!EA259</f>
        <v>6</v>
      </c>
      <c r="DP259" s="3">
        <f>nor!DP259+og!EB259</f>
        <v>271</v>
      </c>
      <c r="DQ259" s="3">
        <f>nor!DQ259+og!EC259</f>
        <v>267</v>
      </c>
    </row>
    <row r="260" spans="3:121" x14ac:dyDescent="0.2">
      <c r="E260" s="30"/>
      <c r="F260" s="30"/>
      <c r="H260" s="31"/>
      <c r="I260" s="31"/>
      <c r="N260" s="68"/>
      <c r="Q260" s="130"/>
      <c r="R260" s="32"/>
      <c r="S260" s="32"/>
      <c r="U260" s="33"/>
      <c r="V260" s="33"/>
      <c r="AC260" s="7"/>
      <c r="AD260" s="32"/>
      <c r="AP260" s="7"/>
      <c r="AQ260" s="7"/>
      <c r="AR260" s="7"/>
      <c r="AS260" s="24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</row>
    <row r="261" spans="3:121" x14ac:dyDescent="0.2">
      <c r="E261" s="30"/>
      <c r="F261" s="30"/>
      <c r="H261" s="31"/>
      <c r="I261" s="31"/>
      <c r="Q261" s="131"/>
      <c r="R261" s="269"/>
      <c r="S261" s="32"/>
      <c r="U261" s="33"/>
      <c r="V261" s="33"/>
      <c r="AC261" s="7"/>
      <c r="AD261" s="110"/>
      <c r="AP261" s="7"/>
      <c r="AQ261" s="7"/>
      <c r="AR261" s="7"/>
      <c r="AS261" s="24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</row>
    <row r="262" spans="3:121" x14ac:dyDescent="0.2">
      <c r="E262" s="30"/>
      <c r="F262" s="30"/>
      <c r="H262" s="31"/>
      <c r="I262" s="31"/>
      <c r="R262" s="32"/>
      <c r="S262" s="32"/>
      <c r="U262" s="33"/>
      <c r="V262" s="33"/>
      <c r="AC262" s="7"/>
      <c r="AD262" s="32"/>
      <c r="AP262" s="7"/>
      <c r="AQ262" s="7"/>
      <c r="AR262" s="7"/>
      <c r="AS262" s="24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</row>
    <row r="263" spans="3:121" x14ac:dyDescent="0.2">
      <c r="E263" s="30"/>
      <c r="F263" s="30"/>
      <c r="H263" s="31"/>
      <c r="I263" s="31"/>
      <c r="N263" s="68"/>
      <c r="R263" s="68"/>
      <c r="S263" s="32"/>
      <c r="U263" s="33"/>
      <c r="V263" s="33"/>
      <c r="AC263" s="280"/>
      <c r="AD263" s="32"/>
      <c r="AP263" s="7"/>
      <c r="AQ263" s="7"/>
      <c r="AR263" s="7"/>
      <c r="AS263" s="24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</row>
    <row r="264" spans="3:121" x14ac:dyDescent="0.2">
      <c r="E264" s="30"/>
      <c r="F264" s="30"/>
      <c r="H264" s="31"/>
      <c r="I264" s="31"/>
      <c r="R264" s="32"/>
      <c r="S264" s="32"/>
      <c r="U264" s="33"/>
      <c r="V264" s="33"/>
      <c r="AC264" s="7"/>
      <c r="AD264" s="32"/>
      <c r="AP264" s="7"/>
      <c r="AQ264" s="7"/>
      <c r="AR264" s="7"/>
      <c r="AS264" s="24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</row>
    <row r="265" spans="3:121" x14ac:dyDescent="0.2">
      <c r="E265" s="30"/>
      <c r="F265" s="30"/>
      <c r="H265" s="31"/>
      <c r="I265" s="31"/>
      <c r="R265" s="32"/>
      <c r="S265" s="32"/>
      <c r="U265" s="33"/>
      <c r="V265" s="33"/>
      <c r="AC265" s="7"/>
      <c r="AD265" s="32"/>
      <c r="AP265" s="7"/>
      <c r="AQ265" s="7"/>
      <c r="AR265" s="7"/>
      <c r="AS265" s="24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</row>
    <row r="266" spans="3:121" x14ac:dyDescent="0.2">
      <c r="E266" s="30"/>
      <c r="F266" s="30"/>
      <c r="H266" s="31"/>
      <c r="I266" s="31"/>
      <c r="R266" s="32"/>
      <c r="S266" s="32"/>
      <c r="U266" s="33"/>
      <c r="V266" s="33"/>
      <c r="AC266" s="7"/>
      <c r="AD266" s="32"/>
      <c r="AP266" s="7"/>
      <c r="AQ266" s="7"/>
      <c r="AR266" s="7"/>
      <c r="AS266" s="24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</row>
    <row r="267" spans="3:121" x14ac:dyDescent="0.2">
      <c r="E267" s="30"/>
      <c r="F267" s="30"/>
      <c r="H267" s="31"/>
      <c r="I267" s="31"/>
      <c r="R267" s="32"/>
      <c r="S267" s="32"/>
      <c r="U267" s="33"/>
      <c r="V267" s="33"/>
      <c r="AC267" s="7"/>
      <c r="AD267" s="32"/>
      <c r="AP267" s="7"/>
      <c r="AQ267" s="7"/>
      <c r="AR267" s="7"/>
      <c r="AS267" s="24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</row>
    <row r="268" spans="3:121" x14ac:dyDescent="0.2">
      <c r="E268" s="30"/>
      <c r="F268" s="30"/>
      <c r="H268" s="31"/>
      <c r="I268" s="31"/>
      <c r="R268" s="32"/>
      <c r="S268" s="32"/>
      <c r="U268" s="33"/>
      <c r="V268" s="33"/>
      <c r="AC268" s="7"/>
      <c r="AD268" s="32"/>
      <c r="AP268" s="7"/>
      <c r="AQ268" s="7"/>
      <c r="AR268" s="7"/>
      <c r="AS268" s="24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</row>
    <row r="269" spans="3:121" x14ac:dyDescent="0.2">
      <c r="E269" s="30"/>
      <c r="F269" s="30"/>
      <c r="H269" s="31"/>
      <c r="I269" s="31"/>
      <c r="R269" s="32"/>
      <c r="S269" s="32"/>
      <c r="U269" s="33"/>
      <c r="V269" s="33"/>
      <c r="AC269" s="7"/>
      <c r="AD269" s="32"/>
      <c r="AP269" s="7"/>
      <c r="AQ269" s="7"/>
      <c r="AR269" s="7"/>
      <c r="AS269" s="24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</row>
    <row r="270" spans="3:121" x14ac:dyDescent="0.2">
      <c r="E270" s="30"/>
      <c r="F270" s="30"/>
      <c r="H270" s="31"/>
      <c r="I270" s="31"/>
      <c r="R270" s="32"/>
      <c r="S270" s="32"/>
      <c r="U270" s="33"/>
      <c r="V270" s="33"/>
      <c r="AC270" s="7"/>
      <c r="AD270" s="32"/>
      <c r="AP270" s="7"/>
      <c r="AQ270" s="7"/>
      <c r="AR270" s="7"/>
      <c r="AS270" s="24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</row>
    <row r="271" spans="3:121" x14ac:dyDescent="0.2">
      <c r="E271" s="30"/>
      <c r="F271" s="30"/>
      <c r="H271" s="31"/>
      <c r="I271" s="31"/>
      <c r="R271" s="32"/>
      <c r="S271" s="32"/>
      <c r="U271" s="33"/>
      <c r="V271" s="33"/>
      <c r="AC271" s="7"/>
      <c r="AD271" s="32"/>
      <c r="AP271" s="7"/>
      <c r="AQ271" s="7"/>
      <c r="AR271" s="7"/>
      <c r="AS271" s="24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</row>
    <row r="272" spans="3:121" x14ac:dyDescent="0.2">
      <c r="E272" s="30"/>
      <c r="F272" s="30"/>
      <c r="H272" s="31"/>
      <c r="I272" s="31"/>
      <c r="R272" s="32"/>
      <c r="S272" s="32"/>
      <c r="U272" s="33"/>
      <c r="V272" s="33"/>
      <c r="AC272" s="7"/>
      <c r="AD272" s="32"/>
      <c r="AP272" s="7"/>
      <c r="AQ272" s="7"/>
      <c r="AR272" s="7"/>
      <c r="AS272" s="24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</row>
    <row r="273" spans="5:61" x14ac:dyDescent="0.2">
      <c r="E273" s="30"/>
      <c r="F273" s="30"/>
      <c r="H273" s="31"/>
      <c r="I273" s="31"/>
      <c r="R273" s="32"/>
      <c r="S273" s="32"/>
      <c r="U273" s="33"/>
      <c r="V273" s="33"/>
      <c r="AC273" s="7"/>
      <c r="AD273" s="32"/>
      <c r="AP273" s="7"/>
      <c r="AQ273" s="7"/>
      <c r="AR273" s="7"/>
      <c r="AS273" s="24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</row>
    <row r="274" spans="5:61" x14ac:dyDescent="0.2">
      <c r="E274" s="30"/>
      <c r="F274" s="30"/>
      <c r="H274" s="31"/>
      <c r="I274" s="31"/>
      <c r="R274" s="32"/>
      <c r="S274" s="32"/>
      <c r="U274" s="33"/>
      <c r="V274" s="33"/>
      <c r="AC274" s="7"/>
      <c r="AD274" s="32"/>
      <c r="AP274" s="7"/>
      <c r="AQ274" s="7"/>
      <c r="AR274" s="7"/>
      <c r="AS274" s="24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</row>
    <row r="275" spans="5:61" x14ac:dyDescent="0.2">
      <c r="E275" s="30"/>
      <c r="F275" s="30"/>
      <c r="H275" s="31"/>
      <c r="I275" s="31"/>
      <c r="R275" s="32"/>
      <c r="S275" s="32"/>
      <c r="U275" s="33"/>
      <c r="V275" s="33"/>
      <c r="AC275" s="7"/>
      <c r="AD275" s="32"/>
      <c r="AP275" s="7"/>
      <c r="AQ275" s="7"/>
      <c r="AR275" s="7"/>
      <c r="AS275" s="24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</row>
    <row r="276" spans="5:61" x14ac:dyDescent="0.2">
      <c r="E276" s="30"/>
      <c r="F276" s="30"/>
      <c r="H276" s="31"/>
      <c r="I276" s="31"/>
      <c r="R276" s="32"/>
      <c r="S276" s="32"/>
      <c r="U276" s="33"/>
      <c r="V276" s="33"/>
      <c r="AC276" s="7"/>
      <c r="AD276" s="32"/>
      <c r="AP276" s="7"/>
      <c r="AQ276" s="7"/>
      <c r="AR276" s="7"/>
      <c r="AS276" s="24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</row>
    <row r="277" spans="5:61" x14ac:dyDescent="0.2">
      <c r="E277" s="30"/>
      <c r="F277" s="30"/>
      <c r="H277" s="31"/>
      <c r="I277" s="31"/>
      <c r="R277" s="32"/>
      <c r="S277" s="32"/>
      <c r="U277" s="33"/>
      <c r="V277" s="33"/>
      <c r="AC277" s="7"/>
      <c r="AD277" s="32"/>
      <c r="AP277" s="7"/>
      <c r="AQ277" s="7"/>
      <c r="AR277" s="7"/>
      <c r="AS277" s="24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</row>
    <row r="278" spans="5:61" x14ac:dyDescent="0.2">
      <c r="E278" s="30"/>
      <c r="F278" s="30"/>
      <c r="H278" s="31"/>
      <c r="I278" s="31"/>
      <c r="R278" s="32"/>
      <c r="S278" s="32"/>
      <c r="U278" s="33"/>
      <c r="V278" s="33"/>
      <c r="AC278" s="7"/>
      <c r="AD278" s="32"/>
      <c r="AP278" s="7"/>
      <c r="AQ278" s="7"/>
      <c r="AR278" s="7"/>
      <c r="AS278" s="24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</row>
    <row r="279" spans="5:61" x14ac:dyDescent="0.2">
      <c r="E279" s="30"/>
      <c r="F279" s="30"/>
      <c r="H279" s="31"/>
      <c r="I279" s="31"/>
      <c r="R279" s="32"/>
      <c r="S279" s="32"/>
      <c r="U279" s="33"/>
      <c r="V279" s="33"/>
      <c r="AC279" s="7"/>
      <c r="AD279" s="32"/>
      <c r="AP279" s="7"/>
      <c r="AQ279" s="7"/>
      <c r="AR279" s="7"/>
      <c r="AS279" s="24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</row>
    <row r="280" spans="5:61" x14ac:dyDescent="0.2">
      <c r="E280" s="30"/>
      <c r="F280" s="30"/>
      <c r="H280" s="31"/>
      <c r="I280" s="31"/>
      <c r="R280" s="32"/>
      <c r="S280" s="32"/>
      <c r="U280" s="33"/>
      <c r="V280" s="33"/>
      <c r="AC280" s="7"/>
      <c r="AD280" s="32"/>
      <c r="AP280" s="7"/>
      <c r="AQ280" s="7"/>
      <c r="AR280" s="7"/>
      <c r="AS280" s="24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</row>
    <row r="281" spans="5:61" x14ac:dyDescent="0.2">
      <c r="E281" s="30"/>
      <c r="F281" s="30"/>
      <c r="H281" s="31"/>
      <c r="I281" s="31"/>
      <c r="R281" s="32"/>
      <c r="S281" s="32"/>
      <c r="U281" s="33"/>
      <c r="V281" s="33"/>
      <c r="AC281" s="7"/>
      <c r="AD281" s="32"/>
      <c r="AP281" s="7"/>
      <c r="AQ281" s="7"/>
      <c r="AR281" s="7"/>
      <c r="AS281" s="24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</row>
    <row r="282" spans="5:61" x14ac:dyDescent="0.2">
      <c r="E282" s="30"/>
      <c r="F282" s="30"/>
      <c r="H282" s="31"/>
      <c r="I282" s="31"/>
      <c r="R282" s="32"/>
      <c r="S282" s="32"/>
      <c r="U282" s="33"/>
      <c r="V282" s="33"/>
      <c r="AC282" s="7"/>
      <c r="AD282" s="32"/>
      <c r="AP282" s="7"/>
      <c r="AQ282" s="7"/>
      <c r="AR282" s="7"/>
      <c r="AS282" s="24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</row>
    <row r="283" spans="5:61" x14ac:dyDescent="0.2">
      <c r="E283" s="30"/>
      <c r="F283" s="30"/>
      <c r="H283" s="31"/>
      <c r="I283" s="31"/>
      <c r="R283" s="32"/>
      <c r="S283" s="32"/>
      <c r="U283" s="33"/>
      <c r="V283" s="33"/>
      <c r="AC283" s="7"/>
      <c r="AD283" s="32"/>
      <c r="AP283" s="7"/>
      <c r="AQ283" s="7"/>
      <c r="AR283" s="7"/>
      <c r="AS283" s="24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</row>
    <row r="284" spans="5:61" x14ac:dyDescent="0.2">
      <c r="E284" s="30"/>
      <c r="F284" s="30"/>
      <c r="H284" s="31"/>
      <c r="I284" s="31"/>
      <c r="R284" s="32"/>
      <c r="S284" s="32"/>
      <c r="U284" s="33"/>
      <c r="V284" s="33"/>
      <c r="AC284" s="7"/>
      <c r="AD284" s="32"/>
      <c r="AP284" s="7"/>
      <c r="AQ284" s="7"/>
      <c r="AR284" s="7"/>
      <c r="AS284" s="24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</row>
    <row r="285" spans="5:61" x14ac:dyDescent="0.2">
      <c r="E285" s="30"/>
      <c r="F285" s="30"/>
      <c r="H285" s="31"/>
      <c r="I285" s="31"/>
      <c r="R285" s="32"/>
      <c r="S285" s="32"/>
      <c r="U285" s="33"/>
      <c r="V285" s="33"/>
      <c r="AC285" s="7"/>
      <c r="AD285" s="32"/>
      <c r="AP285" s="7"/>
      <c r="AQ285" s="7"/>
      <c r="AR285" s="7"/>
      <c r="AS285" s="24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</row>
    <row r="286" spans="5:61" x14ac:dyDescent="0.2">
      <c r="E286" s="30"/>
      <c r="F286" s="30"/>
      <c r="H286" s="31"/>
      <c r="I286" s="31"/>
      <c r="R286" s="32"/>
      <c r="S286" s="32"/>
      <c r="U286" s="33"/>
      <c r="V286" s="33"/>
      <c r="AC286" s="7"/>
      <c r="AD286" s="32"/>
      <c r="AP286" s="7"/>
      <c r="AQ286" s="7"/>
      <c r="AR286" s="7"/>
      <c r="AS286" s="24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</row>
    <row r="287" spans="5:61" x14ac:dyDescent="0.2">
      <c r="E287" s="30"/>
      <c r="F287" s="30"/>
      <c r="H287" s="31"/>
      <c r="I287" s="31"/>
      <c r="R287" s="32"/>
      <c r="S287" s="32"/>
      <c r="U287" s="33"/>
      <c r="V287" s="33"/>
      <c r="AC287" s="7"/>
      <c r="AD287" s="32"/>
      <c r="AP287" s="7"/>
      <c r="AQ287" s="7"/>
      <c r="AR287" s="7"/>
      <c r="AS287" s="24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</row>
    <row r="288" spans="5:61" x14ac:dyDescent="0.2">
      <c r="E288" s="30"/>
      <c r="F288" s="30"/>
      <c r="H288" s="31"/>
      <c r="I288" s="31"/>
      <c r="R288" s="32"/>
      <c r="S288" s="32"/>
      <c r="U288" s="33"/>
      <c r="V288" s="33"/>
      <c r="AC288" s="7"/>
      <c r="AD288" s="32"/>
      <c r="AP288" s="7"/>
      <c r="AQ288" s="7"/>
      <c r="AR288" s="7"/>
      <c r="AS288" s="24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</row>
    <row r="289" spans="5:61" x14ac:dyDescent="0.2">
      <c r="E289" s="30"/>
      <c r="F289" s="30"/>
      <c r="H289" s="31"/>
      <c r="I289" s="31"/>
      <c r="R289" s="32"/>
      <c r="S289" s="32"/>
      <c r="U289" s="33"/>
      <c r="V289" s="33"/>
      <c r="AC289" s="7"/>
      <c r="AD289" s="32"/>
      <c r="AP289" s="7"/>
      <c r="AQ289" s="7"/>
      <c r="AR289" s="7"/>
      <c r="AS289" s="24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</row>
    <row r="290" spans="5:61" x14ac:dyDescent="0.2">
      <c r="E290" s="30"/>
      <c r="F290" s="30"/>
      <c r="H290" s="31"/>
      <c r="I290" s="31"/>
      <c r="R290" s="32"/>
      <c r="S290" s="32"/>
      <c r="U290" s="33"/>
      <c r="V290" s="33"/>
      <c r="AD290" s="32"/>
    </row>
    <row r="291" spans="5:61" x14ac:dyDescent="0.2">
      <c r="E291" s="30"/>
      <c r="F291" s="30"/>
      <c r="H291" s="31"/>
      <c r="I291" s="31"/>
      <c r="R291" s="32"/>
      <c r="S291" s="32"/>
      <c r="U291" s="33"/>
      <c r="V291" s="33"/>
      <c r="AD291" s="32"/>
    </row>
    <row r="292" spans="5:61" x14ac:dyDescent="0.2">
      <c r="E292" s="30"/>
      <c r="F292" s="30"/>
      <c r="H292" s="31"/>
      <c r="I292" s="31"/>
      <c r="R292" s="32"/>
      <c r="S292" s="32"/>
      <c r="U292" s="33"/>
      <c r="V292" s="33"/>
      <c r="AD292" s="32"/>
    </row>
    <row r="293" spans="5:61" x14ac:dyDescent="0.2">
      <c r="E293" s="30"/>
      <c r="F293" s="30"/>
      <c r="H293" s="31"/>
      <c r="I293" s="31"/>
      <c r="R293" s="32"/>
      <c r="S293" s="32"/>
      <c r="U293" s="33"/>
      <c r="V293" s="33"/>
      <c r="AD293" s="32"/>
    </row>
    <row r="294" spans="5:61" x14ac:dyDescent="0.2">
      <c r="E294" s="30"/>
      <c r="F294" s="30"/>
      <c r="H294" s="31"/>
      <c r="I294" s="31"/>
      <c r="R294" s="32"/>
      <c r="S294" s="32"/>
      <c r="U294" s="33"/>
      <c r="V294" s="33"/>
      <c r="AD294" s="32"/>
    </row>
    <row r="295" spans="5:61" x14ac:dyDescent="0.2">
      <c r="E295" s="30"/>
      <c r="F295" s="30"/>
      <c r="H295" s="31"/>
      <c r="I295" s="31"/>
      <c r="R295" s="32"/>
      <c r="S295" s="32"/>
      <c r="U295" s="33"/>
      <c r="V295" s="33"/>
      <c r="AD295" s="32"/>
    </row>
    <row r="296" spans="5:61" x14ac:dyDescent="0.2">
      <c r="E296" s="30"/>
      <c r="F296" s="30"/>
      <c r="H296" s="31"/>
      <c r="I296" s="31"/>
      <c r="R296" s="32"/>
      <c r="S296" s="32"/>
      <c r="U296" s="33"/>
      <c r="V296" s="33"/>
      <c r="AD296" s="32"/>
    </row>
    <row r="297" spans="5:61" x14ac:dyDescent="0.2">
      <c r="E297" s="30"/>
      <c r="F297" s="30"/>
      <c r="H297" s="31"/>
      <c r="I297" s="31"/>
      <c r="R297" s="32"/>
      <c r="S297" s="32"/>
      <c r="U297" s="33"/>
      <c r="V297" s="33"/>
      <c r="AD297" s="32"/>
    </row>
    <row r="298" spans="5:61" x14ac:dyDescent="0.2">
      <c r="E298" s="30"/>
      <c r="F298" s="30"/>
      <c r="H298" s="31"/>
      <c r="I298" s="31"/>
      <c r="R298" s="32"/>
      <c r="S298" s="32"/>
      <c r="U298" s="33"/>
      <c r="V298" s="33"/>
      <c r="AD298" s="32"/>
    </row>
    <row r="299" spans="5:61" x14ac:dyDescent="0.2">
      <c r="E299" s="30"/>
      <c r="F299" s="30"/>
      <c r="H299" s="31"/>
      <c r="I299" s="31"/>
      <c r="R299" s="32"/>
      <c r="S299" s="32"/>
      <c r="U299" s="33"/>
      <c r="V299" s="33"/>
      <c r="AD299" s="32"/>
    </row>
    <row r="300" spans="5:61" x14ac:dyDescent="0.2">
      <c r="E300" s="30"/>
      <c r="F300" s="30"/>
      <c r="H300" s="31"/>
      <c r="I300" s="31"/>
      <c r="R300" s="32"/>
      <c r="S300" s="32"/>
      <c r="U300" s="33"/>
      <c r="V300" s="33"/>
      <c r="AD300" s="32"/>
    </row>
    <row r="301" spans="5:61" x14ac:dyDescent="0.2">
      <c r="E301" s="30"/>
      <c r="F301" s="30"/>
      <c r="H301" s="31"/>
      <c r="I301" s="31"/>
      <c r="R301" s="32"/>
      <c r="S301" s="32"/>
      <c r="U301" s="33"/>
      <c r="V301" s="33"/>
      <c r="AD301" s="32"/>
    </row>
    <row r="302" spans="5:61" x14ac:dyDescent="0.2">
      <c r="E302" s="30"/>
      <c r="F302" s="30"/>
      <c r="G302" s="32"/>
      <c r="H302" s="31"/>
      <c r="I302" s="31"/>
      <c r="J302" s="32"/>
      <c r="K302" s="32"/>
      <c r="N302" s="32"/>
      <c r="O302" s="32"/>
      <c r="P302" s="32"/>
      <c r="Q302" s="119"/>
      <c r="R302" s="32"/>
      <c r="S302" s="32"/>
      <c r="T302" s="32"/>
      <c r="U302" s="32"/>
      <c r="V302" s="32"/>
      <c r="AD302" s="32"/>
      <c r="AE302" s="32"/>
      <c r="AF302" s="32"/>
      <c r="AG302" s="32"/>
      <c r="AH302" s="32"/>
      <c r="AJ302" s="32"/>
      <c r="AK302" s="32"/>
      <c r="AL302" s="32"/>
      <c r="AM302" s="32"/>
      <c r="AN302" s="32"/>
    </row>
    <row r="303" spans="5:61" x14ac:dyDescent="0.2">
      <c r="E303" s="30"/>
      <c r="F303" s="30"/>
      <c r="H303" s="31"/>
      <c r="I303" s="31"/>
      <c r="R303" s="32"/>
      <c r="S303" s="32"/>
      <c r="U303" s="33"/>
      <c r="V303" s="33"/>
      <c r="AD303" s="32"/>
    </row>
    <row r="304" spans="5:61" x14ac:dyDescent="0.2">
      <c r="E304" s="30"/>
      <c r="F304" s="30"/>
      <c r="H304" s="31"/>
      <c r="I304" s="31"/>
      <c r="R304" s="32"/>
      <c r="S304" s="32"/>
      <c r="U304" s="33"/>
      <c r="V304" s="33"/>
      <c r="AD304" s="32"/>
    </row>
    <row r="305" spans="5:30" x14ac:dyDescent="0.2">
      <c r="E305" s="30"/>
      <c r="F305" s="30"/>
      <c r="H305" s="31"/>
      <c r="I305" s="31"/>
      <c r="R305" s="32"/>
      <c r="S305" s="32"/>
      <c r="U305" s="33"/>
      <c r="V305" s="33"/>
      <c r="AD305" s="32"/>
    </row>
    <row r="306" spans="5:30" x14ac:dyDescent="0.2">
      <c r="E306" s="30"/>
      <c r="F306" s="30"/>
      <c r="H306" s="31"/>
      <c r="I306" s="31"/>
      <c r="R306" s="32"/>
      <c r="S306" s="32"/>
      <c r="U306" s="33"/>
      <c r="V306" s="33"/>
      <c r="AD306" s="32"/>
    </row>
    <row r="307" spans="5:30" x14ac:dyDescent="0.2">
      <c r="E307" s="30"/>
      <c r="F307" s="30"/>
      <c r="H307" s="31"/>
      <c r="I307" s="31"/>
      <c r="R307" s="32"/>
      <c r="S307" s="32"/>
      <c r="U307" s="33"/>
      <c r="V307" s="33"/>
      <c r="AD307" s="32"/>
    </row>
    <row r="308" spans="5:30" x14ac:dyDescent="0.2">
      <c r="E308" s="30"/>
      <c r="F308" s="30"/>
      <c r="H308" s="31"/>
      <c r="I308" s="31"/>
      <c r="R308" s="32"/>
      <c r="S308" s="32"/>
      <c r="U308" s="33"/>
      <c r="V308" s="33"/>
      <c r="AD308" s="32"/>
    </row>
    <row r="309" spans="5:30" x14ac:dyDescent="0.2">
      <c r="E309" s="30"/>
      <c r="F309" s="30"/>
      <c r="H309" s="31"/>
      <c r="I309" s="31"/>
      <c r="R309" s="32"/>
      <c r="S309" s="32"/>
      <c r="U309" s="33"/>
      <c r="V309" s="33"/>
      <c r="AD309" s="32"/>
    </row>
    <row r="310" spans="5:30" x14ac:dyDescent="0.2">
      <c r="E310" s="30"/>
      <c r="F310" s="30"/>
      <c r="H310" s="31"/>
      <c r="I310" s="31"/>
      <c r="R310" s="32"/>
      <c r="S310" s="32"/>
      <c r="U310" s="33"/>
      <c r="V310" s="33"/>
      <c r="AD310" s="32"/>
    </row>
    <row r="311" spans="5:30" x14ac:dyDescent="0.2">
      <c r="E311" s="30"/>
      <c r="F311" s="30"/>
      <c r="H311" s="31"/>
      <c r="I311" s="31"/>
      <c r="R311" s="32"/>
      <c r="S311" s="32"/>
      <c r="U311" s="33"/>
      <c r="V311" s="33"/>
      <c r="AD311" s="32"/>
    </row>
    <row r="312" spans="5:30" x14ac:dyDescent="0.2">
      <c r="E312" s="30"/>
      <c r="F312" s="30"/>
      <c r="H312" s="31"/>
      <c r="I312" s="31"/>
      <c r="R312" s="32"/>
      <c r="S312" s="32"/>
      <c r="U312" s="33"/>
      <c r="V312" s="33"/>
      <c r="AD312" s="32"/>
    </row>
    <row r="313" spans="5:30" x14ac:dyDescent="0.2">
      <c r="E313" s="30"/>
      <c r="F313" s="30"/>
      <c r="H313" s="31"/>
      <c r="I313" s="31"/>
      <c r="R313" s="32"/>
      <c r="S313" s="32"/>
      <c r="U313" s="33"/>
      <c r="V313" s="33"/>
      <c r="AD313" s="32"/>
    </row>
    <row r="314" spans="5:30" x14ac:dyDescent="0.2">
      <c r="E314" s="30"/>
      <c r="F314" s="30"/>
      <c r="H314" s="31"/>
      <c r="I314" s="31"/>
      <c r="R314" s="32"/>
      <c r="S314" s="32"/>
      <c r="U314" s="33"/>
      <c r="V314" s="33"/>
      <c r="AD314" s="32"/>
    </row>
    <row r="315" spans="5:30" x14ac:dyDescent="0.2">
      <c r="E315" s="30"/>
      <c r="F315" s="30"/>
      <c r="H315" s="31"/>
      <c r="I315" s="31"/>
      <c r="R315" s="32"/>
      <c r="S315" s="32"/>
      <c r="U315" s="33"/>
      <c r="V315" s="33"/>
      <c r="AD315" s="32"/>
    </row>
    <row r="316" spans="5:30" x14ac:dyDescent="0.2">
      <c r="E316" s="30"/>
      <c r="F316" s="30"/>
      <c r="H316" s="31"/>
      <c r="I316" s="31"/>
      <c r="R316" s="32"/>
      <c r="S316" s="32"/>
      <c r="U316" s="33"/>
      <c r="V316" s="33"/>
      <c r="AD316" s="32"/>
    </row>
    <row r="317" spans="5:30" x14ac:dyDescent="0.2">
      <c r="E317" s="30"/>
      <c r="F317" s="30"/>
      <c r="H317" s="31"/>
      <c r="I317" s="31"/>
      <c r="R317" s="32"/>
      <c r="S317" s="32"/>
      <c r="U317" s="33"/>
      <c r="V317" s="33"/>
      <c r="AD317" s="32"/>
    </row>
    <row r="318" spans="5:30" x14ac:dyDescent="0.2">
      <c r="E318" s="30"/>
      <c r="F318" s="30"/>
      <c r="H318" s="31"/>
      <c r="I318" s="31"/>
      <c r="R318" s="32"/>
      <c r="S318" s="32"/>
      <c r="U318" s="33"/>
      <c r="V318" s="33"/>
      <c r="AD318" s="32"/>
    </row>
    <row r="319" spans="5:30" x14ac:dyDescent="0.2">
      <c r="E319" s="30"/>
      <c r="F319" s="30"/>
      <c r="H319" s="31"/>
      <c r="I319" s="31"/>
      <c r="R319" s="32"/>
      <c r="S319" s="32"/>
      <c r="U319" s="33"/>
      <c r="V319" s="33"/>
      <c r="AD319" s="32"/>
    </row>
    <row r="320" spans="5:30" x14ac:dyDescent="0.2">
      <c r="E320" s="30"/>
      <c r="F320" s="30"/>
      <c r="H320" s="31"/>
      <c r="I320" s="31"/>
      <c r="R320" s="32"/>
      <c r="S320" s="32"/>
      <c r="U320" s="33"/>
      <c r="V320" s="33"/>
      <c r="AD320" s="32"/>
    </row>
    <row r="321" spans="5:30" x14ac:dyDescent="0.2">
      <c r="E321" s="30"/>
      <c r="F321" s="30"/>
      <c r="H321" s="31"/>
      <c r="I321" s="31"/>
      <c r="R321" s="32"/>
      <c r="S321" s="32"/>
      <c r="U321" s="33"/>
      <c r="V321" s="33"/>
      <c r="AD321" s="32"/>
    </row>
    <row r="322" spans="5:30" x14ac:dyDescent="0.2">
      <c r="E322" s="30"/>
      <c r="F322" s="30"/>
      <c r="H322" s="31"/>
      <c r="I322" s="31"/>
      <c r="R322" s="32"/>
      <c r="S322" s="32"/>
      <c r="U322" s="33"/>
      <c r="V322" s="33"/>
      <c r="AD322" s="32"/>
    </row>
    <row r="323" spans="5:30" x14ac:dyDescent="0.2">
      <c r="E323" s="30"/>
      <c r="F323" s="30"/>
      <c r="H323" s="31"/>
      <c r="I323" s="31"/>
      <c r="R323" s="32"/>
      <c r="S323" s="32"/>
      <c r="U323" s="33"/>
      <c r="V323" s="33"/>
      <c r="AD323" s="32"/>
    </row>
    <row r="324" spans="5:30" x14ac:dyDescent="0.2">
      <c r="E324" s="30"/>
      <c r="F324" s="30"/>
      <c r="H324" s="31"/>
      <c r="I324" s="31"/>
      <c r="R324" s="32"/>
      <c r="S324" s="32"/>
      <c r="U324" s="33"/>
      <c r="V324" s="33"/>
      <c r="AD324" s="32"/>
    </row>
    <row r="325" spans="5:30" x14ac:dyDescent="0.2">
      <c r="E325" s="30"/>
      <c r="F325" s="30"/>
      <c r="H325" s="31"/>
      <c r="I325" s="31"/>
      <c r="R325" s="32"/>
      <c r="S325" s="32"/>
      <c r="U325" s="33"/>
      <c r="V325" s="33"/>
      <c r="AD325" s="32"/>
    </row>
    <row r="326" spans="5:30" x14ac:dyDescent="0.2">
      <c r="E326" s="30"/>
      <c r="F326" s="30"/>
      <c r="H326" s="31"/>
      <c r="I326" s="31"/>
      <c r="R326" s="32"/>
      <c r="S326" s="32"/>
      <c r="U326" s="33"/>
      <c r="V326" s="33"/>
      <c r="AD326" s="32"/>
    </row>
    <row r="327" spans="5:30" x14ac:dyDescent="0.2">
      <c r="E327" s="30"/>
      <c r="F327" s="30"/>
      <c r="H327" s="31"/>
      <c r="I327" s="31"/>
      <c r="R327" s="32"/>
      <c r="S327" s="32"/>
      <c r="U327" s="33"/>
      <c r="V327" s="33"/>
      <c r="AD327" s="32"/>
    </row>
    <row r="328" spans="5:30" x14ac:dyDescent="0.2">
      <c r="E328" s="30"/>
      <c r="F328" s="30"/>
      <c r="H328" s="31"/>
      <c r="I328" s="31"/>
      <c r="R328" s="32"/>
      <c r="S328" s="32"/>
      <c r="U328" s="33"/>
      <c r="V328" s="33"/>
      <c r="AD328" s="32"/>
    </row>
    <row r="329" spans="5:30" x14ac:dyDescent="0.2">
      <c r="E329" s="30"/>
      <c r="F329" s="30"/>
      <c r="H329" s="31"/>
      <c r="I329" s="31"/>
      <c r="R329" s="32"/>
      <c r="S329" s="32"/>
      <c r="U329" s="33"/>
      <c r="V329" s="33"/>
      <c r="AD329" s="32"/>
    </row>
    <row r="330" spans="5:30" x14ac:dyDescent="0.2">
      <c r="E330" s="30"/>
      <c r="F330" s="30"/>
      <c r="H330" s="31"/>
      <c r="I330" s="31"/>
      <c r="R330" s="32"/>
      <c r="S330" s="32"/>
      <c r="U330" s="33"/>
      <c r="V330" s="33"/>
      <c r="AD330" s="32"/>
    </row>
    <row r="331" spans="5:30" x14ac:dyDescent="0.2">
      <c r="E331" s="30"/>
      <c r="F331" s="30"/>
      <c r="H331" s="31"/>
      <c r="I331" s="31"/>
      <c r="R331" s="32"/>
      <c r="S331" s="32"/>
      <c r="U331" s="33"/>
      <c r="V331" s="33"/>
      <c r="AD331" s="32"/>
    </row>
    <row r="332" spans="5:30" x14ac:dyDescent="0.2">
      <c r="E332" s="30"/>
      <c r="F332" s="30"/>
      <c r="H332" s="31"/>
      <c r="I332" s="31"/>
      <c r="R332" s="32"/>
      <c r="S332" s="32"/>
      <c r="U332" s="33"/>
      <c r="V332" s="33"/>
      <c r="AD332" s="32"/>
    </row>
    <row r="333" spans="5:30" x14ac:dyDescent="0.2">
      <c r="E333" s="30"/>
      <c r="F333" s="30"/>
      <c r="H333" s="31"/>
      <c r="I333" s="31"/>
      <c r="R333" s="32"/>
      <c r="S333" s="32"/>
      <c r="U333" s="33"/>
      <c r="V333" s="33"/>
      <c r="AD333" s="32"/>
    </row>
    <row r="334" spans="5:30" x14ac:dyDescent="0.2">
      <c r="E334" s="30"/>
      <c r="F334" s="30"/>
      <c r="H334" s="31"/>
      <c r="I334" s="31"/>
      <c r="R334" s="32"/>
      <c r="S334" s="32"/>
      <c r="U334" s="33"/>
      <c r="V334" s="33"/>
      <c r="AD334" s="32"/>
    </row>
    <row r="335" spans="5:30" x14ac:dyDescent="0.2">
      <c r="E335" s="30"/>
      <c r="F335" s="30"/>
      <c r="H335" s="31"/>
      <c r="I335" s="31"/>
      <c r="R335" s="32"/>
      <c r="S335" s="32"/>
      <c r="U335" s="33"/>
      <c r="V335" s="33"/>
      <c r="AD335" s="32"/>
    </row>
    <row r="336" spans="5:30" x14ac:dyDescent="0.2">
      <c r="E336" s="30"/>
      <c r="F336" s="30"/>
      <c r="H336" s="31"/>
      <c r="I336" s="31"/>
      <c r="R336" s="32"/>
      <c r="S336" s="32"/>
      <c r="U336" s="33"/>
      <c r="V336" s="33"/>
      <c r="AD336" s="32"/>
    </row>
    <row r="337" spans="5:30" x14ac:dyDescent="0.2">
      <c r="E337" s="30"/>
      <c r="F337" s="30"/>
      <c r="H337" s="31"/>
      <c r="I337" s="31"/>
      <c r="R337" s="32"/>
      <c r="S337" s="32"/>
      <c r="U337" s="33"/>
      <c r="V337" s="33"/>
      <c r="AD337" s="32"/>
    </row>
    <row r="338" spans="5:30" x14ac:dyDescent="0.2">
      <c r="E338" s="30"/>
      <c r="F338" s="30"/>
      <c r="H338" s="31"/>
      <c r="I338" s="31"/>
      <c r="R338" s="32"/>
      <c r="S338" s="32"/>
      <c r="U338" s="33"/>
      <c r="V338" s="33"/>
      <c r="AD338" s="32"/>
    </row>
    <row r="339" spans="5:30" x14ac:dyDescent="0.2">
      <c r="E339" s="30"/>
      <c r="F339" s="30"/>
      <c r="H339" s="31"/>
      <c r="I339" s="31"/>
      <c r="R339" s="32"/>
      <c r="S339" s="32"/>
      <c r="U339" s="33"/>
      <c r="V339" s="33"/>
      <c r="AD339" s="32"/>
    </row>
    <row r="340" spans="5:30" x14ac:dyDescent="0.2">
      <c r="E340" s="30"/>
      <c r="F340" s="30"/>
      <c r="H340" s="31"/>
      <c r="I340" s="31"/>
      <c r="R340" s="32"/>
      <c r="S340" s="32"/>
      <c r="U340" s="33"/>
      <c r="V340" s="33"/>
      <c r="AD340" s="32"/>
    </row>
    <row r="341" spans="5:30" x14ac:dyDescent="0.2">
      <c r="E341" s="30"/>
      <c r="F341" s="30"/>
      <c r="H341" s="31"/>
      <c r="I341" s="31"/>
      <c r="R341" s="32"/>
      <c r="S341" s="32"/>
      <c r="U341" s="33"/>
      <c r="V341" s="33"/>
      <c r="AD341" s="32"/>
    </row>
    <row r="342" spans="5:30" x14ac:dyDescent="0.2">
      <c r="E342" s="30"/>
      <c r="F342" s="30"/>
      <c r="H342" s="31"/>
      <c r="I342" s="31"/>
      <c r="R342" s="32"/>
      <c r="S342" s="32"/>
      <c r="U342" s="33"/>
      <c r="V342" s="33"/>
      <c r="AD342" s="32"/>
    </row>
    <row r="343" spans="5:30" x14ac:dyDescent="0.2">
      <c r="E343" s="30"/>
      <c r="F343" s="30"/>
      <c r="H343" s="31"/>
      <c r="I343" s="31"/>
      <c r="R343" s="32"/>
      <c r="S343" s="32"/>
      <c r="U343" s="33"/>
      <c r="V343" s="33"/>
      <c r="AD343" s="32"/>
    </row>
    <row r="344" spans="5:30" x14ac:dyDescent="0.2">
      <c r="E344" s="30"/>
      <c r="F344" s="30"/>
      <c r="H344" s="31"/>
      <c r="I344" s="31"/>
      <c r="R344" s="32"/>
      <c r="S344" s="32"/>
      <c r="U344" s="33"/>
      <c r="V344" s="33"/>
      <c r="AD344" s="32"/>
    </row>
    <row r="345" spans="5:30" x14ac:dyDescent="0.2">
      <c r="E345" s="30"/>
      <c r="F345" s="30"/>
      <c r="H345" s="31"/>
      <c r="I345" s="31"/>
      <c r="R345" s="32"/>
      <c r="S345" s="32"/>
      <c r="U345" s="33"/>
      <c r="V345" s="33"/>
      <c r="AD345" s="32"/>
    </row>
    <row r="346" spans="5:30" x14ac:dyDescent="0.2">
      <c r="E346" s="30"/>
      <c r="F346" s="30"/>
      <c r="H346" s="31"/>
      <c r="I346" s="31"/>
      <c r="R346" s="32"/>
      <c r="S346" s="32"/>
      <c r="U346" s="33"/>
      <c r="V346" s="33"/>
      <c r="AD346" s="32"/>
    </row>
    <row r="347" spans="5:30" x14ac:dyDescent="0.2">
      <c r="E347" s="30"/>
      <c r="F347" s="30"/>
      <c r="H347" s="31"/>
      <c r="I347" s="31"/>
      <c r="R347" s="32"/>
      <c r="S347" s="32"/>
      <c r="U347" s="33"/>
      <c r="V347" s="33"/>
      <c r="AD347" s="32"/>
    </row>
    <row r="348" spans="5:30" x14ac:dyDescent="0.2">
      <c r="E348" s="30"/>
      <c r="F348" s="30"/>
      <c r="H348" s="31"/>
      <c r="I348" s="31"/>
      <c r="R348" s="32"/>
      <c r="S348" s="32"/>
      <c r="U348" s="33"/>
      <c r="V348" s="33"/>
      <c r="AD348" s="32"/>
    </row>
    <row r="349" spans="5:30" x14ac:dyDescent="0.2">
      <c r="E349" s="30"/>
      <c r="F349" s="30"/>
      <c r="H349" s="31"/>
      <c r="I349" s="31"/>
      <c r="R349" s="32"/>
      <c r="S349" s="32"/>
      <c r="U349" s="33"/>
      <c r="V349" s="33"/>
      <c r="AD349" s="32"/>
    </row>
    <row r="350" spans="5:30" x14ac:dyDescent="0.2">
      <c r="E350" s="30"/>
      <c r="F350" s="30"/>
      <c r="H350" s="31"/>
      <c r="I350" s="31"/>
      <c r="R350" s="32"/>
      <c r="S350" s="32"/>
      <c r="U350" s="33"/>
      <c r="V350" s="33"/>
      <c r="AD350" s="32"/>
    </row>
    <row r="351" spans="5:30" x14ac:dyDescent="0.2">
      <c r="E351" s="30"/>
      <c r="F351" s="30"/>
      <c r="H351" s="31"/>
      <c r="I351" s="31"/>
      <c r="R351" s="32"/>
      <c r="S351" s="32"/>
      <c r="U351" s="33"/>
      <c r="V351" s="33"/>
      <c r="AD351" s="32"/>
    </row>
    <row r="352" spans="5:30" x14ac:dyDescent="0.2">
      <c r="E352" s="30"/>
      <c r="F352" s="30"/>
      <c r="H352" s="31"/>
      <c r="I352" s="31"/>
      <c r="R352" s="32"/>
      <c r="S352" s="32"/>
      <c r="U352" s="33"/>
      <c r="V352" s="33"/>
      <c r="AD352" s="32"/>
    </row>
    <row r="353" spans="5:30" x14ac:dyDescent="0.2">
      <c r="E353" s="30"/>
      <c r="F353" s="30"/>
      <c r="H353" s="31"/>
      <c r="I353" s="31"/>
      <c r="R353" s="32"/>
      <c r="S353" s="32"/>
      <c r="U353" s="33"/>
      <c r="V353" s="33"/>
      <c r="AD353" s="32"/>
    </row>
    <row r="354" spans="5:30" x14ac:dyDescent="0.2">
      <c r="E354" s="30"/>
      <c r="F354" s="30"/>
      <c r="H354" s="31"/>
      <c r="I354" s="31"/>
      <c r="R354" s="32"/>
      <c r="S354" s="32"/>
      <c r="U354" s="33"/>
      <c r="V354" s="33"/>
      <c r="AD354" s="32"/>
    </row>
    <row r="355" spans="5:30" x14ac:dyDescent="0.2">
      <c r="E355" s="30"/>
      <c r="F355" s="30"/>
      <c r="H355" s="31"/>
      <c r="I355" s="31"/>
      <c r="R355" s="32"/>
      <c r="S355" s="32"/>
      <c r="U355" s="33"/>
      <c r="V355" s="33"/>
      <c r="AD355" s="32"/>
    </row>
    <row r="356" spans="5:30" x14ac:dyDescent="0.2">
      <c r="E356" s="30"/>
      <c r="F356" s="30"/>
      <c r="H356" s="31"/>
      <c r="I356" s="31"/>
      <c r="R356" s="32"/>
      <c r="S356" s="32"/>
      <c r="U356" s="33"/>
      <c r="V356" s="33"/>
      <c r="AD356" s="32"/>
    </row>
    <row r="357" spans="5:30" x14ac:dyDescent="0.2">
      <c r="E357" s="30"/>
      <c r="F357" s="30"/>
      <c r="H357" s="31"/>
      <c r="I357" s="31"/>
      <c r="R357" s="32"/>
      <c r="S357" s="32"/>
      <c r="U357" s="33"/>
      <c r="V357" s="33"/>
      <c r="AD357" s="32"/>
    </row>
    <row r="358" spans="5:30" x14ac:dyDescent="0.2">
      <c r="E358" s="30"/>
      <c r="F358" s="30"/>
      <c r="H358" s="31"/>
      <c r="I358" s="31"/>
      <c r="R358" s="32"/>
      <c r="S358" s="32"/>
      <c r="U358" s="33"/>
      <c r="V358" s="33"/>
      <c r="AD358" s="32"/>
    </row>
    <row r="359" spans="5:30" x14ac:dyDescent="0.2">
      <c r="E359" s="30"/>
      <c r="F359" s="30"/>
      <c r="H359" s="31"/>
      <c r="I359" s="31"/>
      <c r="R359" s="32"/>
      <c r="S359" s="32"/>
      <c r="U359" s="33"/>
      <c r="V359" s="33"/>
      <c r="AD359" s="32"/>
    </row>
    <row r="360" spans="5:30" x14ac:dyDescent="0.2">
      <c r="E360" s="30"/>
      <c r="F360" s="30"/>
      <c r="H360" s="31"/>
      <c r="I360" s="31"/>
      <c r="R360" s="32"/>
      <c r="S360" s="32"/>
      <c r="U360" s="33"/>
      <c r="V360" s="33"/>
      <c r="AD360" s="32"/>
    </row>
    <row r="361" spans="5:30" x14ac:dyDescent="0.2">
      <c r="E361" s="30"/>
      <c r="F361" s="30"/>
      <c r="H361" s="31"/>
      <c r="I361" s="31"/>
      <c r="R361" s="32"/>
      <c r="S361" s="32"/>
      <c r="U361" s="33"/>
      <c r="V361" s="33"/>
      <c r="AD361" s="32"/>
    </row>
    <row r="362" spans="5:30" x14ac:dyDescent="0.2">
      <c r="E362" s="30"/>
      <c r="F362" s="30"/>
      <c r="H362" s="31"/>
      <c r="I362" s="31"/>
      <c r="R362" s="32"/>
      <c r="S362" s="32"/>
      <c r="U362" s="33"/>
      <c r="V362" s="33"/>
      <c r="AD362" s="32"/>
    </row>
    <row r="363" spans="5:30" x14ac:dyDescent="0.2">
      <c r="E363" s="30"/>
      <c r="F363" s="30"/>
      <c r="H363" s="31"/>
      <c r="I363" s="31"/>
      <c r="R363" s="32"/>
      <c r="S363" s="32"/>
      <c r="U363" s="33"/>
      <c r="V363" s="33"/>
      <c r="AD363" s="32"/>
    </row>
    <row r="364" spans="5:30" x14ac:dyDescent="0.2">
      <c r="E364" s="30"/>
      <c r="F364" s="30"/>
      <c r="H364" s="31"/>
      <c r="I364" s="31"/>
      <c r="R364" s="32"/>
      <c r="S364" s="32"/>
      <c r="U364" s="33"/>
      <c r="V364" s="33"/>
      <c r="AD364" s="32"/>
    </row>
    <row r="365" spans="5:30" x14ac:dyDescent="0.2">
      <c r="E365" s="30"/>
      <c r="F365" s="30"/>
      <c r="H365" s="31"/>
      <c r="I365" s="31"/>
      <c r="R365" s="32"/>
      <c r="S365" s="32"/>
      <c r="U365" s="33"/>
      <c r="V365" s="33"/>
      <c r="AD365" s="32"/>
    </row>
    <row r="366" spans="5:30" x14ac:dyDescent="0.2">
      <c r="E366" s="30"/>
      <c r="F366" s="30"/>
      <c r="H366" s="31"/>
      <c r="I366" s="31"/>
      <c r="R366" s="32"/>
      <c r="S366" s="32"/>
      <c r="U366" s="33"/>
      <c r="V366" s="33"/>
      <c r="AD366" s="32"/>
    </row>
    <row r="367" spans="5:30" x14ac:dyDescent="0.2">
      <c r="E367" s="30"/>
      <c r="F367" s="30"/>
      <c r="H367" s="31"/>
      <c r="I367" s="31"/>
      <c r="R367" s="32"/>
      <c r="S367" s="32"/>
      <c r="U367" s="33"/>
      <c r="V367" s="33"/>
      <c r="AD367" s="32"/>
    </row>
    <row r="368" spans="5:30" x14ac:dyDescent="0.2">
      <c r="E368" s="30"/>
      <c r="F368" s="30"/>
      <c r="H368" s="31"/>
      <c r="I368" s="31"/>
      <c r="R368" s="32"/>
      <c r="S368" s="32"/>
      <c r="U368" s="33"/>
      <c r="V368" s="33"/>
      <c r="AD368" s="32"/>
    </row>
    <row r="369" spans="5:40" x14ac:dyDescent="0.2">
      <c r="E369" s="30"/>
      <c r="F369" s="30"/>
      <c r="H369" s="31"/>
      <c r="I369" s="31"/>
      <c r="R369" s="32"/>
      <c r="S369" s="32"/>
      <c r="U369" s="33"/>
      <c r="V369" s="33"/>
      <c r="AD369" s="32"/>
    </row>
    <row r="370" spans="5:40" x14ac:dyDescent="0.2">
      <c r="E370" s="30"/>
      <c r="F370" s="30"/>
      <c r="H370" s="31"/>
      <c r="I370" s="31"/>
      <c r="R370" s="32"/>
      <c r="S370" s="32"/>
      <c r="U370" s="33"/>
      <c r="V370" s="33"/>
      <c r="AD370" s="32"/>
    </row>
    <row r="371" spans="5:40" x14ac:dyDescent="0.2">
      <c r="E371" s="30"/>
      <c r="F371" s="30"/>
      <c r="H371" s="31"/>
      <c r="I371" s="31"/>
      <c r="R371" s="32"/>
      <c r="S371" s="32"/>
      <c r="U371" s="33"/>
      <c r="V371" s="33"/>
      <c r="AD371" s="32"/>
    </row>
    <row r="372" spans="5:40" x14ac:dyDescent="0.2">
      <c r="E372" s="30"/>
      <c r="F372" s="30"/>
      <c r="H372" s="31"/>
      <c r="I372" s="31"/>
      <c r="R372" s="32"/>
      <c r="S372" s="32"/>
      <c r="U372" s="33"/>
      <c r="V372" s="33"/>
      <c r="AD372" s="32"/>
    </row>
    <row r="373" spans="5:40" x14ac:dyDescent="0.2">
      <c r="E373" s="30"/>
      <c r="F373" s="30"/>
      <c r="H373" s="31"/>
      <c r="I373" s="31"/>
      <c r="R373" s="32"/>
      <c r="S373" s="32"/>
      <c r="U373" s="33"/>
      <c r="V373" s="33"/>
      <c r="AD373" s="32"/>
    </row>
    <row r="374" spans="5:40" x14ac:dyDescent="0.2">
      <c r="E374" s="30"/>
      <c r="F374" s="30"/>
      <c r="H374" s="31"/>
      <c r="I374" s="31"/>
      <c r="R374" s="32"/>
      <c r="S374" s="32"/>
      <c r="U374" s="33"/>
      <c r="V374" s="33"/>
      <c r="AD374" s="32"/>
    </row>
    <row r="375" spans="5:40" x14ac:dyDescent="0.2">
      <c r="E375" s="30"/>
      <c r="F375" s="30"/>
      <c r="H375" s="31"/>
      <c r="I375" s="31"/>
      <c r="R375" s="32"/>
      <c r="S375" s="32"/>
      <c r="U375" s="33"/>
      <c r="V375" s="33"/>
      <c r="AD375" s="32"/>
    </row>
    <row r="376" spans="5:40" x14ac:dyDescent="0.2">
      <c r="E376" s="30"/>
      <c r="F376" s="30"/>
      <c r="H376" s="31"/>
      <c r="I376" s="31"/>
      <c r="R376" s="32"/>
      <c r="S376" s="32"/>
      <c r="U376" s="33"/>
      <c r="V376" s="33"/>
      <c r="AD376" s="32"/>
    </row>
    <row r="377" spans="5:40" x14ac:dyDescent="0.2">
      <c r="E377" s="30"/>
      <c r="F377" s="30"/>
      <c r="H377" s="31"/>
      <c r="I377" s="31"/>
      <c r="R377" s="32"/>
      <c r="S377" s="32"/>
      <c r="U377" s="33"/>
      <c r="V377" s="33"/>
      <c r="AD377" s="32"/>
    </row>
    <row r="378" spans="5:40" x14ac:dyDescent="0.2">
      <c r="E378" s="30"/>
      <c r="F378" s="30"/>
      <c r="G378" s="32"/>
      <c r="H378" s="31"/>
      <c r="I378" s="31"/>
      <c r="J378" s="32"/>
      <c r="K378" s="32"/>
      <c r="N378" s="32"/>
      <c r="O378" s="32"/>
      <c r="P378" s="32"/>
      <c r="Q378" s="119"/>
      <c r="R378" s="32"/>
      <c r="S378" s="32"/>
      <c r="T378" s="32"/>
      <c r="U378" s="32"/>
      <c r="V378" s="32"/>
      <c r="AD378" s="32"/>
      <c r="AE378" s="32"/>
      <c r="AF378" s="32"/>
      <c r="AG378" s="32"/>
      <c r="AH378" s="32"/>
      <c r="AJ378" s="32"/>
      <c r="AK378" s="32"/>
      <c r="AL378" s="32"/>
      <c r="AM378" s="32"/>
      <c r="AN378" s="32"/>
    </row>
    <row r="379" spans="5:40" x14ac:dyDescent="0.2">
      <c r="E379" s="30"/>
      <c r="F379" s="30"/>
      <c r="H379" s="31"/>
      <c r="I379" s="31"/>
      <c r="R379" s="32"/>
      <c r="S379" s="32"/>
      <c r="U379" s="33"/>
      <c r="V379" s="33"/>
      <c r="AD379" s="32"/>
    </row>
    <row r="380" spans="5:40" x14ac:dyDescent="0.2">
      <c r="E380" s="30"/>
      <c r="F380" s="30"/>
      <c r="H380" s="31"/>
      <c r="I380" s="31"/>
      <c r="R380" s="32"/>
      <c r="S380" s="32"/>
      <c r="U380" s="33"/>
      <c r="V380" s="33"/>
      <c r="AD380" s="32"/>
    </row>
    <row r="381" spans="5:40" x14ac:dyDescent="0.2">
      <c r="E381" s="30"/>
      <c r="F381" s="30"/>
      <c r="H381" s="31"/>
      <c r="I381" s="31"/>
      <c r="R381" s="32"/>
      <c r="S381" s="32"/>
      <c r="U381" s="33"/>
      <c r="V381" s="33"/>
      <c r="AD381" s="32"/>
    </row>
    <row r="382" spans="5:40" x14ac:dyDescent="0.2">
      <c r="E382" s="30"/>
      <c r="F382" s="30"/>
      <c r="H382" s="31"/>
      <c r="I382" s="31"/>
      <c r="R382" s="32"/>
      <c r="S382" s="32"/>
      <c r="U382" s="33"/>
      <c r="V382" s="33"/>
      <c r="AD382" s="32"/>
    </row>
    <row r="383" spans="5:40" x14ac:dyDescent="0.2">
      <c r="E383" s="30"/>
      <c r="F383" s="30"/>
      <c r="H383" s="31"/>
      <c r="I383" s="31"/>
      <c r="R383" s="32"/>
      <c r="S383" s="32"/>
      <c r="U383" s="33"/>
      <c r="V383" s="33"/>
      <c r="AD383" s="32"/>
    </row>
    <row r="384" spans="5:40" x14ac:dyDescent="0.2">
      <c r="E384" s="30"/>
      <c r="F384" s="30"/>
      <c r="H384" s="31"/>
      <c r="I384" s="31"/>
      <c r="R384" s="32"/>
      <c r="S384" s="32"/>
      <c r="U384" s="33"/>
      <c r="V384" s="33"/>
      <c r="AD384" s="32"/>
    </row>
    <row r="385" spans="5:30" x14ac:dyDescent="0.2">
      <c r="E385" s="30"/>
      <c r="F385" s="30"/>
      <c r="H385" s="31"/>
      <c r="I385" s="31"/>
      <c r="R385" s="32"/>
      <c r="S385" s="32"/>
      <c r="U385" s="33"/>
      <c r="V385" s="33"/>
      <c r="AD385" s="32"/>
    </row>
    <row r="386" spans="5:30" x14ac:dyDescent="0.2">
      <c r="E386" s="30"/>
      <c r="F386" s="30"/>
      <c r="H386" s="31"/>
      <c r="I386" s="31"/>
      <c r="R386" s="32"/>
      <c r="S386" s="32"/>
      <c r="U386" s="33"/>
      <c r="V386" s="33"/>
      <c r="AD386" s="32"/>
    </row>
    <row r="387" spans="5:30" x14ac:dyDescent="0.2">
      <c r="E387" s="30"/>
      <c r="F387" s="30"/>
      <c r="H387" s="31"/>
      <c r="I387" s="31"/>
      <c r="R387" s="32"/>
      <c r="S387" s="32"/>
      <c r="U387" s="33"/>
      <c r="V387" s="33"/>
      <c r="AD387" s="32"/>
    </row>
    <row r="388" spans="5:30" x14ac:dyDescent="0.2">
      <c r="E388" s="30"/>
      <c r="F388" s="30"/>
      <c r="H388" s="31"/>
      <c r="I388" s="31"/>
      <c r="R388" s="32"/>
      <c r="S388" s="32"/>
      <c r="U388" s="33"/>
      <c r="V388" s="33"/>
      <c r="AD388" s="32"/>
    </row>
    <row r="389" spans="5:30" x14ac:dyDescent="0.2">
      <c r="E389" s="30"/>
      <c r="F389" s="30"/>
      <c r="H389" s="31"/>
      <c r="I389" s="31"/>
      <c r="R389" s="32"/>
      <c r="S389" s="32"/>
      <c r="U389" s="33"/>
      <c r="V389" s="33"/>
      <c r="AD389" s="32"/>
    </row>
    <row r="390" spans="5:30" x14ac:dyDescent="0.2">
      <c r="E390" s="30"/>
      <c r="F390" s="30"/>
      <c r="H390" s="31"/>
      <c r="I390" s="31"/>
      <c r="R390" s="32"/>
      <c r="S390" s="32"/>
      <c r="U390" s="33"/>
      <c r="V390" s="33"/>
      <c r="AD390" s="32"/>
    </row>
    <row r="391" spans="5:30" x14ac:dyDescent="0.2">
      <c r="E391" s="30"/>
      <c r="F391" s="30"/>
      <c r="H391" s="31"/>
      <c r="I391" s="31"/>
      <c r="R391" s="32"/>
      <c r="S391" s="32"/>
      <c r="U391" s="33"/>
      <c r="V391" s="33"/>
      <c r="AD391" s="32"/>
    </row>
    <row r="392" spans="5:30" x14ac:dyDescent="0.2">
      <c r="E392" s="30"/>
      <c r="F392" s="30"/>
      <c r="H392" s="31"/>
      <c r="I392" s="31"/>
      <c r="R392" s="32"/>
      <c r="S392" s="32"/>
      <c r="U392" s="33"/>
      <c r="V392" s="33"/>
      <c r="AD392" s="32"/>
    </row>
    <row r="393" spans="5:30" x14ac:dyDescent="0.2">
      <c r="E393" s="30"/>
      <c r="F393" s="30"/>
      <c r="H393" s="31"/>
      <c r="I393" s="31"/>
      <c r="R393" s="32"/>
      <c r="S393" s="32"/>
      <c r="U393" s="33"/>
      <c r="V393" s="33"/>
      <c r="AD393" s="32"/>
    </row>
    <row r="394" spans="5:30" x14ac:dyDescent="0.2">
      <c r="E394" s="30"/>
      <c r="F394" s="30"/>
      <c r="H394" s="31"/>
      <c r="I394" s="31"/>
      <c r="R394" s="32"/>
      <c r="S394" s="32"/>
      <c r="U394" s="33"/>
      <c r="V394" s="33"/>
      <c r="AD394" s="32"/>
    </row>
    <row r="395" spans="5:30" x14ac:dyDescent="0.2">
      <c r="E395" s="30"/>
      <c r="F395" s="30"/>
      <c r="H395" s="31"/>
      <c r="I395" s="31"/>
      <c r="R395" s="32"/>
      <c r="S395" s="32"/>
      <c r="U395" s="33"/>
      <c r="V395" s="33"/>
      <c r="AD395" s="32"/>
    </row>
    <row r="396" spans="5:30" x14ac:dyDescent="0.2">
      <c r="E396" s="30"/>
      <c r="F396" s="30"/>
      <c r="H396" s="31"/>
      <c r="I396" s="31"/>
      <c r="R396" s="32"/>
      <c r="S396" s="32"/>
      <c r="U396" s="33"/>
      <c r="V396" s="33"/>
      <c r="AD396" s="32"/>
    </row>
    <row r="397" spans="5:30" x14ac:dyDescent="0.2">
      <c r="E397" s="30"/>
      <c r="F397" s="30"/>
      <c r="H397" s="31"/>
      <c r="I397" s="31"/>
      <c r="R397" s="32"/>
      <c r="S397" s="32"/>
      <c r="U397" s="33"/>
      <c r="V397" s="33"/>
      <c r="AD397" s="32"/>
    </row>
    <row r="398" spans="5:30" x14ac:dyDescent="0.2">
      <c r="E398" s="30"/>
      <c r="F398" s="30"/>
      <c r="H398" s="31"/>
      <c r="I398" s="31"/>
      <c r="R398" s="32"/>
      <c r="S398" s="32"/>
      <c r="U398" s="33"/>
      <c r="V398" s="33"/>
      <c r="AD398" s="32"/>
    </row>
    <row r="399" spans="5:30" x14ac:dyDescent="0.2">
      <c r="E399" s="30"/>
      <c r="F399" s="30"/>
      <c r="H399" s="31"/>
      <c r="I399" s="31"/>
      <c r="R399" s="32"/>
      <c r="S399" s="32"/>
      <c r="U399" s="33"/>
      <c r="V399" s="33"/>
      <c r="AD399" s="32"/>
    </row>
    <row r="400" spans="5:30" x14ac:dyDescent="0.2">
      <c r="E400" s="30"/>
      <c r="F400" s="30"/>
      <c r="H400" s="31"/>
      <c r="I400" s="31"/>
      <c r="R400" s="32"/>
      <c r="S400" s="32"/>
      <c r="U400" s="33"/>
      <c r="V400" s="33"/>
      <c r="AD400" s="32"/>
    </row>
    <row r="401" spans="5:30" x14ac:dyDescent="0.2">
      <c r="E401" s="30"/>
      <c r="F401" s="30"/>
      <c r="H401" s="31"/>
      <c r="I401" s="31"/>
      <c r="R401" s="32"/>
      <c r="S401" s="32"/>
      <c r="U401" s="33"/>
      <c r="V401" s="33"/>
      <c r="AD401" s="32"/>
    </row>
    <row r="402" spans="5:30" x14ac:dyDescent="0.2">
      <c r="E402" s="30"/>
      <c r="F402" s="30"/>
      <c r="H402" s="31"/>
      <c r="I402" s="31"/>
      <c r="R402" s="32"/>
      <c r="S402" s="32"/>
      <c r="U402" s="33"/>
      <c r="V402" s="33"/>
      <c r="AD402" s="32"/>
    </row>
    <row r="403" spans="5:30" x14ac:dyDescent="0.2">
      <c r="E403" s="30"/>
      <c r="F403" s="30"/>
      <c r="H403" s="31"/>
      <c r="I403" s="31"/>
      <c r="R403" s="32"/>
      <c r="S403" s="32"/>
      <c r="U403" s="33"/>
      <c r="V403" s="33"/>
      <c r="AD403" s="32"/>
    </row>
    <row r="404" spans="5:30" x14ac:dyDescent="0.2">
      <c r="E404" s="30"/>
      <c r="F404" s="30"/>
      <c r="H404" s="31"/>
      <c r="I404" s="31"/>
      <c r="R404" s="32"/>
      <c r="S404" s="32"/>
      <c r="U404" s="33"/>
      <c r="V404" s="33"/>
      <c r="AD404" s="32"/>
    </row>
    <row r="405" spans="5:30" x14ac:dyDescent="0.2">
      <c r="E405" s="30"/>
      <c r="F405" s="30"/>
      <c r="H405" s="31"/>
      <c r="I405" s="31"/>
      <c r="R405" s="32"/>
      <c r="S405" s="32"/>
      <c r="U405" s="33"/>
      <c r="V405" s="33"/>
      <c r="AD405" s="32"/>
    </row>
    <row r="406" spans="5:30" x14ac:dyDescent="0.2">
      <c r="E406" s="30"/>
      <c r="F406" s="30"/>
      <c r="H406" s="31"/>
      <c r="I406" s="31"/>
      <c r="R406" s="32"/>
      <c r="S406" s="32"/>
      <c r="U406" s="33"/>
      <c r="V406" s="33"/>
      <c r="AD406" s="32"/>
    </row>
    <row r="407" spans="5:30" x14ac:dyDescent="0.2">
      <c r="E407" s="30"/>
      <c r="F407" s="30"/>
      <c r="H407" s="31"/>
      <c r="I407" s="31"/>
      <c r="R407" s="32"/>
      <c r="S407" s="32"/>
      <c r="U407" s="33"/>
      <c r="V407" s="33"/>
      <c r="AD407" s="32"/>
    </row>
    <row r="408" spans="5:30" x14ac:dyDescent="0.2">
      <c r="E408" s="30"/>
      <c r="F408" s="30"/>
      <c r="H408" s="31"/>
      <c r="I408" s="31"/>
      <c r="R408" s="32"/>
      <c r="S408" s="32"/>
      <c r="U408" s="33"/>
      <c r="V408" s="33"/>
      <c r="AD408" s="32"/>
    </row>
    <row r="409" spans="5:30" x14ac:dyDescent="0.2">
      <c r="E409" s="30"/>
      <c r="F409" s="30"/>
      <c r="H409" s="31"/>
      <c r="I409" s="31"/>
      <c r="R409" s="32"/>
      <c r="S409" s="32"/>
      <c r="U409" s="33"/>
      <c r="V409" s="33"/>
      <c r="AD409" s="32"/>
    </row>
    <row r="410" spans="5:30" x14ac:dyDescent="0.2">
      <c r="E410" s="30"/>
      <c r="F410" s="30"/>
      <c r="H410" s="31"/>
      <c r="I410" s="31"/>
      <c r="R410" s="32"/>
      <c r="S410" s="32"/>
      <c r="U410" s="33"/>
      <c r="V410" s="33"/>
      <c r="AD410" s="32"/>
    </row>
    <row r="411" spans="5:30" x14ac:dyDescent="0.2">
      <c r="E411" s="30"/>
      <c r="F411" s="30"/>
      <c r="H411" s="31"/>
      <c r="I411" s="31"/>
      <c r="R411" s="32"/>
      <c r="S411" s="32"/>
      <c r="U411" s="33"/>
      <c r="V411" s="33"/>
      <c r="AD411" s="32"/>
    </row>
    <row r="412" spans="5:30" x14ac:dyDescent="0.2">
      <c r="E412" s="30"/>
      <c r="F412" s="30"/>
      <c r="H412" s="31"/>
      <c r="I412" s="31"/>
      <c r="R412" s="32"/>
      <c r="S412" s="32"/>
      <c r="U412" s="33"/>
      <c r="V412" s="33"/>
      <c r="AD412" s="32"/>
    </row>
    <row r="413" spans="5:30" x14ac:dyDescent="0.2">
      <c r="E413" s="30"/>
      <c r="F413" s="30"/>
      <c r="H413" s="31"/>
      <c r="I413" s="31"/>
      <c r="R413" s="32"/>
      <c r="S413" s="32"/>
      <c r="U413" s="33"/>
      <c r="V413" s="33"/>
      <c r="AD413" s="32"/>
    </row>
    <row r="414" spans="5:30" x14ac:dyDescent="0.2">
      <c r="E414" s="30"/>
      <c r="F414" s="30"/>
      <c r="H414" s="31"/>
      <c r="I414" s="31"/>
      <c r="R414" s="32"/>
      <c r="S414" s="32"/>
      <c r="U414" s="33"/>
      <c r="V414" s="33"/>
      <c r="AD414" s="32"/>
    </row>
    <row r="415" spans="5:30" x14ac:dyDescent="0.2">
      <c r="E415" s="30"/>
      <c r="F415" s="30"/>
      <c r="H415" s="31"/>
      <c r="I415" s="31"/>
      <c r="R415" s="32"/>
      <c r="S415" s="32"/>
      <c r="U415" s="33"/>
      <c r="V415" s="33"/>
      <c r="AD415" s="32"/>
    </row>
    <row r="416" spans="5:30" x14ac:dyDescent="0.2">
      <c r="E416" s="30"/>
      <c r="F416" s="30"/>
      <c r="H416" s="31"/>
      <c r="I416" s="31"/>
      <c r="R416" s="32"/>
      <c r="S416" s="32"/>
      <c r="U416" s="33"/>
      <c r="V416" s="33"/>
      <c r="AD416" s="32"/>
    </row>
    <row r="417" spans="5:30" x14ac:dyDescent="0.2">
      <c r="E417" s="30"/>
      <c r="F417" s="30"/>
      <c r="H417" s="31"/>
      <c r="I417" s="31"/>
      <c r="R417" s="32"/>
      <c r="S417" s="32"/>
      <c r="U417" s="33"/>
      <c r="V417" s="33"/>
      <c r="AD417" s="32"/>
    </row>
    <row r="418" spans="5:30" x14ac:dyDescent="0.2">
      <c r="E418" s="30"/>
      <c r="F418" s="30"/>
      <c r="H418" s="31"/>
      <c r="I418" s="31"/>
      <c r="R418" s="32"/>
      <c r="S418" s="32"/>
      <c r="U418" s="33"/>
      <c r="V418" s="33"/>
      <c r="AD418" s="32"/>
    </row>
    <row r="419" spans="5:30" x14ac:dyDescent="0.2">
      <c r="E419" s="30"/>
      <c r="F419" s="30"/>
      <c r="H419" s="31"/>
      <c r="I419" s="31"/>
      <c r="R419" s="32"/>
      <c r="S419" s="32"/>
      <c r="U419" s="33"/>
      <c r="V419" s="33"/>
      <c r="AD419" s="32"/>
    </row>
    <row r="420" spans="5:30" x14ac:dyDescent="0.2">
      <c r="E420" s="30"/>
      <c r="F420" s="30"/>
      <c r="H420" s="31"/>
      <c r="I420" s="31"/>
      <c r="R420" s="32"/>
      <c r="S420" s="32"/>
      <c r="U420" s="33"/>
      <c r="V420" s="33"/>
      <c r="AD420" s="32"/>
    </row>
    <row r="421" spans="5:30" x14ac:dyDescent="0.2">
      <c r="E421" s="30"/>
      <c r="F421" s="30"/>
      <c r="H421" s="31"/>
      <c r="I421" s="31"/>
      <c r="R421" s="32"/>
      <c r="S421" s="32"/>
      <c r="U421" s="33"/>
      <c r="V421" s="33"/>
      <c r="AD421" s="32"/>
    </row>
    <row r="422" spans="5:30" x14ac:dyDescent="0.2">
      <c r="E422" s="30"/>
      <c r="F422" s="30"/>
      <c r="H422" s="31"/>
      <c r="I422" s="31"/>
      <c r="R422" s="32"/>
      <c r="S422" s="32"/>
      <c r="U422" s="33"/>
      <c r="V422" s="33"/>
      <c r="AD422" s="32"/>
    </row>
    <row r="423" spans="5:30" x14ac:dyDescent="0.2">
      <c r="E423" s="30"/>
      <c r="F423" s="30"/>
      <c r="H423" s="31"/>
      <c r="I423" s="31"/>
      <c r="R423" s="32"/>
      <c r="S423" s="32"/>
      <c r="U423" s="33"/>
      <c r="V423" s="33"/>
      <c r="AD423" s="32"/>
    </row>
    <row r="424" spans="5:30" x14ac:dyDescent="0.2">
      <c r="E424" s="30"/>
      <c r="F424" s="30"/>
      <c r="H424" s="31"/>
      <c r="I424" s="31"/>
      <c r="R424" s="32"/>
      <c r="S424" s="32"/>
      <c r="U424" s="33"/>
      <c r="V424" s="33"/>
      <c r="AD424" s="32"/>
    </row>
    <row r="425" spans="5:30" x14ac:dyDescent="0.2">
      <c r="E425" s="30"/>
      <c r="F425" s="30"/>
      <c r="H425" s="31"/>
      <c r="I425" s="31"/>
      <c r="R425" s="32"/>
      <c r="S425" s="32"/>
      <c r="U425" s="33"/>
      <c r="V425" s="33"/>
      <c r="AD425" s="32"/>
    </row>
    <row r="426" spans="5:30" x14ac:dyDescent="0.2">
      <c r="E426" s="30"/>
      <c r="F426" s="30"/>
      <c r="H426" s="31"/>
      <c r="I426" s="31"/>
      <c r="R426" s="32"/>
      <c r="S426" s="32"/>
      <c r="U426" s="33"/>
      <c r="V426" s="33"/>
      <c r="AD426" s="32"/>
    </row>
    <row r="427" spans="5:30" x14ac:dyDescent="0.2">
      <c r="E427" s="30"/>
      <c r="F427" s="30"/>
      <c r="H427" s="31"/>
      <c r="I427" s="31"/>
      <c r="R427" s="32"/>
      <c r="S427" s="32"/>
      <c r="U427" s="33"/>
      <c r="V427" s="33"/>
      <c r="AD427" s="32"/>
    </row>
    <row r="428" spans="5:30" x14ac:dyDescent="0.2">
      <c r="E428" s="30"/>
      <c r="F428" s="30"/>
      <c r="H428" s="31"/>
      <c r="I428" s="31"/>
      <c r="R428" s="32"/>
      <c r="S428" s="32"/>
      <c r="U428" s="33"/>
      <c r="V428" s="33"/>
      <c r="AD428" s="32"/>
    </row>
    <row r="429" spans="5:30" x14ac:dyDescent="0.2">
      <c r="E429" s="30"/>
      <c r="F429" s="30"/>
      <c r="H429" s="31"/>
      <c r="I429" s="31"/>
      <c r="R429" s="32"/>
      <c r="S429" s="32"/>
      <c r="U429" s="33"/>
      <c r="V429" s="33"/>
      <c r="AD429" s="32"/>
    </row>
    <row r="430" spans="5:30" x14ac:dyDescent="0.2">
      <c r="E430" s="30"/>
      <c r="F430" s="30"/>
      <c r="H430" s="31"/>
      <c r="I430" s="31"/>
      <c r="R430" s="32"/>
      <c r="S430" s="32"/>
      <c r="U430" s="33"/>
      <c r="V430" s="33"/>
      <c r="AD430" s="32"/>
    </row>
    <row r="431" spans="5:30" x14ac:dyDescent="0.2">
      <c r="E431" s="30"/>
      <c r="F431" s="30"/>
      <c r="H431" s="31"/>
      <c r="I431" s="31"/>
      <c r="R431" s="32"/>
      <c r="S431" s="32"/>
      <c r="U431" s="33"/>
      <c r="V431" s="33"/>
      <c r="AD431" s="32"/>
    </row>
    <row r="432" spans="5:30" x14ac:dyDescent="0.2">
      <c r="E432" s="30"/>
      <c r="F432" s="30"/>
      <c r="H432" s="31"/>
      <c r="I432" s="31"/>
      <c r="R432" s="32"/>
      <c r="S432" s="32"/>
      <c r="U432" s="33"/>
      <c r="V432" s="33"/>
      <c r="AD432" s="32"/>
    </row>
    <row r="433" spans="5:30" x14ac:dyDescent="0.2">
      <c r="E433" s="30"/>
      <c r="F433" s="30"/>
      <c r="H433" s="31"/>
      <c r="I433" s="31"/>
      <c r="R433" s="32"/>
      <c r="S433" s="32"/>
      <c r="U433" s="33"/>
      <c r="V433" s="33"/>
      <c r="AD433" s="32"/>
    </row>
    <row r="434" spans="5:30" x14ac:dyDescent="0.2">
      <c r="E434" s="30"/>
      <c r="F434" s="30"/>
      <c r="H434" s="31"/>
      <c r="I434" s="31"/>
      <c r="R434" s="32"/>
      <c r="S434" s="32"/>
      <c r="U434" s="33"/>
      <c r="V434" s="33"/>
      <c r="AD434" s="32"/>
    </row>
    <row r="435" spans="5:30" x14ac:dyDescent="0.2">
      <c r="E435" s="30"/>
      <c r="F435" s="30"/>
      <c r="H435" s="31"/>
      <c r="I435" s="31"/>
      <c r="R435" s="32"/>
      <c r="S435" s="32"/>
      <c r="U435" s="33"/>
      <c r="V435" s="33"/>
      <c r="AD435" s="32"/>
    </row>
    <row r="436" spans="5:30" x14ac:dyDescent="0.2">
      <c r="E436" s="30"/>
      <c r="F436" s="30"/>
      <c r="H436" s="31"/>
      <c r="I436" s="31"/>
      <c r="R436" s="32"/>
      <c r="S436" s="32"/>
      <c r="U436" s="33"/>
      <c r="V436" s="33"/>
      <c r="AD436" s="32"/>
    </row>
    <row r="437" spans="5:30" x14ac:dyDescent="0.2">
      <c r="E437" s="30"/>
      <c r="F437" s="30"/>
      <c r="H437" s="31"/>
      <c r="I437" s="31"/>
      <c r="R437" s="32"/>
      <c r="S437" s="32"/>
      <c r="U437" s="33"/>
      <c r="V437" s="33"/>
      <c r="AD437" s="32"/>
    </row>
    <row r="438" spans="5:30" x14ac:dyDescent="0.2">
      <c r="E438" s="30"/>
      <c r="F438" s="30"/>
      <c r="H438" s="31"/>
      <c r="I438" s="31"/>
      <c r="R438" s="32"/>
      <c r="S438" s="32"/>
      <c r="U438" s="33"/>
      <c r="V438" s="33"/>
      <c r="AD438" s="32"/>
    </row>
    <row r="439" spans="5:30" x14ac:dyDescent="0.2">
      <c r="E439" s="30"/>
      <c r="F439" s="30"/>
      <c r="H439" s="31"/>
      <c r="I439" s="31"/>
      <c r="R439" s="32"/>
      <c r="S439" s="32"/>
      <c r="U439" s="33"/>
      <c r="V439" s="33"/>
      <c r="AD439" s="32"/>
    </row>
    <row r="440" spans="5:30" x14ac:dyDescent="0.2">
      <c r="E440" s="30"/>
      <c r="F440" s="30"/>
      <c r="H440" s="31"/>
      <c r="I440" s="31"/>
      <c r="R440" s="32"/>
      <c r="S440" s="32"/>
      <c r="U440" s="33"/>
      <c r="V440" s="33"/>
      <c r="AD440" s="32"/>
    </row>
    <row r="441" spans="5:30" x14ac:dyDescent="0.2">
      <c r="E441" s="30"/>
      <c r="F441" s="30"/>
      <c r="H441" s="31"/>
      <c r="I441" s="31"/>
      <c r="R441" s="32"/>
      <c r="S441" s="32"/>
      <c r="U441" s="33"/>
      <c r="V441" s="33"/>
      <c r="AD441" s="32"/>
    </row>
    <row r="442" spans="5:30" x14ac:dyDescent="0.2">
      <c r="E442" s="30"/>
      <c r="F442" s="30"/>
      <c r="H442" s="31"/>
      <c r="I442" s="31"/>
      <c r="R442" s="32"/>
      <c r="S442" s="32"/>
      <c r="U442" s="33"/>
      <c r="V442" s="33"/>
      <c r="AD442" s="32"/>
    </row>
    <row r="443" spans="5:30" x14ac:dyDescent="0.2">
      <c r="E443" s="30"/>
      <c r="F443" s="30"/>
      <c r="H443" s="31"/>
      <c r="I443" s="31"/>
      <c r="R443" s="32"/>
      <c r="S443" s="32"/>
      <c r="U443" s="33"/>
      <c r="V443" s="33"/>
      <c r="AD443" s="32"/>
    </row>
    <row r="444" spans="5:30" x14ac:dyDescent="0.2">
      <c r="E444" s="30"/>
      <c r="F444" s="30"/>
      <c r="H444" s="31"/>
      <c r="I444" s="31"/>
      <c r="R444" s="32"/>
      <c r="S444" s="32"/>
      <c r="U444" s="33"/>
      <c r="V444" s="33"/>
      <c r="AD444" s="32"/>
    </row>
    <row r="445" spans="5:30" x14ac:dyDescent="0.2">
      <c r="E445" s="30"/>
      <c r="F445" s="30"/>
      <c r="H445" s="31"/>
      <c r="I445" s="31"/>
      <c r="R445" s="32"/>
      <c r="S445" s="32"/>
      <c r="U445" s="33"/>
      <c r="V445" s="33"/>
      <c r="AD445" s="32"/>
    </row>
    <row r="446" spans="5:30" x14ac:dyDescent="0.2">
      <c r="E446" s="30"/>
      <c r="F446" s="30"/>
      <c r="H446" s="31"/>
      <c r="I446" s="31"/>
      <c r="R446" s="32"/>
      <c r="S446" s="32"/>
      <c r="U446" s="33"/>
      <c r="V446" s="33"/>
      <c r="AD446" s="32"/>
    </row>
    <row r="447" spans="5:30" x14ac:dyDescent="0.2">
      <c r="E447" s="30"/>
      <c r="F447" s="30"/>
      <c r="H447" s="31"/>
      <c r="I447" s="31"/>
      <c r="R447" s="32"/>
      <c r="S447" s="32"/>
      <c r="U447" s="33"/>
      <c r="V447" s="33"/>
      <c r="AD447" s="32"/>
    </row>
    <row r="448" spans="5:30" x14ac:dyDescent="0.2">
      <c r="E448" s="30"/>
      <c r="F448" s="30"/>
      <c r="H448" s="31"/>
      <c r="I448" s="31"/>
      <c r="R448" s="32"/>
      <c r="S448" s="32"/>
      <c r="U448" s="33"/>
      <c r="V448" s="33"/>
      <c r="AD448" s="32"/>
    </row>
    <row r="449" spans="5:40" x14ac:dyDescent="0.2">
      <c r="E449" s="30"/>
      <c r="F449" s="30"/>
      <c r="H449" s="31"/>
      <c r="I449" s="31"/>
      <c r="R449" s="32"/>
      <c r="S449" s="32"/>
      <c r="U449" s="33"/>
      <c r="V449" s="33"/>
      <c r="AD449" s="32"/>
    </row>
    <row r="450" spans="5:40" x14ac:dyDescent="0.2">
      <c r="E450" s="30"/>
      <c r="F450" s="30"/>
      <c r="H450" s="31"/>
      <c r="I450" s="31"/>
      <c r="R450" s="32"/>
      <c r="S450" s="32"/>
      <c r="U450" s="33"/>
      <c r="V450" s="33"/>
      <c r="AD450" s="32"/>
    </row>
    <row r="451" spans="5:40" x14ac:dyDescent="0.2">
      <c r="E451" s="30"/>
      <c r="F451" s="30"/>
      <c r="H451" s="31"/>
      <c r="I451" s="31"/>
      <c r="R451" s="32"/>
      <c r="S451" s="32"/>
      <c r="U451" s="33"/>
      <c r="V451" s="33"/>
      <c r="AD451" s="32"/>
    </row>
    <row r="452" spans="5:40" x14ac:dyDescent="0.2">
      <c r="E452" s="30"/>
      <c r="F452" s="30"/>
      <c r="H452" s="31"/>
      <c r="I452" s="31"/>
      <c r="R452" s="32"/>
      <c r="S452" s="32"/>
      <c r="U452" s="33"/>
      <c r="V452" s="33"/>
      <c r="AD452" s="32"/>
    </row>
    <row r="453" spans="5:40" x14ac:dyDescent="0.2">
      <c r="E453" s="30"/>
      <c r="F453" s="30"/>
      <c r="H453" s="31"/>
      <c r="I453" s="31"/>
      <c r="R453" s="32"/>
      <c r="S453" s="32"/>
      <c r="U453" s="33"/>
      <c r="V453" s="33"/>
      <c r="AD453" s="32"/>
    </row>
    <row r="454" spans="5:40" x14ac:dyDescent="0.2">
      <c r="E454" s="30"/>
      <c r="F454" s="30"/>
      <c r="H454" s="31"/>
      <c r="I454" s="31"/>
      <c r="R454" s="32"/>
      <c r="S454" s="32"/>
      <c r="U454" s="33"/>
      <c r="V454" s="33"/>
      <c r="AD454" s="32"/>
    </row>
    <row r="455" spans="5:40" x14ac:dyDescent="0.2">
      <c r="E455" s="30"/>
      <c r="F455" s="30"/>
      <c r="H455" s="31"/>
      <c r="I455" s="31"/>
      <c r="R455" s="32"/>
      <c r="S455" s="32"/>
      <c r="U455" s="33"/>
      <c r="V455" s="33"/>
      <c r="AD455" s="32"/>
    </row>
    <row r="456" spans="5:40" x14ac:dyDescent="0.2">
      <c r="E456" s="30"/>
      <c r="F456" s="30"/>
      <c r="G456" s="32"/>
      <c r="H456" s="31"/>
      <c r="I456" s="31"/>
      <c r="J456" s="32"/>
      <c r="K456" s="32"/>
      <c r="N456" s="32"/>
      <c r="O456" s="32"/>
      <c r="P456" s="32"/>
      <c r="Q456" s="119"/>
      <c r="R456" s="32"/>
      <c r="S456" s="32"/>
      <c r="T456" s="32"/>
      <c r="U456" s="32"/>
      <c r="V456" s="32"/>
      <c r="AD456" s="32"/>
      <c r="AE456" s="32"/>
      <c r="AF456" s="32"/>
      <c r="AG456" s="32"/>
      <c r="AH456" s="32"/>
      <c r="AJ456" s="32"/>
      <c r="AK456" s="32"/>
      <c r="AL456" s="32"/>
      <c r="AM456" s="32"/>
      <c r="AN456" s="32"/>
    </row>
    <row r="457" spans="5:40" x14ac:dyDescent="0.2">
      <c r="E457" s="30"/>
      <c r="F457" s="30"/>
      <c r="H457" s="31"/>
      <c r="I457" s="31"/>
      <c r="R457" s="32"/>
      <c r="S457" s="32"/>
      <c r="U457" s="33"/>
      <c r="V457" s="33"/>
      <c r="AD457" s="32"/>
    </row>
    <row r="458" spans="5:40" x14ac:dyDescent="0.2">
      <c r="E458" s="30"/>
      <c r="F458" s="30"/>
      <c r="H458" s="31"/>
      <c r="I458" s="31"/>
      <c r="R458" s="32"/>
      <c r="S458" s="32"/>
      <c r="U458" s="33"/>
      <c r="V458" s="33"/>
      <c r="AD458" s="32"/>
    </row>
    <row r="459" spans="5:40" x14ac:dyDescent="0.2">
      <c r="E459" s="30"/>
      <c r="F459" s="30"/>
      <c r="H459" s="31"/>
      <c r="I459" s="31"/>
      <c r="R459" s="32"/>
      <c r="S459" s="32"/>
      <c r="U459" s="33"/>
      <c r="V459" s="33"/>
      <c r="AD459" s="32"/>
    </row>
    <row r="460" spans="5:40" x14ac:dyDescent="0.2">
      <c r="E460" s="30"/>
      <c r="F460" s="30"/>
      <c r="H460" s="31"/>
      <c r="I460" s="31"/>
      <c r="R460" s="32"/>
      <c r="S460" s="32"/>
      <c r="U460" s="33"/>
      <c r="V460" s="33"/>
      <c r="AD460" s="32"/>
    </row>
    <row r="461" spans="5:40" x14ac:dyDescent="0.2">
      <c r="E461" s="30"/>
      <c r="F461" s="30"/>
      <c r="H461" s="31"/>
      <c r="I461" s="31"/>
      <c r="R461" s="32"/>
      <c r="S461" s="32"/>
      <c r="U461" s="33"/>
      <c r="V461" s="33"/>
      <c r="AD461" s="32"/>
    </row>
    <row r="462" spans="5:40" x14ac:dyDescent="0.2">
      <c r="E462" s="30"/>
      <c r="F462" s="30"/>
      <c r="H462" s="31"/>
      <c r="I462" s="31"/>
      <c r="R462" s="32"/>
      <c r="S462" s="32"/>
      <c r="U462" s="33"/>
      <c r="V462" s="33"/>
      <c r="AD462" s="32"/>
    </row>
    <row r="463" spans="5:40" x14ac:dyDescent="0.2">
      <c r="E463" s="30"/>
      <c r="F463" s="30"/>
      <c r="H463" s="31"/>
      <c r="I463" s="31"/>
      <c r="R463" s="32"/>
      <c r="S463" s="32"/>
      <c r="U463" s="33"/>
      <c r="V463" s="33"/>
      <c r="AD463" s="32"/>
    </row>
    <row r="464" spans="5:40" x14ac:dyDescent="0.2">
      <c r="E464" s="30"/>
      <c r="F464" s="30"/>
      <c r="H464" s="31"/>
      <c r="I464" s="31"/>
      <c r="R464" s="32"/>
      <c r="S464" s="32"/>
      <c r="U464" s="33"/>
      <c r="V464" s="33"/>
      <c r="AD464" s="32"/>
    </row>
    <row r="465" spans="5:30" x14ac:dyDescent="0.2">
      <c r="E465" s="30"/>
      <c r="F465" s="30"/>
      <c r="H465" s="31"/>
      <c r="I465" s="31"/>
      <c r="R465" s="32"/>
      <c r="S465" s="32"/>
      <c r="U465" s="33"/>
      <c r="V465" s="33"/>
      <c r="AD465" s="32"/>
    </row>
    <row r="466" spans="5:30" x14ac:dyDescent="0.2">
      <c r="E466" s="30"/>
      <c r="F466" s="30"/>
      <c r="H466" s="31"/>
      <c r="I466" s="31"/>
      <c r="R466" s="32"/>
      <c r="S466" s="32"/>
      <c r="U466" s="33"/>
      <c r="V466" s="33"/>
      <c r="AD466" s="32"/>
    </row>
    <row r="467" spans="5:30" x14ac:dyDescent="0.2">
      <c r="E467" s="30"/>
      <c r="F467" s="30"/>
      <c r="H467" s="31"/>
      <c r="I467" s="31"/>
      <c r="R467" s="32"/>
      <c r="S467" s="32"/>
      <c r="U467" s="33"/>
      <c r="V467" s="33"/>
      <c r="AD467" s="32"/>
    </row>
    <row r="468" spans="5:30" x14ac:dyDescent="0.2">
      <c r="E468" s="30"/>
      <c r="F468" s="30"/>
      <c r="H468" s="31"/>
      <c r="I468" s="31"/>
      <c r="R468" s="32"/>
      <c r="S468" s="32"/>
      <c r="U468" s="33"/>
      <c r="V468" s="33"/>
      <c r="AD468" s="32"/>
    </row>
    <row r="469" spans="5:30" x14ac:dyDescent="0.2">
      <c r="E469" s="30"/>
      <c r="F469" s="30"/>
      <c r="H469" s="31"/>
      <c r="I469" s="31"/>
      <c r="R469" s="32"/>
      <c r="S469" s="32"/>
      <c r="U469" s="33"/>
      <c r="V469" s="33"/>
      <c r="AD469" s="32"/>
    </row>
    <row r="470" spans="5:30" x14ac:dyDescent="0.2">
      <c r="E470" s="30"/>
      <c r="F470" s="30"/>
      <c r="H470" s="31"/>
      <c r="I470" s="31"/>
      <c r="R470" s="32"/>
      <c r="S470" s="32"/>
      <c r="U470" s="33"/>
      <c r="V470" s="33"/>
      <c r="AD470" s="32"/>
    </row>
    <row r="471" spans="5:30" x14ac:dyDescent="0.2">
      <c r="E471" s="30"/>
      <c r="F471" s="30"/>
      <c r="H471" s="31"/>
      <c r="I471" s="31"/>
      <c r="R471" s="32"/>
      <c r="S471" s="32"/>
      <c r="U471" s="33"/>
      <c r="V471" s="33"/>
      <c r="AD471" s="32"/>
    </row>
    <row r="472" spans="5:30" x14ac:dyDescent="0.2">
      <c r="E472" s="30"/>
      <c r="F472" s="30"/>
      <c r="H472" s="31"/>
      <c r="I472" s="31"/>
      <c r="R472" s="32"/>
      <c r="S472" s="32"/>
      <c r="U472" s="33"/>
      <c r="V472" s="33"/>
      <c r="AD472" s="32"/>
    </row>
    <row r="473" spans="5:30" x14ac:dyDescent="0.2">
      <c r="E473" s="30"/>
      <c r="F473" s="30"/>
      <c r="H473" s="31"/>
      <c r="I473" s="31"/>
      <c r="R473" s="32"/>
      <c r="S473" s="32"/>
      <c r="U473" s="33"/>
      <c r="V473" s="33"/>
      <c r="AD473" s="32"/>
    </row>
    <row r="474" spans="5:30" x14ac:dyDescent="0.2">
      <c r="E474" s="30"/>
      <c r="F474" s="30"/>
      <c r="H474" s="31"/>
      <c r="I474" s="31"/>
      <c r="R474" s="32"/>
      <c r="S474" s="32"/>
      <c r="U474" s="33"/>
      <c r="V474" s="33"/>
      <c r="AD474" s="32"/>
    </row>
    <row r="475" spans="5:30" x14ac:dyDescent="0.2">
      <c r="E475" s="30"/>
      <c r="F475" s="30"/>
      <c r="H475" s="31"/>
      <c r="I475" s="31"/>
      <c r="R475" s="32"/>
      <c r="S475" s="32"/>
      <c r="U475" s="33"/>
      <c r="V475" s="33"/>
      <c r="AD475" s="32"/>
    </row>
    <row r="476" spans="5:30" x14ac:dyDescent="0.2">
      <c r="E476" s="30"/>
      <c r="F476" s="30"/>
      <c r="H476" s="31"/>
      <c r="I476" s="31"/>
      <c r="R476" s="32"/>
      <c r="S476" s="32"/>
      <c r="U476" s="33"/>
      <c r="V476" s="33"/>
      <c r="AD476" s="32"/>
    </row>
    <row r="477" spans="5:30" x14ac:dyDescent="0.2">
      <c r="E477" s="30"/>
      <c r="F477" s="30"/>
      <c r="H477" s="31"/>
      <c r="I477" s="31"/>
      <c r="R477" s="32"/>
      <c r="S477" s="32"/>
      <c r="U477" s="33"/>
      <c r="V477" s="33"/>
      <c r="AD477" s="32"/>
    </row>
    <row r="478" spans="5:30" x14ac:dyDescent="0.2">
      <c r="E478" s="30"/>
      <c r="F478" s="30"/>
      <c r="H478" s="31"/>
      <c r="I478" s="31"/>
      <c r="R478" s="32"/>
      <c r="S478" s="32"/>
      <c r="U478" s="33"/>
      <c r="V478" s="33"/>
      <c r="AD478" s="32"/>
    </row>
    <row r="479" spans="5:30" x14ac:dyDescent="0.2">
      <c r="E479" s="30"/>
      <c r="F479" s="30"/>
      <c r="H479" s="31"/>
      <c r="I479" s="31"/>
      <c r="R479" s="32"/>
      <c r="S479" s="32"/>
      <c r="U479" s="33"/>
      <c r="V479" s="33"/>
      <c r="AD479" s="32"/>
    </row>
    <row r="480" spans="5:30" x14ac:dyDescent="0.2">
      <c r="E480" s="30"/>
      <c r="F480" s="30"/>
      <c r="H480" s="31"/>
      <c r="I480" s="31"/>
      <c r="R480" s="32"/>
      <c r="S480" s="32"/>
      <c r="U480" s="33"/>
      <c r="V480" s="33"/>
      <c r="AD480" s="32"/>
    </row>
    <row r="481" spans="5:40" x14ac:dyDescent="0.2">
      <c r="E481" s="30"/>
      <c r="F481" s="30"/>
      <c r="H481" s="31"/>
      <c r="I481" s="31"/>
      <c r="R481" s="32"/>
      <c r="S481" s="32"/>
      <c r="U481" s="33"/>
      <c r="V481" s="33"/>
      <c r="AD481" s="32"/>
    </row>
    <row r="482" spans="5:40" x14ac:dyDescent="0.2">
      <c r="E482" s="30"/>
      <c r="F482" s="30"/>
      <c r="H482" s="31"/>
      <c r="I482" s="31"/>
      <c r="R482" s="32"/>
      <c r="S482" s="32"/>
      <c r="U482" s="33"/>
      <c r="V482" s="33"/>
      <c r="AD482" s="32"/>
    </row>
    <row r="483" spans="5:40" x14ac:dyDescent="0.2">
      <c r="E483" s="30"/>
      <c r="F483" s="30"/>
      <c r="H483" s="31"/>
      <c r="I483" s="31"/>
      <c r="R483" s="32"/>
      <c r="S483" s="32"/>
      <c r="U483" s="33"/>
      <c r="V483" s="33"/>
      <c r="AD483" s="32"/>
    </row>
    <row r="484" spans="5:40" x14ac:dyDescent="0.2">
      <c r="E484" s="30"/>
      <c r="F484" s="30"/>
      <c r="H484" s="31"/>
      <c r="I484" s="31"/>
      <c r="R484" s="32"/>
      <c r="S484" s="32"/>
      <c r="U484" s="33"/>
      <c r="V484" s="33"/>
      <c r="AD484" s="32"/>
    </row>
    <row r="485" spans="5:40" x14ac:dyDescent="0.2">
      <c r="E485" s="30"/>
      <c r="F485" s="30"/>
      <c r="H485" s="31"/>
      <c r="I485" s="31"/>
      <c r="R485" s="32"/>
      <c r="S485" s="32"/>
      <c r="U485" s="33"/>
      <c r="V485" s="33"/>
      <c r="AD485" s="32"/>
    </row>
    <row r="486" spans="5:40" x14ac:dyDescent="0.2">
      <c r="E486" s="30"/>
      <c r="F486" s="30"/>
      <c r="G486" s="32"/>
      <c r="H486" s="31"/>
      <c r="I486" s="31"/>
      <c r="J486" s="32"/>
      <c r="K486" s="32"/>
      <c r="N486" s="32"/>
      <c r="O486" s="32"/>
      <c r="P486" s="32"/>
      <c r="Q486" s="119"/>
      <c r="R486" s="32"/>
      <c r="S486" s="32"/>
      <c r="T486" s="32"/>
      <c r="U486" s="32"/>
      <c r="V486" s="32"/>
      <c r="AD486" s="32"/>
      <c r="AE486" s="32"/>
      <c r="AF486" s="32"/>
      <c r="AG486" s="32"/>
      <c r="AH486" s="32"/>
      <c r="AJ486" s="32"/>
      <c r="AK486" s="32"/>
      <c r="AL486" s="32"/>
      <c r="AM486" s="32"/>
      <c r="AN486" s="32"/>
    </row>
    <row r="487" spans="5:40" x14ac:dyDescent="0.2">
      <c r="E487" s="30"/>
      <c r="F487" s="30"/>
      <c r="H487" s="31"/>
      <c r="I487" s="31"/>
      <c r="R487" s="32"/>
      <c r="S487" s="32"/>
      <c r="U487" s="33"/>
      <c r="V487" s="33"/>
      <c r="AD487" s="32"/>
    </row>
    <row r="488" spans="5:40" x14ac:dyDescent="0.2">
      <c r="E488" s="30"/>
      <c r="F488" s="30"/>
      <c r="H488" s="31"/>
      <c r="I488" s="31"/>
      <c r="R488" s="32"/>
      <c r="S488" s="32"/>
      <c r="U488" s="33"/>
      <c r="V488" s="33"/>
      <c r="AD488" s="32"/>
    </row>
    <row r="489" spans="5:40" x14ac:dyDescent="0.2">
      <c r="E489" s="30"/>
      <c r="F489" s="30"/>
      <c r="H489" s="31"/>
      <c r="I489" s="31"/>
      <c r="R489" s="32"/>
      <c r="S489" s="32"/>
      <c r="U489" s="33"/>
      <c r="V489" s="33"/>
      <c r="AD489" s="32"/>
    </row>
    <row r="490" spans="5:40" x14ac:dyDescent="0.2">
      <c r="E490" s="30"/>
      <c r="F490" s="30"/>
      <c r="H490" s="31"/>
      <c r="I490" s="31"/>
      <c r="R490" s="32"/>
      <c r="S490" s="32"/>
      <c r="U490" s="33"/>
      <c r="V490" s="33"/>
      <c r="AD490" s="32"/>
    </row>
    <row r="491" spans="5:40" x14ac:dyDescent="0.2">
      <c r="E491" s="30"/>
      <c r="F491" s="30"/>
      <c r="H491" s="31"/>
      <c r="I491" s="31"/>
      <c r="R491" s="32"/>
      <c r="S491" s="32"/>
      <c r="U491" s="33"/>
      <c r="V491" s="33"/>
      <c r="AD491" s="32"/>
    </row>
    <row r="492" spans="5:40" x14ac:dyDescent="0.2">
      <c r="E492" s="30"/>
      <c r="F492" s="30"/>
      <c r="H492" s="31"/>
      <c r="I492" s="31"/>
      <c r="R492" s="32"/>
      <c r="S492" s="32"/>
      <c r="U492" s="33"/>
      <c r="V492" s="33"/>
      <c r="AD492" s="32"/>
    </row>
    <row r="493" spans="5:40" x14ac:dyDescent="0.2">
      <c r="E493" s="30"/>
      <c r="F493" s="30"/>
      <c r="H493" s="31"/>
      <c r="I493" s="31"/>
      <c r="R493" s="32"/>
      <c r="S493" s="32"/>
      <c r="U493" s="33"/>
      <c r="V493" s="33"/>
      <c r="AD493" s="32"/>
    </row>
    <row r="494" spans="5:40" x14ac:dyDescent="0.2">
      <c r="E494" s="30"/>
      <c r="F494" s="30"/>
      <c r="H494" s="31"/>
      <c r="I494" s="31"/>
      <c r="R494" s="32"/>
      <c r="S494" s="32"/>
      <c r="U494" s="33"/>
      <c r="V494" s="33"/>
      <c r="AD494" s="32"/>
    </row>
    <row r="495" spans="5:40" x14ac:dyDescent="0.2">
      <c r="E495" s="30"/>
      <c r="F495" s="30"/>
      <c r="H495" s="31"/>
      <c r="I495" s="31"/>
      <c r="R495" s="32"/>
      <c r="S495" s="32"/>
      <c r="U495" s="33"/>
      <c r="V495" s="33"/>
      <c r="AD495" s="32"/>
    </row>
    <row r="496" spans="5:40" x14ac:dyDescent="0.2">
      <c r="E496" s="30"/>
      <c r="F496" s="30"/>
      <c r="H496" s="31"/>
      <c r="I496" s="31"/>
      <c r="R496" s="32"/>
      <c r="S496" s="32"/>
      <c r="U496" s="33"/>
      <c r="V496" s="33"/>
      <c r="AD496" s="32"/>
    </row>
    <row r="497" spans="5:30" x14ac:dyDescent="0.2">
      <c r="E497" s="30"/>
      <c r="F497" s="30"/>
      <c r="H497" s="31"/>
      <c r="I497" s="31"/>
      <c r="R497" s="32"/>
      <c r="S497" s="32"/>
      <c r="U497" s="33"/>
      <c r="V497" s="33"/>
      <c r="AD497" s="32"/>
    </row>
    <row r="498" spans="5:30" x14ac:dyDescent="0.2">
      <c r="E498" s="30"/>
      <c r="F498" s="30"/>
      <c r="H498" s="31"/>
      <c r="I498" s="31"/>
      <c r="R498" s="32"/>
      <c r="S498" s="32"/>
      <c r="U498" s="33"/>
      <c r="V498" s="33"/>
      <c r="AD498" s="32"/>
    </row>
    <row r="499" spans="5:30" x14ac:dyDescent="0.2">
      <c r="E499" s="30"/>
      <c r="F499" s="30"/>
      <c r="H499" s="31"/>
      <c r="I499" s="31"/>
      <c r="R499" s="32"/>
      <c r="S499" s="32"/>
      <c r="U499" s="33"/>
      <c r="V499" s="33"/>
      <c r="AD499" s="32"/>
    </row>
    <row r="500" spans="5:30" x14ac:dyDescent="0.2">
      <c r="E500" s="30"/>
      <c r="F500" s="30"/>
      <c r="H500" s="31"/>
      <c r="I500" s="31"/>
      <c r="R500" s="32"/>
      <c r="S500" s="32"/>
      <c r="U500" s="33"/>
      <c r="V500" s="33"/>
      <c r="AD500" s="32"/>
    </row>
    <row r="501" spans="5:30" x14ac:dyDescent="0.2">
      <c r="E501" s="30"/>
      <c r="F501" s="30"/>
      <c r="H501" s="31"/>
      <c r="I501" s="31"/>
      <c r="R501" s="32"/>
      <c r="S501" s="32"/>
      <c r="U501" s="33"/>
      <c r="V501" s="33"/>
      <c r="AD501" s="32"/>
    </row>
    <row r="502" spans="5:30" x14ac:dyDescent="0.2">
      <c r="E502" s="30"/>
      <c r="F502" s="30"/>
      <c r="H502" s="31"/>
      <c r="I502" s="31"/>
      <c r="R502" s="32"/>
      <c r="S502" s="32"/>
      <c r="U502" s="33"/>
      <c r="V502" s="33"/>
      <c r="AD502" s="32"/>
    </row>
    <row r="503" spans="5:30" x14ac:dyDescent="0.2">
      <c r="E503" s="30"/>
      <c r="F503" s="30"/>
      <c r="H503" s="31"/>
      <c r="I503" s="31"/>
      <c r="R503" s="32"/>
      <c r="S503" s="32"/>
      <c r="U503" s="33"/>
      <c r="V503" s="33"/>
      <c r="AD503" s="32"/>
    </row>
    <row r="504" spans="5:30" x14ac:dyDescent="0.2">
      <c r="E504" s="30"/>
      <c r="F504" s="30"/>
      <c r="H504" s="31"/>
      <c r="I504" s="31"/>
      <c r="R504" s="32"/>
      <c r="S504" s="32"/>
      <c r="U504" s="33"/>
      <c r="V504" s="33"/>
      <c r="AD504" s="32"/>
    </row>
    <row r="505" spans="5:30" x14ac:dyDescent="0.2">
      <c r="E505" s="30"/>
      <c r="F505" s="30"/>
      <c r="H505" s="31"/>
      <c r="I505" s="31"/>
      <c r="R505" s="32"/>
      <c r="S505" s="32"/>
      <c r="U505" s="33"/>
      <c r="V505" s="33"/>
      <c r="AD505" s="32"/>
    </row>
    <row r="506" spans="5:30" x14ac:dyDescent="0.2">
      <c r="E506" s="30"/>
      <c r="F506" s="30"/>
      <c r="H506" s="31"/>
      <c r="I506" s="31"/>
      <c r="R506" s="32"/>
      <c r="S506" s="32"/>
      <c r="U506" s="33"/>
      <c r="V506" s="33"/>
      <c r="AD506" s="32"/>
    </row>
    <row r="507" spans="5:30" x14ac:dyDescent="0.2">
      <c r="E507" s="30"/>
      <c r="F507" s="30"/>
      <c r="H507" s="31"/>
      <c r="I507" s="31"/>
      <c r="R507" s="32"/>
      <c r="S507" s="32"/>
      <c r="U507" s="33"/>
      <c r="V507" s="33"/>
      <c r="AD507" s="32"/>
    </row>
    <row r="508" spans="5:30" x14ac:dyDescent="0.2">
      <c r="E508" s="30"/>
      <c r="F508" s="30"/>
      <c r="H508" s="31"/>
      <c r="I508" s="31"/>
      <c r="R508" s="32"/>
      <c r="S508" s="32"/>
      <c r="U508" s="33"/>
      <c r="V508" s="33"/>
      <c r="AD508" s="32"/>
    </row>
    <row r="509" spans="5:30" x14ac:dyDescent="0.2">
      <c r="E509" s="30"/>
      <c r="F509" s="30"/>
      <c r="H509" s="31"/>
      <c r="I509" s="31"/>
      <c r="R509" s="32"/>
      <c r="S509" s="32"/>
      <c r="U509" s="33"/>
      <c r="V509" s="33"/>
      <c r="AD509" s="32"/>
    </row>
    <row r="510" spans="5:30" x14ac:dyDescent="0.2">
      <c r="E510" s="30"/>
      <c r="F510" s="30"/>
      <c r="H510" s="31"/>
      <c r="I510" s="31"/>
      <c r="R510" s="32"/>
      <c r="S510" s="32"/>
      <c r="U510" s="33"/>
      <c r="V510" s="33"/>
      <c r="AD510" s="32"/>
    </row>
    <row r="511" spans="5:30" x14ac:dyDescent="0.2">
      <c r="E511" s="30"/>
      <c r="F511" s="30"/>
      <c r="H511" s="31"/>
      <c r="I511" s="31"/>
      <c r="R511" s="32"/>
      <c r="S511" s="32"/>
      <c r="U511" s="33"/>
      <c r="V511" s="33"/>
      <c r="AD511" s="32"/>
    </row>
    <row r="512" spans="5:30" x14ac:dyDescent="0.2">
      <c r="E512" s="30"/>
      <c r="F512" s="30"/>
      <c r="H512" s="31"/>
      <c r="I512" s="31"/>
      <c r="R512" s="32"/>
      <c r="S512" s="32"/>
      <c r="U512" s="33"/>
      <c r="V512" s="33"/>
      <c r="AD512" s="32"/>
    </row>
    <row r="513" spans="5:30" x14ac:dyDescent="0.2">
      <c r="E513" s="30"/>
      <c r="F513" s="30"/>
      <c r="H513" s="31"/>
      <c r="I513" s="31"/>
      <c r="R513" s="32"/>
      <c r="S513" s="32"/>
      <c r="U513" s="33"/>
      <c r="V513" s="33"/>
      <c r="AD513" s="32"/>
    </row>
    <row r="514" spans="5:30" x14ac:dyDescent="0.2">
      <c r="E514" s="30"/>
      <c r="F514" s="30"/>
      <c r="H514" s="31"/>
      <c r="I514" s="31"/>
      <c r="R514" s="32"/>
      <c r="S514" s="32"/>
      <c r="U514" s="33"/>
      <c r="V514" s="33"/>
      <c r="AD514" s="32"/>
    </row>
    <row r="515" spans="5:30" x14ac:dyDescent="0.2">
      <c r="E515" s="30"/>
      <c r="F515" s="30"/>
      <c r="H515" s="31"/>
      <c r="I515" s="31"/>
      <c r="R515" s="32"/>
      <c r="S515" s="32"/>
      <c r="U515" s="33"/>
      <c r="V515" s="33"/>
      <c r="AD515" s="32"/>
    </row>
    <row r="516" spans="5:30" x14ac:dyDescent="0.2">
      <c r="E516" s="30"/>
      <c r="F516" s="30"/>
      <c r="H516" s="31"/>
      <c r="I516" s="31"/>
      <c r="R516" s="32"/>
      <c r="S516" s="32"/>
      <c r="U516" s="33"/>
      <c r="V516" s="33"/>
      <c r="AD516" s="32"/>
    </row>
    <row r="517" spans="5:30" x14ac:dyDescent="0.2">
      <c r="E517" s="30"/>
      <c r="F517" s="30"/>
      <c r="H517" s="31"/>
      <c r="I517" s="31"/>
      <c r="R517" s="32"/>
      <c r="S517" s="32"/>
      <c r="U517" s="33"/>
      <c r="V517" s="33"/>
      <c r="AD517" s="32"/>
    </row>
    <row r="518" spans="5:30" x14ac:dyDescent="0.2">
      <c r="E518" s="30"/>
      <c r="F518" s="30"/>
      <c r="H518" s="31"/>
      <c r="I518" s="31"/>
      <c r="R518" s="32"/>
      <c r="S518" s="32"/>
      <c r="U518" s="33"/>
      <c r="V518" s="33"/>
      <c r="AD518" s="32"/>
    </row>
    <row r="519" spans="5:30" x14ac:dyDescent="0.2">
      <c r="E519" s="30"/>
      <c r="F519" s="30"/>
      <c r="H519" s="31"/>
      <c r="I519" s="31"/>
      <c r="R519" s="32"/>
      <c r="S519" s="32"/>
      <c r="U519" s="33"/>
      <c r="V519" s="33"/>
      <c r="AD519" s="32"/>
    </row>
    <row r="520" spans="5:30" x14ac:dyDescent="0.2">
      <c r="E520" s="30"/>
      <c r="F520" s="30"/>
      <c r="H520" s="31"/>
      <c r="I520" s="31"/>
      <c r="R520" s="32"/>
      <c r="S520" s="32"/>
      <c r="U520" s="33"/>
      <c r="V520" s="33"/>
      <c r="AD520" s="32"/>
    </row>
    <row r="521" spans="5:30" x14ac:dyDescent="0.2">
      <c r="E521" s="30"/>
      <c r="F521" s="30"/>
      <c r="H521" s="31"/>
      <c r="I521" s="31"/>
      <c r="R521" s="32"/>
      <c r="S521" s="32"/>
      <c r="U521" s="33"/>
      <c r="V521" s="33"/>
      <c r="AD521" s="32"/>
    </row>
    <row r="522" spans="5:30" x14ac:dyDescent="0.2">
      <c r="E522" s="30"/>
      <c r="F522" s="30"/>
      <c r="H522" s="31"/>
      <c r="I522" s="31"/>
      <c r="R522" s="32"/>
      <c r="S522" s="32"/>
      <c r="U522" s="33"/>
      <c r="V522" s="33"/>
      <c r="AD522" s="32"/>
    </row>
    <row r="523" spans="5:30" x14ac:dyDescent="0.2">
      <c r="E523" s="30"/>
      <c r="F523" s="30"/>
      <c r="H523" s="31"/>
      <c r="I523" s="31"/>
      <c r="R523" s="32"/>
      <c r="S523" s="32"/>
      <c r="U523" s="33"/>
      <c r="V523" s="33"/>
      <c r="AD523" s="32"/>
    </row>
    <row r="524" spans="5:30" x14ac:dyDescent="0.2">
      <c r="E524" s="30"/>
      <c r="F524" s="30"/>
      <c r="H524" s="31"/>
      <c r="I524" s="31"/>
      <c r="R524" s="32"/>
      <c r="S524" s="32"/>
      <c r="U524" s="33"/>
      <c r="V524" s="33"/>
      <c r="AD524" s="32"/>
    </row>
    <row r="525" spans="5:30" x14ac:dyDescent="0.2">
      <c r="E525" s="30"/>
      <c r="F525" s="30"/>
      <c r="H525" s="31"/>
      <c r="I525" s="31"/>
      <c r="R525" s="32"/>
      <c r="S525" s="32"/>
      <c r="U525" s="33"/>
      <c r="V525" s="33"/>
      <c r="AD525" s="32"/>
    </row>
    <row r="526" spans="5:30" x14ac:dyDescent="0.2">
      <c r="E526" s="30"/>
      <c r="F526" s="30"/>
      <c r="H526" s="31"/>
      <c r="I526" s="31"/>
      <c r="R526" s="32"/>
      <c r="S526" s="32"/>
      <c r="U526" s="33"/>
      <c r="V526" s="33"/>
      <c r="AD526" s="32"/>
    </row>
    <row r="527" spans="5:30" x14ac:dyDescent="0.2">
      <c r="E527" s="30"/>
      <c r="F527" s="30"/>
      <c r="H527" s="31"/>
      <c r="I527" s="31"/>
      <c r="R527" s="32"/>
      <c r="S527" s="32"/>
      <c r="U527" s="33"/>
      <c r="V527" s="33"/>
      <c r="AD527" s="32"/>
    </row>
    <row r="528" spans="5:30" x14ac:dyDescent="0.2">
      <c r="E528" s="30"/>
      <c r="F528" s="30"/>
      <c r="H528" s="31"/>
      <c r="I528" s="31"/>
      <c r="R528" s="32"/>
      <c r="S528" s="32"/>
      <c r="U528" s="33"/>
      <c r="V528" s="33"/>
      <c r="AD528" s="32"/>
    </row>
    <row r="529" spans="5:30" x14ac:dyDescent="0.2">
      <c r="E529" s="30"/>
      <c r="F529" s="30"/>
      <c r="H529" s="31"/>
      <c r="I529" s="31"/>
      <c r="R529" s="32"/>
      <c r="S529" s="32"/>
      <c r="U529" s="33"/>
      <c r="V529" s="33"/>
      <c r="AD529" s="32"/>
    </row>
    <row r="530" spans="5:30" x14ac:dyDescent="0.2">
      <c r="E530" s="30"/>
      <c r="F530" s="30"/>
      <c r="H530" s="31"/>
      <c r="I530" s="31"/>
      <c r="R530" s="32"/>
      <c r="S530" s="32"/>
      <c r="U530" s="33"/>
      <c r="V530" s="33"/>
      <c r="AD530" s="32"/>
    </row>
    <row r="531" spans="5:30" x14ac:dyDescent="0.2">
      <c r="E531" s="30"/>
      <c r="F531" s="30"/>
      <c r="H531" s="31"/>
      <c r="I531" s="31"/>
      <c r="R531" s="32"/>
      <c r="S531" s="32"/>
      <c r="U531" s="33"/>
      <c r="V531" s="33"/>
      <c r="AD531" s="32"/>
    </row>
    <row r="532" spans="5:30" x14ac:dyDescent="0.2">
      <c r="E532" s="30"/>
      <c r="F532" s="30"/>
      <c r="H532" s="31"/>
      <c r="I532" s="31"/>
      <c r="R532" s="32"/>
      <c r="S532" s="32"/>
      <c r="U532" s="33"/>
      <c r="V532" s="33"/>
      <c r="AD532" s="32"/>
    </row>
    <row r="533" spans="5:30" x14ac:dyDescent="0.2">
      <c r="E533" s="30"/>
      <c r="F533" s="30"/>
      <c r="H533" s="31"/>
      <c r="I533" s="31"/>
      <c r="R533" s="32"/>
      <c r="S533" s="32"/>
      <c r="U533" s="33"/>
      <c r="V533" s="33"/>
      <c r="AD533" s="32"/>
    </row>
    <row r="534" spans="5:30" x14ac:dyDescent="0.2">
      <c r="E534" s="30"/>
      <c r="F534" s="30"/>
      <c r="H534" s="31"/>
      <c r="I534" s="31"/>
      <c r="R534" s="32"/>
      <c r="S534" s="32"/>
      <c r="U534" s="33"/>
      <c r="V534" s="33"/>
      <c r="AD534" s="32"/>
    </row>
    <row r="535" spans="5:30" x14ac:dyDescent="0.2">
      <c r="E535" s="30"/>
      <c r="F535" s="30"/>
      <c r="H535" s="31"/>
      <c r="I535" s="31"/>
      <c r="R535" s="32"/>
      <c r="S535" s="32"/>
      <c r="U535" s="33"/>
      <c r="V535" s="33"/>
      <c r="AD535" s="32"/>
    </row>
    <row r="536" spans="5:30" x14ac:dyDescent="0.2">
      <c r="E536" s="30"/>
      <c r="F536" s="30"/>
      <c r="H536" s="31"/>
      <c r="I536" s="31"/>
      <c r="R536" s="32"/>
      <c r="S536" s="32"/>
      <c r="U536" s="33"/>
      <c r="V536" s="33"/>
      <c r="AD536" s="32"/>
    </row>
    <row r="537" spans="5:30" x14ac:dyDescent="0.2">
      <c r="E537" s="30"/>
      <c r="F537" s="30"/>
      <c r="H537" s="31"/>
      <c r="I537" s="31"/>
      <c r="R537" s="32"/>
      <c r="S537" s="32"/>
      <c r="U537" s="33"/>
      <c r="V537" s="33"/>
      <c r="AD537" s="32"/>
    </row>
    <row r="538" spans="5:30" x14ac:dyDescent="0.2">
      <c r="E538" s="30"/>
      <c r="F538" s="30"/>
      <c r="H538" s="31"/>
      <c r="I538" s="31"/>
      <c r="R538" s="32"/>
      <c r="S538" s="32"/>
      <c r="U538" s="33"/>
      <c r="V538" s="33"/>
      <c r="AD538" s="32"/>
    </row>
    <row r="539" spans="5:30" x14ac:dyDescent="0.2">
      <c r="E539" s="30"/>
      <c r="F539" s="30"/>
      <c r="H539" s="31"/>
      <c r="I539" s="31"/>
      <c r="R539" s="32"/>
      <c r="S539" s="32"/>
      <c r="U539" s="33"/>
      <c r="V539" s="33"/>
      <c r="AD539" s="32"/>
    </row>
    <row r="540" spans="5:30" x14ac:dyDescent="0.2">
      <c r="E540" s="30"/>
      <c r="F540" s="30"/>
      <c r="H540" s="31"/>
      <c r="I540" s="31"/>
      <c r="R540" s="32"/>
      <c r="S540" s="32"/>
      <c r="U540" s="33"/>
      <c r="V540" s="33"/>
      <c r="AD540" s="32"/>
    </row>
    <row r="541" spans="5:30" x14ac:dyDescent="0.2">
      <c r="E541" s="30"/>
      <c r="F541" s="30"/>
      <c r="H541" s="31"/>
      <c r="I541" s="31"/>
      <c r="R541" s="32"/>
      <c r="S541" s="32"/>
      <c r="U541" s="33"/>
      <c r="V541" s="33"/>
      <c r="AD541" s="32"/>
    </row>
    <row r="542" spans="5:30" x14ac:dyDescent="0.2">
      <c r="E542" s="30"/>
      <c r="F542" s="30"/>
      <c r="H542" s="31"/>
      <c r="I542" s="31"/>
      <c r="R542" s="32"/>
      <c r="S542" s="32"/>
      <c r="U542" s="33"/>
      <c r="V542" s="33"/>
      <c r="AD542" s="32"/>
    </row>
    <row r="543" spans="5:30" x14ac:dyDescent="0.2">
      <c r="E543" s="30"/>
      <c r="F543" s="30"/>
      <c r="H543" s="31"/>
      <c r="I543" s="31"/>
      <c r="R543" s="32"/>
      <c r="S543" s="32"/>
      <c r="U543" s="33"/>
      <c r="V543" s="33"/>
      <c r="AD543" s="32"/>
    </row>
    <row r="544" spans="5:30" x14ac:dyDescent="0.2">
      <c r="E544" s="30"/>
      <c r="F544" s="30"/>
      <c r="H544" s="31"/>
      <c r="I544" s="31"/>
      <c r="R544" s="32"/>
      <c r="S544" s="32"/>
      <c r="U544" s="33"/>
      <c r="V544" s="33"/>
      <c r="AD544" s="32"/>
    </row>
    <row r="545" spans="5:30" x14ac:dyDescent="0.2">
      <c r="E545" s="30"/>
      <c r="F545" s="30"/>
      <c r="H545" s="31"/>
      <c r="I545" s="31"/>
      <c r="R545" s="32"/>
      <c r="S545" s="32"/>
      <c r="U545" s="33"/>
      <c r="V545" s="33"/>
      <c r="AD545" s="32"/>
    </row>
    <row r="546" spans="5:30" x14ac:dyDescent="0.2">
      <c r="E546" s="30"/>
      <c r="F546" s="30"/>
      <c r="H546" s="31"/>
      <c r="I546" s="31"/>
      <c r="R546" s="32"/>
      <c r="S546" s="32"/>
      <c r="U546" s="33"/>
      <c r="V546" s="33"/>
      <c r="AD546" s="32"/>
    </row>
    <row r="547" spans="5:30" x14ac:dyDescent="0.2">
      <c r="E547" s="30"/>
      <c r="F547" s="30"/>
      <c r="H547" s="31"/>
      <c r="I547" s="31"/>
      <c r="R547" s="32"/>
      <c r="S547" s="32"/>
      <c r="U547" s="33"/>
      <c r="V547" s="33"/>
      <c r="AD547" s="32"/>
    </row>
    <row r="548" spans="5:30" x14ac:dyDescent="0.2">
      <c r="E548" s="30"/>
      <c r="F548" s="30"/>
      <c r="H548" s="31"/>
      <c r="I548" s="31"/>
      <c r="R548" s="32"/>
      <c r="S548" s="32"/>
      <c r="U548" s="33"/>
      <c r="V548" s="33"/>
      <c r="AD548" s="32"/>
    </row>
    <row r="549" spans="5:30" x14ac:dyDescent="0.2">
      <c r="E549" s="30"/>
      <c r="F549" s="30"/>
      <c r="H549" s="31"/>
      <c r="I549" s="31"/>
      <c r="R549" s="32"/>
      <c r="S549" s="32"/>
      <c r="U549" s="33"/>
      <c r="V549" s="33"/>
      <c r="AD549" s="32"/>
    </row>
    <row r="550" spans="5:30" x14ac:dyDescent="0.2">
      <c r="E550" s="30"/>
      <c r="F550" s="30"/>
      <c r="H550" s="31"/>
      <c r="I550" s="31"/>
      <c r="R550" s="32"/>
      <c r="S550" s="32"/>
      <c r="U550" s="33"/>
      <c r="V550" s="33"/>
      <c r="AD550" s="32"/>
    </row>
    <row r="551" spans="5:30" x14ac:dyDescent="0.2">
      <c r="E551" s="30"/>
      <c r="F551" s="30"/>
      <c r="H551" s="31"/>
      <c r="I551" s="31"/>
      <c r="R551" s="32"/>
      <c r="S551" s="32"/>
      <c r="U551" s="33"/>
      <c r="V551" s="33"/>
      <c r="AD551" s="32"/>
    </row>
    <row r="552" spans="5:30" x14ac:dyDescent="0.2">
      <c r="E552" s="30"/>
      <c r="F552" s="30"/>
      <c r="H552" s="31"/>
      <c r="I552" s="31"/>
      <c r="R552" s="32"/>
      <c r="S552" s="32"/>
      <c r="U552" s="33"/>
      <c r="V552" s="33"/>
      <c r="AD552" s="32"/>
    </row>
    <row r="553" spans="5:30" x14ac:dyDescent="0.2">
      <c r="E553" s="30"/>
      <c r="F553" s="30"/>
      <c r="H553" s="31"/>
      <c r="I553" s="31"/>
      <c r="R553" s="32"/>
      <c r="S553" s="32"/>
      <c r="U553" s="33"/>
      <c r="V553" s="33"/>
      <c r="AD553" s="32"/>
    </row>
    <row r="554" spans="5:30" x14ac:dyDescent="0.2">
      <c r="E554" s="30"/>
      <c r="F554" s="30"/>
      <c r="H554" s="31"/>
      <c r="I554" s="31"/>
      <c r="R554" s="32"/>
      <c r="S554" s="32"/>
      <c r="U554" s="33"/>
      <c r="V554" s="33"/>
      <c r="AD554" s="32"/>
    </row>
    <row r="555" spans="5:30" x14ac:dyDescent="0.2">
      <c r="E555" s="30"/>
      <c r="F555" s="30"/>
      <c r="H555" s="31"/>
      <c r="I555" s="31"/>
      <c r="R555" s="32"/>
      <c r="S555" s="32"/>
      <c r="U555" s="33"/>
      <c r="V555" s="33"/>
      <c r="AD555" s="32"/>
    </row>
    <row r="556" spans="5:30" x14ac:dyDescent="0.2">
      <c r="E556" s="30"/>
      <c r="F556" s="30"/>
      <c r="H556" s="31"/>
      <c r="I556" s="31"/>
      <c r="R556" s="32"/>
      <c r="S556" s="32"/>
      <c r="U556" s="33"/>
      <c r="V556" s="33"/>
      <c r="AD556" s="32"/>
    </row>
    <row r="557" spans="5:30" x14ac:dyDescent="0.2">
      <c r="E557" s="30"/>
      <c r="F557" s="30"/>
      <c r="H557" s="31"/>
      <c r="I557" s="31"/>
      <c r="R557" s="32"/>
      <c r="S557" s="32"/>
      <c r="U557" s="33"/>
      <c r="V557" s="33"/>
      <c r="AD557" s="32"/>
    </row>
    <row r="558" spans="5:30" x14ac:dyDescent="0.2">
      <c r="E558" s="30"/>
      <c r="F558" s="30"/>
      <c r="H558" s="31"/>
      <c r="I558" s="31"/>
      <c r="R558" s="32"/>
      <c r="S558" s="32"/>
      <c r="U558" s="33"/>
      <c r="V558" s="33"/>
      <c r="AD558" s="32"/>
    </row>
    <row r="559" spans="5:30" x14ac:dyDescent="0.2">
      <c r="E559" s="30"/>
      <c r="F559" s="30"/>
      <c r="H559" s="31"/>
      <c r="I559" s="31"/>
      <c r="R559" s="32"/>
      <c r="S559" s="32"/>
      <c r="U559" s="33"/>
      <c r="V559" s="33"/>
      <c r="AD559" s="32"/>
    </row>
    <row r="560" spans="5:30" x14ac:dyDescent="0.2">
      <c r="E560" s="30"/>
      <c r="F560" s="30"/>
      <c r="H560" s="31"/>
      <c r="I560" s="31"/>
      <c r="R560" s="32"/>
      <c r="S560" s="32"/>
      <c r="U560" s="33"/>
      <c r="V560" s="33"/>
      <c r="AD560" s="32"/>
    </row>
    <row r="561" spans="5:30" x14ac:dyDescent="0.2">
      <c r="E561" s="30"/>
      <c r="F561" s="30"/>
      <c r="H561" s="31"/>
      <c r="I561" s="31"/>
      <c r="R561" s="32"/>
      <c r="S561" s="32"/>
      <c r="U561" s="33"/>
      <c r="V561" s="33"/>
      <c r="AD561" s="32"/>
    </row>
    <row r="562" spans="5:30" x14ac:dyDescent="0.2">
      <c r="E562" s="30"/>
      <c r="F562" s="30"/>
      <c r="H562" s="31"/>
      <c r="I562" s="31"/>
      <c r="R562" s="32"/>
      <c r="S562" s="32"/>
      <c r="U562" s="33"/>
      <c r="V562" s="33"/>
      <c r="AD562" s="32"/>
    </row>
    <row r="563" spans="5:30" x14ac:dyDescent="0.2">
      <c r="E563" s="30"/>
      <c r="F563" s="30"/>
      <c r="H563" s="31"/>
      <c r="I563" s="31"/>
      <c r="R563" s="32"/>
      <c r="S563" s="32"/>
      <c r="U563" s="33"/>
      <c r="V563" s="33"/>
      <c r="AD563" s="32"/>
    </row>
    <row r="564" spans="5:30" x14ac:dyDescent="0.2">
      <c r="E564" s="30"/>
      <c r="F564" s="30"/>
      <c r="H564" s="31"/>
      <c r="I564" s="31"/>
      <c r="R564" s="32"/>
      <c r="S564" s="32"/>
      <c r="U564" s="33"/>
      <c r="V564" s="33"/>
      <c r="AD564" s="32"/>
    </row>
    <row r="565" spans="5:30" x14ac:dyDescent="0.2">
      <c r="E565" s="30"/>
      <c r="F565" s="30"/>
      <c r="H565" s="31"/>
      <c r="I565" s="31"/>
      <c r="R565" s="32"/>
      <c r="S565" s="32"/>
      <c r="U565" s="33"/>
      <c r="V565" s="33"/>
      <c r="AD565" s="32"/>
    </row>
    <row r="566" spans="5:30" x14ac:dyDescent="0.2">
      <c r="E566" s="30"/>
      <c r="F566" s="30"/>
      <c r="H566" s="31"/>
      <c r="I566" s="31"/>
      <c r="R566" s="32"/>
      <c r="S566" s="32"/>
      <c r="U566" s="33"/>
      <c r="V566" s="33"/>
      <c r="AD566" s="32"/>
    </row>
    <row r="567" spans="5:30" x14ac:dyDescent="0.2">
      <c r="E567" s="30"/>
      <c r="F567" s="30"/>
      <c r="H567" s="31"/>
      <c r="I567" s="31"/>
      <c r="R567" s="32"/>
      <c r="S567" s="32"/>
      <c r="U567" s="33"/>
      <c r="V567" s="33"/>
      <c r="AD567" s="32"/>
    </row>
    <row r="568" spans="5:30" x14ac:dyDescent="0.2">
      <c r="E568" s="30"/>
      <c r="F568" s="30"/>
      <c r="H568" s="31"/>
      <c r="I568" s="31"/>
      <c r="R568" s="32"/>
      <c r="S568" s="32"/>
      <c r="U568" s="33"/>
      <c r="V568" s="33"/>
      <c r="AD568" s="32"/>
    </row>
    <row r="569" spans="5:30" x14ac:dyDescent="0.2">
      <c r="E569" s="30"/>
      <c r="F569" s="30"/>
      <c r="H569" s="31"/>
      <c r="I569" s="31"/>
      <c r="R569" s="32"/>
      <c r="S569" s="32"/>
      <c r="U569" s="33"/>
      <c r="V569" s="33"/>
      <c r="AD569" s="32"/>
    </row>
    <row r="570" spans="5:30" x14ac:dyDescent="0.2">
      <c r="E570" s="30"/>
      <c r="F570" s="30"/>
      <c r="H570" s="31"/>
      <c r="I570" s="31"/>
      <c r="R570" s="32"/>
      <c r="S570" s="32"/>
      <c r="U570" s="33"/>
      <c r="V570" s="33"/>
      <c r="AD570" s="32"/>
    </row>
    <row r="571" spans="5:30" x14ac:dyDescent="0.2">
      <c r="E571" s="30"/>
      <c r="F571" s="30"/>
      <c r="H571" s="31"/>
      <c r="I571" s="31"/>
      <c r="R571" s="32"/>
      <c r="S571" s="32"/>
      <c r="U571" s="33"/>
      <c r="V571" s="33"/>
      <c r="AD571" s="32"/>
    </row>
    <row r="572" spans="5:30" x14ac:dyDescent="0.2">
      <c r="E572" s="30"/>
      <c r="F572" s="30"/>
      <c r="H572" s="31"/>
      <c r="I572" s="31"/>
      <c r="R572" s="32"/>
      <c r="S572" s="32"/>
      <c r="U572" s="33"/>
      <c r="V572" s="33"/>
      <c r="AD572" s="32"/>
    </row>
    <row r="573" spans="5:30" x14ac:dyDescent="0.2">
      <c r="E573" s="30"/>
      <c r="F573" s="30"/>
      <c r="H573" s="31"/>
      <c r="I573" s="31"/>
      <c r="R573" s="32"/>
      <c r="S573" s="32"/>
      <c r="U573" s="33"/>
      <c r="V573" s="33"/>
      <c r="AD573" s="32"/>
    </row>
    <row r="574" spans="5:30" x14ac:dyDescent="0.2">
      <c r="E574" s="30"/>
      <c r="F574" s="30"/>
      <c r="H574" s="31"/>
      <c r="I574" s="31"/>
      <c r="R574" s="32"/>
      <c r="S574" s="32"/>
      <c r="U574" s="33"/>
      <c r="V574" s="33"/>
      <c r="AD574" s="32"/>
    </row>
    <row r="575" spans="5:30" x14ac:dyDescent="0.2">
      <c r="E575" s="30"/>
      <c r="F575" s="30"/>
      <c r="H575" s="31"/>
      <c r="I575" s="31"/>
      <c r="R575" s="32"/>
      <c r="S575" s="32"/>
      <c r="U575" s="33"/>
      <c r="V575" s="33"/>
      <c r="AD575" s="32"/>
    </row>
    <row r="576" spans="5:30" x14ac:dyDescent="0.2">
      <c r="E576" s="30"/>
      <c r="F576" s="30"/>
      <c r="H576" s="31"/>
      <c r="I576" s="31"/>
      <c r="R576" s="32"/>
      <c r="S576" s="32"/>
      <c r="U576" s="33"/>
      <c r="V576" s="33"/>
      <c r="AD576" s="32"/>
    </row>
    <row r="577" spans="5:30" x14ac:dyDescent="0.2">
      <c r="E577" s="30"/>
      <c r="F577" s="30"/>
      <c r="H577" s="31"/>
      <c r="I577" s="31"/>
      <c r="R577" s="32"/>
      <c r="S577" s="32"/>
      <c r="U577" s="33"/>
      <c r="V577" s="33"/>
      <c r="AD577" s="32"/>
    </row>
    <row r="578" spans="5:30" x14ac:dyDescent="0.2">
      <c r="E578" s="30"/>
      <c r="F578" s="30"/>
      <c r="H578" s="31"/>
      <c r="I578" s="31"/>
      <c r="R578" s="32"/>
      <c r="S578" s="32"/>
      <c r="U578" s="33"/>
      <c r="V578" s="33"/>
      <c r="AD578" s="32"/>
    </row>
    <row r="579" spans="5:30" x14ac:dyDescent="0.2">
      <c r="E579" s="30"/>
      <c r="F579" s="30"/>
      <c r="H579" s="31"/>
      <c r="I579" s="31"/>
      <c r="R579" s="32"/>
      <c r="S579" s="32"/>
      <c r="U579" s="33"/>
      <c r="V579" s="33"/>
      <c r="AD579" s="32"/>
    </row>
    <row r="580" spans="5:30" x14ac:dyDescent="0.2">
      <c r="E580" s="30"/>
      <c r="F580" s="30"/>
      <c r="H580" s="31"/>
      <c r="I580" s="31"/>
      <c r="R580" s="32"/>
      <c r="S580" s="32"/>
      <c r="U580" s="33"/>
      <c r="V580" s="33"/>
      <c r="AD580" s="32"/>
    </row>
    <row r="581" spans="5:30" x14ac:dyDescent="0.2">
      <c r="E581" s="30"/>
      <c r="F581" s="30"/>
      <c r="H581" s="31"/>
      <c r="I581" s="31"/>
      <c r="R581" s="32"/>
      <c r="S581" s="32"/>
      <c r="U581" s="33"/>
      <c r="V581" s="33"/>
      <c r="AD581" s="32"/>
    </row>
    <row r="582" spans="5:30" x14ac:dyDescent="0.2">
      <c r="E582" s="30"/>
      <c r="F582" s="30"/>
      <c r="H582" s="31"/>
      <c r="I582" s="31"/>
      <c r="R582" s="32"/>
      <c r="S582" s="32"/>
      <c r="U582" s="33"/>
      <c r="V582" s="33"/>
      <c r="AD582" s="32"/>
    </row>
    <row r="583" spans="5:30" x14ac:dyDescent="0.2">
      <c r="E583" s="30"/>
      <c r="F583" s="30"/>
      <c r="H583" s="31"/>
      <c r="I583" s="31"/>
      <c r="R583" s="32"/>
      <c r="S583" s="32"/>
      <c r="U583" s="33"/>
      <c r="V583" s="33"/>
      <c r="AD583" s="32"/>
    </row>
    <row r="584" spans="5:30" x14ac:dyDescent="0.2">
      <c r="E584" s="30"/>
      <c r="F584" s="30"/>
      <c r="H584" s="31"/>
      <c r="I584" s="31"/>
      <c r="R584" s="32"/>
      <c r="S584" s="32"/>
      <c r="U584" s="33"/>
      <c r="V584" s="33"/>
      <c r="AD584" s="32"/>
    </row>
    <row r="585" spans="5:30" x14ac:dyDescent="0.2">
      <c r="E585" s="30"/>
      <c r="F585" s="30"/>
      <c r="H585" s="31"/>
      <c r="I585" s="31"/>
      <c r="R585" s="32"/>
      <c r="S585" s="32"/>
      <c r="U585" s="33"/>
      <c r="V585" s="33"/>
      <c r="AD585" s="32"/>
    </row>
    <row r="586" spans="5:30" x14ac:dyDescent="0.2">
      <c r="E586" s="30"/>
      <c r="F586" s="30"/>
      <c r="H586" s="31"/>
      <c r="I586" s="31"/>
      <c r="R586" s="32"/>
      <c r="S586" s="32"/>
      <c r="U586" s="33"/>
      <c r="V586" s="33"/>
      <c r="AD586" s="32"/>
    </row>
    <row r="587" spans="5:30" x14ac:dyDescent="0.2">
      <c r="E587" s="30"/>
      <c r="F587" s="30"/>
      <c r="H587" s="31"/>
      <c r="I587" s="31"/>
      <c r="R587" s="32"/>
      <c r="S587" s="32"/>
      <c r="U587" s="33"/>
      <c r="V587" s="33"/>
      <c r="AD587" s="32"/>
    </row>
    <row r="588" spans="5:30" x14ac:dyDescent="0.2">
      <c r="E588" s="30"/>
      <c r="F588" s="30"/>
      <c r="H588" s="31"/>
      <c r="I588" s="31"/>
      <c r="R588" s="32"/>
      <c r="S588" s="32"/>
      <c r="U588" s="33"/>
      <c r="V588" s="33"/>
      <c r="AD588" s="32"/>
    </row>
    <row r="589" spans="5:30" x14ac:dyDescent="0.2">
      <c r="E589" s="30"/>
      <c r="F589" s="30"/>
      <c r="H589" s="31"/>
      <c r="I589" s="31"/>
      <c r="R589" s="32"/>
      <c r="S589" s="32"/>
      <c r="U589" s="33"/>
      <c r="V589" s="33"/>
      <c r="AD589" s="32"/>
    </row>
    <row r="590" spans="5:30" x14ac:dyDescent="0.2">
      <c r="E590" s="30"/>
      <c r="F590" s="30"/>
      <c r="H590" s="31"/>
      <c r="I590" s="31"/>
      <c r="R590" s="32"/>
      <c r="S590" s="32"/>
      <c r="U590" s="33"/>
      <c r="V590" s="33"/>
      <c r="AD590" s="32"/>
    </row>
    <row r="591" spans="5:30" x14ac:dyDescent="0.2">
      <c r="E591" s="30"/>
      <c r="F591" s="30"/>
      <c r="H591" s="31"/>
      <c r="I591" s="31"/>
      <c r="R591" s="32"/>
      <c r="S591" s="32"/>
      <c r="U591" s="33"/>
      <c r="V591" s="33"/>
      <c r="AD591" s="32"/>
    </row>
    <row r="592" spans="5:30" x14ac:dyDescent="0.2">
      <c r="E592" s="30"/>
      <c r="F592" s="30"/>
      <c r="H592" s="31"/>
      <c r="I592" s="31"/>
      <c r="R592" s="32"/>
      <c r="S592" s="32"/>
      <c r="U592" s="33"/>
      <c r="V592" s="33"/>
      <c r="AD592" s="32"/>
    </row>
    <row r="593" spans="5:30" x14ac:dyDescent="0.2">
      <c r="E593" s="30"/>
      <c r="F593" s="30"/>
      <c r="H593" s="31"/>
      <c r="I593" s="31"/>
      <c r="R593" s="32"/>
      <c r="S593" s="32"/>
      <c r="U593" s="33"/>
      <c r="V593" s="33"/>
      <c r="AD593" s="32"/>
    </row>
    <row r="594" spans="5:30" x14ac:dyDescent="0.2">
      <c r="E594" s="30"/>
      <c r="F594" s="30"/>
      <c r="H594" s="31"/>
      <c r="I594" s="31"/>
      <c r="R594" s="32"/>
      <c r="S594" s="32"/>
      <c r="U594" s="33"/>
      <c r="V594" s="33"/>
      <c r="AD594" s="32"/>
    </row>
    <row r="595" spans="5:30" x14ac:dyDescent="0.2">
      <c r="E595" s="30"/>
      <c r="F595" s="30"/>
      <c r="H595" s="31"/>
      <c r="I595" s="31"/>
      <c r="R595" s="32"/>
      <c r="S595" s="32"/>
      <c r="U595" s="33"/>
      <c r="V595" s="33"/>
      <c r="AD595" s="32"/>
    </row>
    <row r="596" spans="5:30" x14ac:dyDescent="0.2">
      <c r="E596" s="30"/>
      <c r="F596" s="30"/>
      <c r="H596" s="31"/>
      <c r="I596" s="31"/>
      <c r="R596" s="32"/>
      <c r="S596" s="32"/>
      <c r="U596" s="33"/>
      <c r="V596" s="33"/>
      <c r="AD596" s="32"/>
    </row>
    <row r="597" spans="5:30" x14ac:dyDescent="0.2">
      <c r="E597" s="30"/>
      <c r="F597" s="30"/>
      <c r="H597" s="31"/>
      <c r="I597" s="31"/>
      <c r="R597" s="32"/>
      <c r="S597" s="32"/>
      <c r="U597" s="33"/>
      <c r="V597" s="33"/>
      <c r="AD597" s="32"/>
    </row>
    <row r="598" spans="5:30" x14ac:dyDescent="0.2">
      <c r="E598" s="30"/>
      <c r="F598" s="30"/>
      <c r="H598" s="31"/>
      <c r="I598" s="31"/>
      <c r="R598" s="32"/>
      <c r="S598" s="32"/>
      <c r="U598" s="33"/>
      <c r="V598" s="33"/>
      <c r="AD598" s="32"/>
    </row>
    <row r="599" spans="5:30" x14ac:dyDescent="0.2">
      <c r="E599" s="30"/>
      <c r="F599" s="30"/>
      <c r="H599" s="31"/>
      <c r="I599" s="31"/>
      <c r="R599" s="32"/>
      <c r="S599" s="32"/>
      <c r="U599" s="33"/>
      <c r="V599" s="33"/>
      <c r="AD599" s="32"/>
    </row>
    <row r="600" spans="5:30" x14ac:dyDescent="0.2">
      <c r="E600" s="30"/>
      <c r="F600" s="30"/>
      <c r="H600" s="31"/>
      <c r="I600" s="31"/>
      <c r="R600" s="32"/>
      <c r="S600" s="32"/>
      <c r="U600" s="33"/>
      <c r="V600" s="33"/>
    </row>
    <row r="601" spans="5:30" x14ac:dyDescent="0.2">
      <c r="E601" s="30"/>
      <c r="F601" s="30"/>
      <c r="H601" s="31"/>
      <c r="I601" s="31"/>
      <c r="R601" s="32"/>
      <c r="S601" s="32"/>
      <c r="U601" s="33"/>
      <c r="V601" s="33"/>
      <c r="AD601" s="32"/>
    </row>
    <row r="602" spans="5:30" x14ac:dyDescent="0.2">
      <c r="E602" s="30"/>
      <c r="F602" s="30"/>
      <c r="H602" s="31"/>
      <c r="I602" s="31"/>
      <c r="R602" s="32"/>
      <c r="S602" s="32"/>
      <c r="U602" s="33"/>
      <c r="V602" s="33"/>
      <c r="AD602" s="32"/>
    </row>
    <row r="603" spans="5:30" x14ac:dyDescent="0.2">
      <c r="E603" s="30"/>
      <c r="F603" s="30"/>
      <c r="H603" s="31"/>
      <c r="I603" s="31"/>
      <c r="R603" s="32"/>
      <c r="S603" s="32"/>
      <c r="U603" s="33"/>
      <c r="V603" s="33"/>
      <c r="AD603" s="32"/>
    </row>
    <row r="604" spans="5:30" x14ac:dyDescent="0.2">
      <c r="E604" s="30"/>
      <c r="F604" s="30"/>
      <c r="H604" s="31"/>
      <c r="I604" s="31"/>
      <c r="R604" s="32"/>
      <c r="S604" s="32"/>
      <c r="U604" s="33"/>
      <c r="V604" s="33"/>
      <c r="AD604" s="32"/>
    </row>
    <row r="605" spans="5:30" x14ac:dyDescent="0.2">
      <c r="E605" s="30"/>
      <c r="F605" s="30"/>
      <c r="H605" s="31"/>
      <c r="I605" s="31"/>
      <c r="R605" s="32"/>
      <c r="S605" s="32"/>
      <c r="U605" s="33"/>
      <c r="V605" s="33"/>
      <c r="AD605" s="32"/>
    </row>
    <row r="606" spans="5:30" x14ac:dyDescent="0.2">
      <c r="E606" s="30"/>
      <c r="F606" s="30"/>
      <c r="H606" s="31"/>
      <c r="I606" s="31"/>
      <c r="R606" s="32"/>
      <c r="S606" s="32"/>
      <c r="U606" s="33"/>
      <c r="V606" s="33"/>
      <c r="AD606" s="32"/>
    </row>
    <row r="607" spans="5:30" x14ac:dyDescent="0.2">
      <c r="E607" s="30"/>
      <c r="F607" s="30"/>
      <c r="H607" s="31"/>
      <c r="I607" s="31"/>
      <c r="R607" s="32"/>
      <c r="S607" s="32"/>
      <c r="U607" s="33"/>
      <c r="V607" s="33"/>
      <c r="AD607" s="32"/>
    </row>
    <row r="608" spans="5:30" x14ac:dyDescent="0.2">
      <c r="E608" s="30"/>
      <c r="F608" s="30"/>
      <c r="H608" s="31"/>
      <c r="I608" s="31"/>
      <c r="R608" s="32"/>
      <c r="S608" s="32"/>
      <c r="U608" s="33"/>
      <c r="V608" s="33"/>
      <c r="AD608" s="32"/>
    </row>
    <row r="609" spans="5:30" x14ac:dyDescent="0.2">
      <c r="E609" s="30"/>
      <c r="F609" s="30"/>
      <c r="H609" s="31"/>
      <c r="I609" s="31"/>
      <c r="R609" s="32"/>
      <c r="S609" s="32"/>
      <c r="U609" s="33"/>
      <c r="V609" s="33"/>
      <c r="AD609" s="32"/>
    </row>
    <row r="610" spans="5:30" x14ac:dyDescent="0.2">
      <c r="E610" s="30"/>
      <c r="F610" s="30"/>
      <c r="H610" s="31"/>
      <c r="I610" s="31"/>
      <c r="R610" s="32"/>
      <c r="S610" s="32"/>
      <c r="U610" s="33"/>
      <c r="V610" s="33"/>
      <c r="AD610" s="32"/>
    </row>
    <row r="611" spans="5:30" x14ac:dyDescent="0.2">
      <c r="E611" s="30"/>
      <c r="F611" s="30"/>
      <c r="H611" s="31"/>
      <c r="I611" s="31"/>
      <c r="R611" s="32"/>
      <c r="S611" s="32"/>
      <c r="U611" s="33"/>
      <c r="V611" s="33"/>
      <c r="AD611" s="32"/>
    </row>
    <row r="612" spans="5:30" x14ac:dyDescent="0.2">
      <c r="E612" s="30"/>
      <c r="F612" s="30"/>
      <c r="H612" s="31"/>
      <c r="I612" s="31"/>
      <c r="R612" s="32"/>
      <c r="S612" s="32"/>
      <c r="U612" s="33"/>
      <c r="V612" s="33"/>
      <c r="AD612" s="32"/>
    </row>
    <row r="613" spans="5:30" x14ac:dyDescent="0.2">
      <c r="E613" s="30"/>
      <c r="F613" s="30"/>
      <c r="H613" s="31"/>
      <c r="I613" s="31"/>
      <c r="R613" s="32"/>
      <c r="S613" s="32"/>
      <c r="U613" s="33"/>
      <c r="V613" s="33"/>
      <c r="AD613" s="32"/>
    </row>
    <row r="614" spans="5:30" x14ac:dyDescent="0.2">
      <c r="E614" s="30"/>
      <c r="F614" s="30"/>
      <c r="H614" s="31"/>
      <c r="I614" s="31"/>
      <c r="R614" s="32"/>
      <c r="S614" s="32"/>
      <c r="U614" s="33"/>
      <c r="V614" s="33"/>
      <c r="AD614" s="32"/>
    </row>
    <row r="615" spans="5:30" x14ac:dyDescent="0.2">
      <c r="E615" s="30"/>
      <c r="F615" s="30"/>
      <c r="H615" s="31"/>
      <c r="I615" s="31"/>
      <c r="R615" s="32"/>
      <c r="S615" s="32"/>
      <c r="U615" s="33"/>
      <c r="V615" s="33"/>
      <c r="AD615" s="32"/>
    </row>
    <row r="616" spans="5:30" x14ac:dyDescent="0.2">
      <c r="E616" s="30"/>
      <c r="F616" s="30"/>
      <c r="H616" s="31"/>
      <c r="I616" s="31"/>
      <c r="R616" s="32"/>
      <c r="S616" s="32"/>
      <c r="U616" s="33"/>
      <c r="V616" s="33"/>
      <c r="AD616" s="32"/>
    </row>
    <row r="617" spans="5:30" x14ac:dyDescent="0.2">
      <c r="E617" s="30"/>
      <c r="F617" s="30"/>
      <c r="H617" s="31"/>
      <c r="I617" s="31"/>
      <c r="R617" s="32"/>
      <c r="S617" s="32"/>
      <c r="U617" s="33"/>
      <c r="V617" s="33"/>
      <c r="AD617" s="32"/>
    </row>
    <row r="618" spans="5:30" x14ac:dyDescent="0.2">
      <c r="E618" s="30"/>
      <c r="F618" s="30"/>
      <c r="H618" s="31"/>
      <c r="I618" s="31"/>
      <c r="R618" s="32"/>
      <c r="S618" s="32"/>
      <c r="U618" s="33"/>
      <c r="V618" s="33"/>
      <c r="AD618" s="32"/>
    </row>
    <row r="619" spans="5:30" x14ac:dyDescent="0.2">
      <c r="E619" s="30"/>
      <c r="F619" s="30"/>
      <c r="H619" s="31"/>
      <c r="I619" s="31"/>
      <c r="R619" s="32"/>
      <c r="S619" s="32"/>
      <c r="U619" s="33"/>
      <c r="V619" s="33"/>
      <c r="AD619" s="32"/>
    </row>
    <row r="620" spans="5:30" x14ac:dyDescent="0.2">
      <c r="E620" s="30"/>
      <c r="F620" s="30"/>
      <c r="H620" s="31"/>
      <c r="I620" s="31"/>
      <c r="R620" s="32"/>
      <c r="S620" s="32"/>
      <c r="U620" s="33"/>
      <c r="V620" s="33"/>
      <c r="AD620" s="32"/>
    </row>
    <row r="621" spans="5:30" x14ac:dyDescent="0.2">
      <c r="E621" s="30"/>
      <c r="F621" s="30"/>
      <c r="H621" s="31"/>
      <c r="I621" s="31"/>
      <c r="R621" s="32"/>
      <c r="S621" s="32"/>
      <c r="U621" s="33"/>
      <c r="V621" s="33"/>
      <c r="AD621" s="32"/>
    </row>
    <row r="622" spans="5:30" x14ac:dyDescent="0.2">
      <c r="E622" s="30"/>
      <c r="F622" s="30"/>
      <c r="H622" s="31"/>
      <c r="I622" s="31"/>
      <c r="R622" s="32"/>
      <c r="S622" s="32"/>
      <c r="U622" s="33"/>
      <c r="V622" s="33"/>
      <c r="AD622" s="32"/>
    </row>
    <row r="623" spans="5:30" x14ac:dyDescent="0.2">
      <c r="E623" s="30"/>
      <c r="F623" s="30"/>
      <c r="H623" s="31"/>
      <c r="I623" s="31"/>
      <c r="R623" s="32"/>
      <c r="S623" s="32"/>
      <c r="U623" s="33"/>
      <c r="V623" s="33"/>
      <c r="AD623" s="32"/>
    </row>
    <row r="624" spans="5:30" x14ac:dyDescent="0.2">
      <c r="E624" s="30"/>
      <c r="F624" s="30"/>
      <c r="H624" s="31"/>
      <c r="I624" s="31"/>
      <c r="R624" s="32"/>
      <c r="S624" s="32"/>
      <c r="U624" s="33"/>
      <c r="V624" s="33"/>
      <c r="AD624" s="32"/>
    </row>
    <row r="625" spans="5:40" x14ac:dyDescent="0.2">
      <c r="E625" s="30"/>
      <c r="F625" s="30"/>
      <c r="H625" s="31"/>
      <c r="I625" s="31"/>
      <c r="R625" s="32"/>
      <c r="S625" s="32"/>
      <c r="U625" s="33"/>
      <c r="V625" s="33"/>
      <c r="AD625" s="32"/>
    </row>
    <row r="626" spans="5:40" x14ac:dyDescent="0.2">
      <c r="E626" s="30"/>
      <c r="F626" s="30"/>
      <c r="H626" s="31"/>
      <c r="I626" s="31"/>
      <c r="R626" s="32"/>
      <c r="S626" s="32"/>
      <c r="U626" s="33"/>
      <c r="V626" s="33"/>
      <c r="AD626" s="32"/>
    </row>
    <row r="627" spans="5:40" x14ac:dyDescent="0.2">
      <c r="E627" s="30"/>
      <c r="F627" s="30"/>
      <c r="H627" s="31"/>
      <c r="I627" s="31"/>
      <c r="R627" s="32"/>
      <c r="S627" s="32"/>
      <c r="U627" s="33"/>
      <c r="V627" s="33"/>
      <c r="AD627" s="32"/>
    </row>
    <row r="628" spans="5:40" x14ac:dyDescent="0.2">
      <c r="E628" s="30"/>
      <c r="F628" s="30"/>
      <c r="H628" s="31"/>
      <c r="I628" s="31"/>
      <c r="R628" s="32"/>
      <c r="S628" s="32"/>
      <c r="U628" s="33"/>
      <c r="V628" s="33"/>
      <c r="AD628" s="32"/>
    </row>
    <row r="629" spans="5:40" x14ac:dyDescent="0.2">
      <c r="E629" s="30"/>
      <c r="F629" s="30"/>
      <c r="H629" s="31"/>
      <c r="I629" s="31"/>
      <c r="R629" s="32"/>
      <c r="S629" s="32"/>
      <c r="U629" s="33"/>
      <c r="V629" s="33"/>
      <c r="AD629" s="32"/>
    </row>
    <row r="630" spans="5:40" x14ac:dyDescent="0.2">
      <c r="E630" s="30"/>
      <c r="F630" s="30"/>
      <c r="H630" s="31"/>
      <c r="I630" s="31"/>
      <c r="R630" s="32"/>
      <c r="S630" s="32"/>
      <c r="U630" s="33"/>
      <c r="V630" s="33"/>
      <c r="AD630" s="32"/>
    </row>
    <row r="631" spans="5:40" x14ac:dyDescent="0.2">
      <c r="E631" s="30"/>
      <c r="F631" s="30"/>
      <c r="H631" s="31"/>
      <c r="I631" s="31"/>
      <c r="R631" s="32"/>
      <c r="S631" s="32"/>
      <c r="U631" s="33"/>
      <c r="V631" s="33"/>
      <c r="AD631" s="32"/>
    </row>
    <row r="632" spans="5:40" x14ac:dyDescent="0.2">
      <c r="E632" s="30"/>
      <c r="F632" s="30"/>
      <c r="H632" s="31"/>
      <c r="I632" s="31"/>
      <c r="R632" s="32"/>
      <c r="S632" s="32"/>
      <c r="U632" s="33"/>
      <c r="V632" s="33"/>
      <c r="AD632" s="32"/>
    </row>
    <row r="633" spans="5:40" x14ac:dyDescent="0.2">
      <c r="E633" s="30"/>
      <c r="F633" s="30"/>
      <c r="H633" s="31"/>
      <c r="I633" s="31"/>
      <c r="R633" s="32"/>
      <c r="S633" s="32"/>
      <c r="U633" s="33"/>
      <c r="V633" s="33"/>
      <c r="AD633" s="32"/>
    </row>
    <row r="634" spans="5:40" x14ac:dyDescent="0.2">
      <c r="E634" s="30"/>
      <c r="F634" s="30"/>
      <c r="H634" s="31"/>
      <c r="I634" s="31"/>
      <c r="R634" s="32"/>
      <c r="S634" s="32"/>
      <c r="U634" s="33"/>
      <c r="V634" s="33"/>
      <c r="AD634" s="32"/>
    </row>
    <row r="635" spans="5:40" x14ac:dyDescent="0.2">
      <c r="E635" s="30"/>
      <c r="F635" s="30"/>
      <c r="H635" s="31"/>
      <c r="I635" s="31"/>
      <c r="R635" s="32"/>
      <c r="S635" s="32"/>
      <c r="U635" s="33"/>
      <c r="V635" s="33"/>
      <c r="AD635" s="32"/>
    </row>
    <row r="636" spans="5:40" x14ac:dyDescent="0.2">
      <c r="E636" s="30"/>
      <c r="F636" s="30"/>
      <c r="H636" s="31"/>
      <c r="I636" s="31"/>
      <c r="R636" s="32"/>
      <c r="S636" s="32"/>
      <c r="U636" s="33"/>
      <c r="V636" s="33"/>
      <c r="AD636" s="32"/>
    </row>
    <row r="637" spans="5:40" x14ac:dyDescent="0.2">
      <c r="E637" s="30"/>
      <c r="F637" s="30"/>
      <c r="H637" s="31"/>
      <c r="I637" s="31"/>
      <c r="R637" s="32"/>
      <c r="S637" s="32"/>
      <c r="U637" s="33"/>
      <c r="V637" s="33"/>
      <c r="AD637" s="32"/>
    </row>
    <row r="638" spans="5:40" x14ac:dyDescent="0.2">
      <c r="E638" s="30"/>
      <c r="F638" s="30"/>
      <c r="G638" s="32"/>
      <c r="H638" s="31"/>
      <c r="I638" s="31"/>
      <c r="J638" s="32"/>
      <c r="K638" s="32"/>
      <c r="N638" s="32"/>
      <c r="O638" s="32"/>
      <c r="P638" s="32"/>
      <c r="Q638" s="119"/>
      <c r="R638" s="32"/>
      <c r="S638" s="32"/>
      <c r="T638" s="32"/>
      <c r="U638" s="32"/>
      <c r="V638" s="32"/>
      <c r="AD638" s="32"/>
      <c r="AE638" s="32"/>
      <c r="AF638" s="32"/>
      <c r="AG638" s="32"/>
      <c r="AH638" s="32"/>
      <c r="AJ638" s="32"/>
      <c r="AK638" s="32"/>
      <c r="AL638" s="32"/>
      <c r="AM638" s="32"/>
      <c r="AN638" s="32"/>
    </row>
    <row r="639" spans="5:40" x14ac:dyDescent="0.2">
      <c r="E639" s="30"/>
      <c r="F639" s="30"/>
      <c r="H639" s="31"/>
      <c r="I639" s="31"/>
      <c r="R639" s="32"/>
      <c r="S639" s="32"/>
      <c r="U639" s="33"/>
      <c r="V639" s="33"/>
      <c r="AD639" s="32"/>
    </row>
    <row r="640" spans="5:40" x14ac:dyDescent="0.2">
      <c r="E640" s="30"/>
      <c r="F640" s="30"/>
      <c r="H640" s="31"/>
      <c r="I640" s="31"/>
      <c r="R640" s="32"/>
      <c r="S640" s="32"/>
      <c r="U640" s="33"/>
      <c r="V640" s="33"/>
      <c r="AD640" s="32"/>
    </row>
    <row r="641" spans="5:30" x14ac:dyDescent="0.2">
      <c r="E641" s="30"/>
      <c r="F641" s="30"/>
      <c r="H641" s="31"/>
      <c r="I641" s="31"/>
      <c r="R641" s="32"/>
      <c r="S641" s="32"/>
      <c r="U641" s="33"/>
      <c r="V641" s="33"/>
      <c r="AD641" s="32"/>
    </row>
    <row r="642" spans="5:30" x14ac:dyDescent="0.2">
      <c r="E642" s="30"/>
      <c r="F642" s="30"/>
      <c r="H642" s="31"/>
      <c r="I642" s="31"/>
      <c r="R642" s="32"/>
      <c r="S642" s="32"/>
      <c r="U642" s="33"/>
      <c r="V642" s="33"/>
      <c r="AD642" s="32"/>
    </row>
    <row r="643" spans="5:30" x14ac:dyDescent="0.2">
      <c r="E643" s="30"/>
      <c r="F643" s="30"/>
      <c r="H643" s="31"/>
      <c r="I643" s="31"/>
      <c r="R643" s="32"/>
      <c r="S643" s="32"/>
      <c r="U643" s="33"/>
      <c r="V643" s="33"/>
      <c r="AD643" s="32"/>
    </row>
    <row r="644" spans="5:30" x14ac:dyDescent="0.2">
      <c r="E644" s="30"/>
      <c r="F644" s="30"/>
      <c r="H644" s="31"/>
      <c r="I644" s="31"/>
      <c r="R644" s="32"/>
      <c r="S644" s="32"/>
      <c r="U644" s="33"/>
      <c r="V644" s="33"/>
      <c r="AD644" s="32"/>
    </row>
    <row r="645" spans="5:30" x14ac:dyDescent="0.2">
      <c r="E645" s="30"/>
      <c r="F645" s="30"/>
      <c r="H645" s="31"/>
      <c r="I645" s="31"/>
      <c r="R645" s="32"/>
      <c r="S645" s="32"/>
      <c r="U645" s="33"/>
      <c r="V645" s="33"/>
      <c r="AD645" s="32"/>
    </row>
    <row r="646" spans="5:30" x14ac:dyDescent="0.2">
      <c r="E646" s="30"/>
      <c r="F646" s="30"/>
      <c r="H646" s="31"/>
      <c r="I646" s="31"/>
      <c r="R646" s="32"/>
      <c r="S646" s="32"/>
      <c r="U646" s="33"/>
      <c r="V646" s="33"/>
      <c r="AD646" s="32"/>
    </row>
    <row r="647" spans="5:30" x14ac:dyDescent="0.2">
      <c r="E647" s="30"/>
      <c r="F647" s="30"/>
      <c r="H647" s="31"/>
      <c r="I647" s="31"/>
      <c r="R647" s="32"/>
      <c r="S647" s="32"/>
      <c r="U647" s="33"/>
      <c r="V647" s="33"/>
      <c r="AD647" s="32"/>
    </row>
    <row r="648" spans="5:30" x14ac:dyDescent="0.2">
      <c r="E648" s="30"/>
      <c r="F648" s="30"/>
      <c r="H648" s="31"/>
      <c r="I648" s="31"/>
      <c r="R648" s="32"/>
      <c r="S648" s="32"/>
      <c r="U648" s="33"/>
      <c r="V648" s="33"/>
      <c r="AD648" s="32"/>
    </row>
    <row r="649" spans="5:30" x14ac:dyDescent="0.2">
      <c r="E649" s="30"/>
      <c r="F649" s="30"/>
      <c r="H649" s="31"/>
      <c r="I649" s="31"/>
      <c r="R649" s="32"/>
      <c r="S649" s="32"/>
      <c r="U649" s="33"/>
      <c r="V649" s="33"/>
      <c r="AD649" s="32"/>
    </row>
    <row r="650" spans="5:30" x14ac:dyDescent="0.2">
      <c r="E650" s="30"/>
      <c r="F650" s="30"/>
      <c r="H650" s="31"/>
      <c r="I650" s="31"/>
      <c r="R650" s="32"/>
      <c r="S650" s="32"/>
      <c r="U650" s="33"/>
      <c r="V650" s="33"/>
      <c r="AD650" s="32"/>
    </row>
    <row r="651" spans="5:30" x14ac:dyDescent="0.2">
      <c r="E651" s="30"/>
      <c r="F651" s="30"/>
      <c r="H651" s="31"/>
      <c r="I651" s="31"/>
      <c r="R651" s="32"/>
      <c r="S651" s="32"/>
      <c r="U651" s="33"/>
      <c r="V651" s="33"/>
      <c r="AD651" s="32"/>
    </row>
    <row r="652" spans="5:30" x14ac:dyDescent="0.2">
      <c r="E652" s="30"/>
      <c r="F652" s="30"/>
      <c r="H652" s="31"/>
      <c r="I652" s="31"/>
      <c r="R652" s="32"/>
      <c r="S652" s="32"/>
      <c r="U652" s="33"/>
      <c r="V652" s="33"/>
      <c r="AD652" s="32"/>
    </row>
    <row r="653" spans="5:30" x14ac:dyDescent="0.2">
      <c r="E653" s="30"/>
      <c r="F653" s="30"/>
      <c r="H653" s="31"/>
      <c r="I653" s="31"/>
      <c r="R653" s="32"/>
      <c r="S653" s="32"/>
      <c r="U653" s="33"/>
      <c r="V653" s="33"/>
      <c r="AD653" s="32"/>
    </row>
    <row r="654" spans="5:30" x14ac:dyDescent="0.2">
      <c r="E654" s="30"/>
      <c r="F654" s="30"/>
      <c r="H654" s="31"/>
      <c r="I654" s="31"/>
      <c r="R654" s="32"/>
      <c r="S654" s="32"/>
      <c r="U654" s="33"/>
      <c r="V654" s="33"/>
      <c r="AD654" s="32"/>
    </row>
    <row r="655" spans="5:30" x14ac:dyDescent="0.2">
      <c r="E655" s="30"/>
      <c r="F655" s="30"/>
      <c r="H655" s="31"/>
      <c r="I655" s="31"/>
      <c r="R655" s="32"/>
      <c r="S655" s="32"/>
      <c r="U655" s="33"/>
      <c r="V655" s="33"/>
      <c r="AD655" s="32"/>
    </row>
    <row r="656" spans="5:30" x14ac:dyDescent="0.2">
      <c r="E656" s="30"/>
      <c r="F656" s="30"/>
      <c r="H656" s="31"/>
      <c r="I656" s="31"/>
      <c r="R656" s="32"/>
      <c r="S656" s="32"/>
      <c r="U656" s="33"/>
      <c r="V656" s="33"/>
      <c r="AD656" s="32"/>
    </row>
    <row r="657" spans="5:30" x14ac:dyDescent="0.2">
      <c r="E657" s="30"/>
      <c r="F657" s="30"/>
      <c r="H657" s="31"/>
      <c r="I657" s="31"/>
      <c r="R657" s="32"/>
      <c r="S657" s="32"/>
      <c r="U657" s="33"/>
      <c r="V657" s="33"/>
      <c r="AD657" s="32"/>
    </row>
    <row r="658" spans="5:30" x14ac:dyDescent="0.2">
      <c r="E658" s="30"/>
      <c r="F658" s="30"/>
      <c r="H658" s="31"/>
      <c r="I658" s="31"/>
      <c r="R658" s="32"/>
      <c r="S658" s="32"/>
      <c r="U658" s="33"/>
      <c r="V658" s="33"/>
      <c r="AD658" s="32"/>
    </row>
    <row r="659" spans="5:30" x14ac:dyDescent="0.2">
      <c r="E659" s="30"/>
      <c r="F659" s="30"/>
      <c r="H659" s="31"/>
      <c r="I659" s="31"/>
      <c r="R659" s="32"/>
      <c r="S659" s="32"/>
      <c r="U659" s="33"/>
      <c r="V659" s="33"/>
      <c r="AD659" s="32"/>
    </row>
    <row r="660" spans="5:30" x14ac:dyDescent="0.2">
      <c r="E660" s="30"/>
      <c r="F660" s="30"/>
      <c r="H660" s="31"/>
      <c r="I660" s="31"/>
      <c r="R660" s="32"/>
      <c r="S660" s="32"/>
      <c r="U660" s="33"/>
      <c r="V660" s="33"/>
      <c r="AD660" s="32"/>
    </row>
    <row r="661" spans="5:30" x14ac:dyDescent="0.2">
      <c r="E661" s="30"/>
      <c r="F661" s="30"/>
      <c r="H661" s="31"/>
      <c r="I661" s="31"/>
      <c r="R661" s="32"/>
      <c r="S661" s="32"/>
      <c r="U661" s="33"/>
      <c r="V661" s="33"/>
      <c r="AD661" s="32"/>
    </row>
    <row r="662" spans="5:30" x14ac:dyDescent="0.2">
      <c r="E662" s="30"/>
      <c r="F662" s="30"/>
      <c r="H662" s="31"/>
      <c r="I662" s="31"/>
      <c r="R662" s="32"/>
      <c r="S662" s="32"/>
      <c r="U662" s="33"/>
      <c r="V662" s="33"/>
      <c r="AD662" s="32"/>
    </row>
    <row r="663" spans="5:30" x14ac:dyDescent="0.2">
      <c r="E663" s="30"/>
      <c r="F663" s="30"/>
      <c r="H663" s="31"/>
      <c r="I663" s="31"/>
      <c r="R663" s="32"/>
      <c r="S663" s="32"/>
      <c r="U663" s="33"/>
      <c r="V663" s="33"/>
      <c r="AD663" s="32"/>
    </row>
    <row r="664" spans="5:30" x14ac:dyDescent="0.2">
      <c r="E664" s="30"/>
      <c r="F664" s="30"/>
      <c r="H664" s="31"/>
      <c r="I664" s="31"/>
      <c r="R664" s="32"/>
      <c r="S664" s="32"/>
      <c r="U664" s="33"/>
      <c r="V664" s="33"/>
      <c r="AD664" s="32"/>
    </row>
    <row r="665" spans="5:30" x14ac:dyDescent="0.2">
      <c r="E665" s="30"/>
      <c r="F665" s="30"/>
      <c r="H665" s="31"/>
      <c r="I665" s="31"/>
      <c r="R665" s="32"/>
      <c r="S665" s="32"/>
      <c r="U665" s="33"/>
      <c r="V665" s="33"/>
      <c r="AD665" s="32"/>
    </row>
    <row r="666" spans="5:30" x14ac:dyDescent="0.2">
      <c r="E666" s="30"/>
      <c r="F666" s="30"/>
      <c r="H666" s="31"/>
      <c r="I666" s="31"/>
      <c r="R666" s="32"/>
      <c r="S666" s="32"/>
      <c r="U666" s="33"/>
      <c r="V666" s="33"/>
      <c r="AD666" s="32"/>
    </row>
    <row r="667" spans="5:30" x14ac:dyDescent="0.2">
      <c r="E667" s="30"/>
      <c r="F667" s="30"/>
      <c r="H667" s="31"/>
      <c r="I667" s="31"/>
      <c r="R667" s="32"/>
      <c r="S667" s="32"/>
      <c r="U667" s="33"/>
      <c r="V667" s="33"/>
      <c r="AD667" s="32"/>
    </row>
    <row r="668" spans="5:30" x14ac:dyDescent="0.2">
      <c r="E668" s="30"/>
      <c r="F668" s="30"/>
      <c r="H668" s="31"/>
      <c r="I668" s="31"/>
      <c r="R668" s="32"/>
      <c r="S668" s="32"/>
      <c r="U668" s="33"/>
      <c r="V668" s="33"/>
      <c r="AD668" s="32"/>
    </row>
    <row r="669" spans="5:30" x14ac:dyDescent="0.2">
      <c r="E669" s="30"/>
      <c r="F669" s="30"/>
      <c r="H669" s="31"/>
      <c r="I669" s="31"/>
      <c r="R669" s="32"/>
      <c r="S669" s="32"/>
      <c r="U669" s="33"/>
      <c r="V669" s="33"/>
      <c r="AD669" s="32"/>
    </row>
    <row r="670" spans="5:30" x14ac:dyDescent="0.2">
      <c r="E670" s="30"/>
      <c r="F670" s="30"/>
      <c r="H670" s="31"/>
      <c r="I670" s="31"/>
      <c r="R670" s="32"/>
      <c r="S670" s="32"/>
      <c r="U670" s="33"/>
      <c r="V670" s="33"/>
      <c r="AD670" s="32"/>
    </row>
    <row r="671" spans="5:30" x14ac:dyDescent="0.2">
      <c r="E671" s="30"/>
      <c r="F671" s="30"/>
      <c r="H671" s="31"/>
      <c r="I671" s="31"/>
      <c r="R671" s="32"/>
      <c r="S671" s="32"/>
      <c r="U671" s="33"/>
      <c r="V671" s="33"/>
      <c r="AD671" s="32"/>
    </row>
    <row r="672" spans="5:30" x14ac:dyDescent="0.2">
      <c r="E672" s="30"/>
      <c r="F672" s="30"/>
      <c r="H672" s="31"/>
      <c r="I672" s="31"/>
      <c r="R672" s="32"/>
      <c r="S672" s="32"/>
      <c r="U672" s="33"/>
      <c r="V672" s="33"/>
      <c r="AD672" s="32"/>
    </row>
    <row r="673" spans="5:30" x14ac:dyDescent="0.2">
      <c r="E673" s="30"/>
      <c r="F673" s="30"/>
      <c r="H673" s="31"/>
      <c r="I673" s="31"/>
      <c r="R673" s="32"/>
      <c r="S673" s="32"/>
      <c r="U673" s="33"/>
      <c r="V673" s="33"/>
      <c r="AD673" s="32"/>
    </row>
    <row r="674" spans="5:30" x14ac:dyDescent="0.2">
      <c r="E674" s="30"/>
      <c r="F674" s="30"/>
      <c r="H674" s="31"/>
      <c r="I674" s="31"/>
      <c r="R674" s="32"/>
      <c r="S674" s="32"/>
      <c r="U674" s="33"/>
      <c r="V674" s="33"/>
      <c r="AD674" s="32"/>
    </row>
    <row r="675" spans="5:30" x14ac:dyDescent="0.2">
      <c r="E675" s="30"/>
      <c r="F675" s="30"/>
      <c r="H675" s="31"/>
      <c r="I675" s="31"/>
      <c r="R675" s="32"/>
      <c r="S675" s="32"/>
      <c r="U675" s="33"/>
      <c r="V675" s="33"/>
      <c r="AD675" s="32"/>
    </row>
    <row r="676" spans="5:30" x14ac:dyDescent="0.2">
      <c r="E676" s="30"/>
      <c r="F676" s="30"/>
      <c r="H676" s="31"/>
      <c r="I676" s="31"/>
      <c r="R676" s="32"/>
      <c r="S676" s="32"/>
      <c r="U676" s="33"/>
      <c r="V676" s="33"/>
      <c r="AD676" s="32"/>
    </row>
    <row r="677" spans="5:30" x14ac:dyDescent="0.2">
      <c r="E677" s="30"/>
      <c r="F677" s="30"/>
      <c r="H677" s="31"/>
      <c r="I677" s="31"/>
      <c r="R677" s="32"/>
      <c r="S677" s="32"/>
      <c r="U677" s="33"/>
      <c r="V677" s="33"/>
      <c r="AD677" s="32"/>
    </row>
    <row r="678" spans="5:30" x14ac:dyDescent="0.2">
      <c r="E678" s="30"/>
      <c r="F678" s="30"/>
      <c r="H678" s="31"/>
      <c r="I678" s="31"/>
      <c r="R678" s="32"/>
      <c r="S678" s="32"/>
      <c r="U678" s="33"/>
      <c r="V678" s="33"/>
      <c r="AD678" s="32"/>
    </row>
    <row r="679" spans="5:30" x14ac:dyDescent="0.2">
      <c r="E679" s="30"/>
      <c r="F679" s="30"/>
      <c r="H679" s="31"/>
      <c r="I679" s="31"/>
      <c r="R679" s="32"/>
      <c r="S679" s="32"/>
      <c r="U679" s="33"/>
      <c r="V679" s="33"/>
      <c r="AD679" s="32"/>
    </row>
    <row r="680" spans="5:30" x14ac:dyDescent="0.2">
      <c r="E680" s="30"/>
      <c r="F680" s="30"/>
      <c r="H680" s="31"/>
      <c r="I680" s="31"/>
      <c r="R680" s="32"/>
      <c r="S680" s="32"/>
      <c r="U680" s="33"/>
      <c r="V680" s="33"/>
      <c r="AD680" s="32"/>
    </row>
    <row r="681" spans="5:30" x14ac:dyDescent="0.2">
      <c r="E681" s="30"/>
      <c r="F681" s="30"/>
      <c r="H681" s="31"/>
      <c r="I681" s="31"/>
      <c r="R681" s="32"/>
      <c r="S681" s="32"/>
      <c r="U681" s="33"/>
      <c r="V681" s="33"/>
      <c r="AD681" s="32"/>
    </row>
    <row r="682" spans="5:30" x14ac:dyDescent="0.2">
      <c r="E682" s="30"/>
      <c r="F682" s="30"/>
      <c r="H682" s="31"/>
      <c r="I682" s="31"/>
      <c r="R682" s="32"/>
      <c r="S682" s="32"/>
      <c r="U682" s="33"/>
      <c r="V682" s="33"/>
      <c r="AD682" s="32"/>
    </row>
    <row r="683" spans="5:30" x14ac:dyDescent="0.2">
      <c r="E683" s="30"/>
      <c r="F683" s="30"/>
      <c r="H683" s="31"/>
      <c r="I683" s="31"/>
      <c r="R683" s="32"/>
      <c r="S683" s="32"/>
      <c r="U683" s="33"/>
      <c r="V683" s="33"/>
      <c r="AD683" s="32"/>
    </row>
    <row r="684" spans="5:30" x14ac:dyDescent="0.2">
      <c r="E684" s="30"/>
      <c r="F684" s="30"/>
      <c r="H684" s="31"/>
      <c r="I684" s="31"/>
      <c r="R684" s="32"/>
      <c r="S684" s="32"/>
      <c r="U684" s="33"/>
      <c r="V684" s="33"/>
      <c r="AD684" s="32"/>
    </row>
    <row r="685" spans="5:30" x14ac:dyDescent="0.2">
      <c r="E685" s="30"/>
      <c r="F685" s="30"/>
      <c r="H685" s="31"/>
      <c r="I685" s="31"/>
      <c r="R685" s="32"/>
      <c r="S685" s="32"/>
      <c r="U685" s="33"/>
      <c r="V685" s="33"/>
      <c r="AD685" s="32"/>
    </row>
    <row r="686" spans="5:30" x14ac:dyDescent="0.2">
      <c r="E686" s="30"/>
      <c r="F686" s="30"/>
      <c r="H686" s="31"/>
      <c r="I686" s="31"/>
      <c r="R686" s="32"/>
      <c r="S686" s="32"/>
      <c r="U686" s="33"/>
      <c r="V686" s="33"/>
      <c r="AD686" s="32"/>
    </row>
    <row r="687" spans="5:30" x14ac:dyDescent="0.2">
      <c r="E687" s="30"/>
      <c r="F687" s="30"/>
      <c r="H687" s="31"/>
      <c r="I687" s="31"/>
      <c r="R687" s="32"/>
      <c r="S687" s="32"/>
      <c r="U687" s="33"/>
      <c r="V687" s="33"/>
      <c r="AD687" s="32"/>
    </row>
    <row r="688" spans="5:30" x14ac:dyDescent="0.2">
      <c r="E688" s="30"/>
      <c r="F688" s="30"/>
      <c r="H688" s="31"/>
      <c r="I688" s="31"/>
      <c r="R688" s="32"/>
      <c r="S688" s="32"/>
      <c r="U688" s="33"/>
      <c r="V688" s="33"/>
      <c r="AD688" s="32"/>
    </row>
    <row r="689" spans="5:30" x14ac:dyDescent="0.2">
      <c r="E689" s="30"/>
      <c r="F689" s="30"/>
      <c r="H689" s="31"/>
      <c r="I689" s="31"/>
      <c r="R689" s="32"/>
      <c r="S689" s="32"/>
      <c r="U689" s="33"/>
      <c r="V689" s="33"/>
      <c r="AD689" s="32"/>
    </row>
    <row r="690" spans="5:30" x14ac:dyDescent="0.2">
      <c r="E690" s="30"/>
      <c r="F690" s="30"/>
      <c r="H690" s="31"/>
      <c r="I690" s="31"/>
      <c r="R690" s="32"/>
      <c r="S690" s="32"/>
      <c r="U690" s="33"/>
      <c r="V690" s="33"/>
      <c r="AD690" s="32"/>
    </row>
    <row r="691" spans="5:30" x14ac:dyDescent="0.2">
      <c r="E691" s="30"/>
      <c r="F691" s="30"/>
      <c r="H691" s="31"/>
      <c r="I691" s="31"/>
      <c r="R691" s="32"/>
      <c r="S691" s="32"/>
      <c r="U691" s="33"/>
      <c r="V691" s="33"/>
      <c r="AD691" s="32"/>
    </row>
    <row r="692" spans="5:30" x14ac:dyDescent="0.2">
      <c r="E692" s="30"/>
      <c r="F692" s="30"/>
      <c r="H692" s="31"/>
      <c r="I692" s="31"/>
      <c r="R692" s="32"/>
      <c r="S692" s="32"/>
      <c r="U692" s="33"/>
      <c r="V692" s="33"/>
      <c r="AD692" s="32"/>
    </row>
    <row r="693" spans="5:30" x14ac:dyDescent="0.2">
      <c r="E693" s="30"/>
      <c r="F693" s="30"/>
      <c r="H693" s="31"/>
      <c r="I693" s="31"/>
      <c r="R693" s="32"/>
      <c r="S693" s="32"/>
      <c r="U693" s="33"/>
      <c r="V693" s="33"/>
      <c r="AD693" s="32"/>
    </row>
    <row r="694" spans="5:30" x14ac:dyDescent="0.2">
      <c r="E694" s="30"/>
      <c r="F694" s="30"/>
      <c r="H694" s="31"/>
      <c r="I694" s="31"/>
      <c r="R694" s="32"/>
      <c r="S694" s="32"/>
      <c r="U694" s="33"/>
      <c r="V694" s="33"/>
      <c r="AD694" s="32"/>
    </row>
    <row r="695" spans="5:30" x14ac:dyDescent="0.2">
      <c r="E695" s="30"/>
      <c r="F695" s="30"/>
      <c r="H695" s="31"/>
      <c r="I695" s="31"/>
      <c r="R695" s="32"/>
      <c r="S695" s="32"/>
      <c r="U695" s="33"/>
      <c r="V695" s="33"/>
      <c r="AD695" s="32"/>
    </row>
    <row r="696" spans="5:30" x14ac:dyDescent="0.2">
      <c r="E696" s="30"/>
      <c r="F696" s="30"/>
      <c r="H696" s="31"/>
      <c r="I696" s="31"/>
      <c r="R696" s="32"/>
      <c r="S696" s="32"/>
      <c r="U696" s="33"/>
      <c r="V696" s="33"/>
      <c r="AD696" s="32"/>
    </row>
    <row r="697" spans="5:30" x14ac:dyDescent="0.2">
      <c r="E697" s="30"/>
      <c r="F697" s="30"/>
      <c r="H697" s="31"/>
      <c r="I697" s="31"/>
      <c r="R697" s="32"/>
      <c r="S697" s="32"/>
      <c r="U697" s="33"/>
      <c r="V697" s="33"/>
      <c r="AD697" s="32"/>
    </row>
    <row r="698" spans="5:30" x14ac:dyDescent="0.2">
      <c r="E698" s="30"/>
      <c r="F698" s="30"/>
      <c r="H698" s="31"/>
      <c r="I698" s="31"/>
      <c r="R698" s="32"/>
      <c r="S698" s="32"/>
      <c r="U698" s="33"/>
      <c r="V698" s="33"/>
      <c r="AD698" s="32"/>
    </row>
    <row r="699" spans="5:30" x14ac:dyDescent="0.2">
      <c r="E699" s="30"/>
      <c r="F699" s="30"/>
      <c r="H699" s="31"/>
      <c r="I699" s="31"/>
      <c r="R699" s="32"/>
      <c r="S699" s="32"/>
      <c r="U699" s="33"/>
      <c r="V699" s="33"/>
      <c r="AD699" s="32"/>
    </row>
    <row r="700" spans="5:30" x14ac:dyDescent="0.2">
      <c r="E700" s="30"/>
      <c r="F700" s="30"/>
      <c r="H700" s="31"/>
      <c r="I700" s="31"/>
      <c r="R700" s="32"/>
      <c r="S700" s="32"/>
      <c r="U700" s="33"/>
      <c r="V700" s="33"/>
      <c r="AD700" s="32"/>
    </row>
    <row r="701" spans="5:30" x14ac:dyDescent="0.2">
      <c r="E701" s="30"/>
      <c r="F701" s="30"/>
      <c r="H701" s="31"/>
      <c r="I701" s="31"/>
      <c r="R701" s="32"/>
      <c r="S701" s="32"/>
      <c r="U701" s="33"/>
      <c r="V701" s="33"/>
      <c r="AD701" s="32"/>
    </row>
    <row r="702" spans="5:30" x14ac:dyDescent="0.2">
      <c r="E702" s="30"/>
      <c r="F702" s="30"/>
      <c r="H702" s="31"/>
      <c r="I702" s="31"/>
      <c r="R702" s="32"/>
      <c r="S702" s="32"/>
      <c r="U702" s="33"/>
      <c r="V702" s="33"/>
      <c r="AD702" s="32"/>
    </row>
    <row r="703" spans="5:30" x14ac:dyDescent="0.2">
      <c r="E703" s="30"/>
      <c r="F703" s="30"/>
      <c r="H703" s="31"/>
      <c r="I703" s="31"/>
      <c r="R703" s="32"/>
      <c r="S703" s="32"/>
      <c r="U703" s="33"/>
      <c r="V703" s="33"/>
      <c r="AD703" s="32"/>
    </row>
    <row r="704" spans="5:30" x14ac:dyDescent="0.2">
      <c r="E704" s="30"/>
      <c r="F704" s="30"/>
      <c r="H704" s="31"/>
      <c r="I704" s="31"/>
      <c r="R704" s="32"/>
      <c r="S704" s="32"/>
      <c r="U704" s="33"/>
      <c r="V704" s="33"/>
      <c r="AD704" s="32"/>
    </row>
    <row r="705" spans="5:30" x14ac:dyDescent="0.2">
      <c r="E705" s="30"/>
      <c r="F705" s="30"/>
      <c r="H705" s="31"/>
      <c r="I705" s="31"/>
      <c r="R705" s="32"/>
      <c r="S705" s="32"/>
      <c r="U705" s="33"/>
      <c r="V705" s="33"/>
      <c r="AD705" s="32"/>
    </row>
    <row r="706" spans="5:30" x14ac:dyDescent="0.2">
      <c r="E706" s="30"/>
      <c r="F706" s="30"/>
      <c r="H706" s="31"/>
      <c r="I706" s="31"/>
      <c r="R706" s="32"/>
      <c r="S706" s="32"/>
      <c r="U706" s="33"/>
      <c r="V706" s="33"/>
      <c r="AD706" s="32"/>
    </row>
    <row r="707" spans="5:30" x14ac:dyDescent="0.2">
      <c r="E707" s="30"/>
      <c r="F707" s="30"/>
      <c r="H707" s="31"/>
      <c r="I707" s="31"/>
      <c r="R707" s="32"/>
      <c r="S707" s="32"/>
      <c r="U707" s="33"/>
      <c r="V707" s="33"/>
      <c r="AD707" s="32"/>
    </row>
    <row r="708" spans="5:30" x14ac:dyDescent="0.2">
      <c r="E708" s="30"/>
      <c r="F708" s="30"/>
      <c r="H708" s="31"/>
      <c r="I708" s="31"/>
      <c r="R708" s="32"/>
      <c r="S708" s="32"/>
      <c r="U708" s="33"/>
      <c r="V708" s="33"/>
      <c r="AD708" s="32"/>
    </row>
    <row r="709" spans="5:30" x14ac:dyDescent="0.2">
      <c r="E709" s="30"/>
      <c r="F709" s="30"/>
      <c r="H709" s="31"/>
      <c r="I709" s="31"/>
      <c r="R709" s="32"/>
      <c r="S709" s="32"/>
      <c r="U709" s="33"/>
      <c r="V709" s="33"/>
      <c r="AD709" s="32"/>
    </row>
    <row r="710" spans="5:30" x14ac:dyDescent="0.2">
      <c r="E710" s="30"/>
      <c r="F710" s="30"/>
      <c r="I710" s="31"/>
      <c r="R710" s="32"/>
      <c r="S710" s="32"/>
      <c r="U710" s="33"/>
      <c r="V710" s="33"/>
      <c r="AD710" s="32"/>
    </row>
    <row r="711" spans="5:30" x14ac:dyDescent="0.2">
      <c r="E711" s="30"/>
      <c r="F711" s="30"/>
      <c r="I711" s="31"/>
      <c r="R711" s="32"/>
      <c r="S711" s="32"/>
      <c r="U711" s="33"/>
      <c r="V711" s="33"/>
      <c r="AD711" s="32"/>
    </row>
    <row r="712" spans="5:30" x14ac:dyDescent="0.2">
      <c r="E712" s="30"/>
      <c r="F712" s="30"/>
      <c r="H712" s="31"/>
      <c r="I712" s="31"/>
      <c r="R712" s="32"/>
      <c r="S712" s="32"/>
      <c r="U712" s="33"/>
      <c r="V712" s="33"/>
      <c r="AD712" s="32"/>
    </row>
    <row r="713" spans="5:30" x14ac:dyDescent="0.2">
      <c r="E713" s="30"/>
      <c r="F713" s="30"/>
      <c r="I713" s="31"/>
      <c r="R713" s="32"/>
      <c r="S713" s="32"/>
      <c r="U713" s="33"/>
      <c r="V713" s="33"/>
      <c r="AD713" s="32"/>
    </row>
    <row r="714" spans="5:30" x14ac:dyDescent="0.2">
      <c r="E714" s="30"/>
      <c r="F714" s="30"/>
      <c r="H714" s="31"/>
      <c r="I714" s="31"/>
      <c r="R714" s="32"/>
      <c r="S714" s="32"/>
      <c r="U714" s="33"/>
      <c r="V714" s="33"/>
      <c r="AD714" s="32"/>
    </row>
    <row r="715" spans="5:30" x14ac:dyDescent="0.2">
      <c r="E715" s="30"/>
      <c r="F715" s="30"/>
      <c r="I715" s="31"/>
      <c r="R715" s="32"/>
      <c r="S715" s="32"/>
      <c r="U715" s="33"/>
      <c r="V715" s="33"/>
      <c r="AD715" s="32"/>
    </row>
    <row r="716" spans="5:30" x14ac:dyDescent="0.2">
      <c r="E716" s="30"/>
      <c r="F716" s="30"/>
      <c r="I716" s="31"/>
      <c r="R716" s="32"/>
      <c r="S716" s="32"/>
      <c r="U716" s="33"/>
      <c r="V716" s="33"/>
      <c r="AD716" s="32"/>
    </row>
    <row r="717" spans="5:30" x14ac:dyDescent="0.2">
      <c r="E717" s="30"/>
      <c r="F717" s="30"/>
      <c r="I717" s="31"/>
      <c r="R717" s="32"/>
      <c r="S717" s="32"/>
      <c r="U717" s="33"/>
      <c r="V717" s="33"/>
      <c r="AD717" s="32"/>
    </row>
    <row r="718" spans="5:30" x14ac:dyDescent="0.2">
      <c r="E718" s="30"/>
      <c r="F718" s="30"/>
      <c r="I718" s="31"/>
      <c r="R718" s="32"/>
      <c r="S718" s="32"/>
      <c r="U718" s="33"/>
      <c r="V718" s="33"/>
      <c r="AD718" s="32"/>
    </row>
    <row r="719" spans="5:30" x14ac:dyDescent="0.2">
      <c r="E719" s="30"/>
      <c r="F719" s="30"/>
      <c r="I719" s="31"/>
      <c r="R719" s="32"/>
      <c r="S719" s="32"/>
      <c r="U719" s="33"/>
      <c r="V719" s="33"/>
      <c r="AD719" s="32"/>
    </row>
    <row r="720" spans="5:30" x14ac:dyDescent="0.2">
      <c r="E720" s="30"/>
      <c r="F720" s="30"/>
      <c r="I720" s="31"/>
      <c r="R720" s="32"/>
      <c r="S720" s="32"/>
      <c r="U720" s="33"/>
      <c r="V720" s="33"/>
      <c r="AD720" s="32"/>
    </row>
    <row r="721" spans="5:40" x14ac:dyDescent="0.2">
      <c r="E721" s="30"/>
      <c r="F721" s="30"/>
      <c r="I721" s="31"/>
      <c r="R721" s="32"/>
      <c r="S721" s="32"/>
      <c r="U721" s="33"/>
      <c r="V721" s="33"/>
      <c r="AD721" s="32"/>
    </row>
    <row r="722" spans="5:40" x14ac:dyDescent="0.2">
      <c r="E722" s="30"/>
      <c r="F722" s="30"/>
      <c r="G722" s="32"/>
      <c r="I722" s="31"/>
      <c r="J722" s="32"/>
      <c r="K722" s="32"/>
      <c r="N722" s="32"/>
      <c r="O722" s="32"/>
      <c r="P722" s="32"/>
      <c r="Q722" s="119"/>
      <c r="R722" s="32"/>
      <c r="S722" s="32"/>
      <c r="T722" s="32"/>
      <c r="U722" s="32"/>
      <c r="V722" s="32"/>
      <c r="AD722" s="32"/>
      <c r="AE722" s="32"/>
      <c r="AF722" s="32"/>
      <c r="AG722" s="32"/>
      <c r="AH722" s="32"/>
      <c r="AJ722" s="32"/>
      <c r="AK722" s="32"/>
      <c r="AL722" s="32"/>
      <c r="AM722" s="32"/>
      <c r="AN722" s="32"/>
    </row>
    <row r="723" spans="5:40" x14ac:dyDescent="0.2">
      <c r="E723" s="30"/>
      <c r="F723" s="30"/>
      <c r="H723" s="31"/>
      <c r="I723" s="31"/>
      <c r="R723" s="32"/>
      <c r="S723" s="32"/>
      <c r="U723" s="33"/>
      <c r="V723" s="33"/>
      <c r="AD723" s="32"/>
    </row>
    <row r="724" spans="5:40" x14ac:dyDescent="0.2">
      <c r="E724" s="30"/>
      <c r="F724" s="30"/>
      <c r="H724" s="31"/>
      <c r="I724" s="31"/>
      <c r="R724" s="32"/>
      <c r="S724" s="32"/>
      <c r="U724" s="33"/>
      <c r="V724" s="33"/>
      <c r="AD724" s="32"/>
    </row>
    <row r="725" spans="5:40" x14ac:dyDescent="0.2">
      <c r="E725" s="30"/>
      <c r="F725" s="30"/>
      <c r="H725" s="31"/>
      <c r="I725" s="31"/>
      <c r="R725" s="32"/>
      <c r="S725" s="32"/>
      <c r="U725" s="33"/>
      <c r="V725" s="33"/>
      <c r="AD725" s="32"/>
    </row>
    <row r="726" spans="5:40" x14ac:dyDescent="0.2">
      <c r="E726" s="30"/>
      <c r="F726" s="30"/>
      <c r="H726" s="31"/>
      <c r="I726" s="31"/>
      <c r="R726" s="32"/>
      <c r="S726" s="32"/>
      <c r="U726" s="33"/>
      <c r="V726" s="33"/>
      <c r="AD726" s="32"/>
    </row>
    <row r="727" spans="5:40" x14ac:dyDescent="0.2">
      <c r="E727" s="30"/>
      <c r="F727" s="30"/>
      <c r="H727" s="31"/>
      <c r="I727" s="31"/>
      <c r="R727" s="32"/>
      <c r="S727" s="32"/>
      <c r="U727" s="33"/>
      <c r="V727" s="33"/>
      <c r="AD727" s="32"/>
    </row>
    <row r="728" spans="5:40" x14ac:dyDescent="0.2">
      <c r="E728" s="30"/>
      <c r="F728" s="30"/>
      <c r="H728" s="31"/>
      <c r="I728" s="31"/>
      <c r="R728" s="32"/>
      <c r="S728" s="32"/>
      <c r="U728" s="33"/>
      <c r="V728" s="33"/>
      <c r="AD728" s="32"/>
    </row>
    <row r="729" spans="5:40" x14ac:dyDescent="0.2">
      <c r="E729" s="30"/>
      <c r="F729" s="30"/>
      <c r="H729" s="31"/>
      <c r="I729" s="31"/>
      <c r="R729" s="32"/>
      <c r="S729" s="32"/>
      <c r="U729" s="33"/>
      <c r="V729" s="33"/>
      <c r="AD729" s="32"/>
    </row>
    <row r="730" spans="5:40" x14ac:dyDescent="0.2">
      <c r="E730" s="30"/>
      <c r="F730" s="30"/>
      <c r="H730" s="31"/>
      <c r="I730" s="31"/>
      <c r="R730" s="32"/>
      <c r="S730" s="32"/>
      <c r="U730" s="33"/>
      <c r="V730" s="33"/>
      <c r="AD730" s="32"/>
    </row>
    <row r="731" spans="5:40" x14ac:dyDescent="0.2">
      <c r="E731" s="30"/>
      <c r="F731" s="30"/>
      <c r="H731" s="31"/>
      <c r="I731" s="31"/>
      <c r="R731" s="32"/>
      <c r="S731" s="32"/>
      <c r="U731" s="33"/>
      <c r="V731" s="33"/>
      <c r="AD731" s="32"/>
    </row>
    <row r="732" spans="5:40" x14ac:dyDescent="0.2">
      <c r="E732" s="30"/>
      <c r="F732" s="30"/>
      <c r="H732" s="31"/>
      <c r="I732" s="31"/>
      <c r="R732" s="32"/>
      <c r="S732" s="32"/>
      <c r="U732" s="33"/>
      <c r="V732" s="33"/>
      <c r="AD732" s="32"/>
    </row>
    <row r="733" spans="5:40" x14ac:dyDescent="0.2">
      <c r="E733" s="30"/>
      <c r="F733" s="30"/>
      <c r="H733" s="31"/>
      <c r="I733" s="31"/>
      <c r="R733" s="32"/>
      <c r="S733" s="32"/>
      <c r="U733" s="33"/>
      <c r="V733" s="33"/>
      <c r="AD733" s="32"/>
    </row>
    <row r="734" spans="5:40" x14ac:dyDescent="0.2">
      <c r="E734" s="30"/>
      <c r="F734" s="30"/>
      <c r="H734" s="31"/>
      <c r="I734" s="31"/>
      <c r="R734" s="32"/>
      <c r="S734" s="32"/>
      <c r="U734" s="33"/>
      <c r="V734" s="33"/>
      <c r="AD734" s="32"/>
    </row>
    <row r="735" spans="5:40" x14ac:dyDescent="0.2">
      <c r="E735" s="30"/>
      <c r="F735" s="30"/>
      <c r="H735" s="31"/>
      <c r="I735" s="31"/>
      <c r="R735" s="32"/>
      <c r="S735" s="32"/>
      <c r="U735" s="33"/>
      <c r="V735" s="33"/>
      <c r="AD735" s="32"/>
    </row>
    <row r="736" spans="5:40" x14ac:dyDescent="0.2">
      <c r="E736" s="30"/>
      <c r="F736" s="30"/>
      <c r="H736" s="31"/>
      <c r="I736" s="31"/>
      <c r="R736" s="32"/>
      <c r="S736" s="32"/>
      <c r="U736" s="33"/>
      <c r="V736" s="33"/>
      <c r="AD736" s="32"/>
    </row>
    <row r="737" spans="5:30" x14ac:dyDescent="0.2">
      <c r="E737" s="30"/>
      <c r="F737" s="30"/>
      <c r="H737" s="31"/>
      <c r="I737" s="31"/>
      <c r="R737" s="32"/>
      <c r="S737" s="32"/>
      <c r="U737" s="33"/>
      <c r="V737" s="33"/>
      <c r="AD737" s="32"/>
    </row>
    <row r="738" spans="5:30" x14ac:dyDescent="0.2">
      <c r="E738" s="30"/>
      <c r="F738" s="30"/>
      <c r="H738" s="31"/>
      <c r="I738" s="31"/>
      <c r="R738" s="32"/>
      <c r="S738" s="32"/>
      <c r="U738" s="33"/>
      <c r="V738" s="33"/>
      <c r="AD738" s="32"/>
    </row>
    <row r="739" spans="5:30" x14ac:dyDescent="0.2">
      <c r="E739" s="30"/>
      <c r="F739" s="30"/>
      <c r="H739" s="31"/>
      <c r="I739" s="31"/>
      <c r="R739" s="32"/>
      <c r="S739" s="32"/>
      <c r="U739" s="33"/>
      <c r="V739" s="33"/>
      <c r="AD739" s="32"/>
    </row>
    <row r="740" spans="5:30" x14ac:dyDescent="0.2">
      <c r="E740" s="30"/>
      <c r="F740" s="30"/>
      <c r="H740" s="31"/>
      <c r="I740" s="31"/>
      <c r="R740" s="32"/>
      <c r="S740" s="32"/>
      <c r="U740" s="33"/>
      <c r="V740" s="33"/>
      <c r="AD740" s="32"/>
    </row>
    <row r="741" spans="5:30" x14ac:dyDescent="0.2">
      <c r="E741" s="30"/>
      <c r="F741" s="30"/>
      <c r="H741" s="31"/>
      <c r="I741" s="31"/>
      <c r="R741" s="32"/>
      <c r="S741" s="32"/>
      <c r="U741" s="33"/>
      <c r="V741" s="33"/>
      <c r="AD741" s="32"/>
    </row>
    <row r="742" spans="5:30" x14ac:dyDescent="0.2">
      <c r="E742" s="30"/>
      <c r="F742" s="30"/>
      <c r="H742" s="31"/>
      <c r="I742" s="31"/>
      <c r="R742" s="32"/>
      <c r="S742" s="32"/>
      <c r="U742" s="33"/>
      <c r="V742" s="33"/>
      <c r="AD742" s="32"/>
    </row>
    <row r="743" spans="5:30" x14ac:dyDescent="0.2">
      <c r="E743" s="30"/>
      <c r="F743" s="30"/>
      <c r="H743" s="31"/>
      <c r="I743" s="31"/>
      <c r="R743" s="32"/>
      <c r="S743" s="32"/>
      <c r="U743" s="33"/>
      <c r="V743" s="33"/>
      <c r="AD743" s="32"/>
    </row>
    <row r="744" spans="5:30" x14ac:dyDescent="0.2">
      <c r="E744" s="30"/>
      <c r="F744" s="30"/>
      <c r="H744" s="31"/>
      <c r="I744" s="31"/>
      <c r="R744" s="32"/>
      <c r="S744" s="32"/>
      <c r="U744" s="33"/>
      <c r="V744" s="33"/>
      <c r="AD744" s="32"/>
    </row>
    <row r="745" spans="5:30" x14ac:dyDescent="0.2">
      <c r="E745" s="30"/>
      <c r="F745" s="30"/>
      <c r="H745" s="31"/>
      <c r="I745" s="31"/>
      <c r="R745" s="32"/>
      <c r="S745" s="32"/>
      <c r="U745" s="33"/>
      <c r="V745" s="33"/>
      <c r="AD745" s="32"/>
    </row>
    <row r="746" spans="5:30" x14ac:dyDescent="0.2">
      <c r="E746" s="30"/>
      <c r="F746" s="30"/>
      <c r="H746" s="31"/>
      <c r="I746" s="31"/>
      <c r="R746" s="32"/>
      <c r="S746" s="32"/>
      <c r="U746" s="33"/>
      <c r="V746" s="33"/>
      <c r="AD746" s="32"/>
    </row>
    <row r="747" spans="5:30" x14ac:dyDescent="0.2">
      <c r="E747" s="30"/>
      <c r="F747" s="30"/>
      <c r="H747" s="31"/>
      <c r="I747" s="31"/>
      <c r="R747" s="32"/>
      <c r="S747" s="32"/>
      <c r="U747" s="33"/>
      <c r="V747" s="33"/>
      <c r="AD747" s="32"/>
    </row>
    <row r="748" spans="5:30" x14ac:dyDescent="0.2">
      <c r="E748" s="30"/>
      <c r="F748" s="30"/>
      <c r="H748" s="31"/>
      <c r="I748" s="31"/>
      <c r="R748" s="32"/>
      <c r="S748" s="32"/>
      <c r="U748" s="33"/>
      <c r="V748" s="33"/>
      <c r="AD748" s="32"/>
    </row>
    <row r="749" spans="5:30" x14ac:dyDescent="0.2">
      <c r="E749" s="30"/>
      <c r="F749" s="30"/>
      <c r="H749" s="31"/>
      <c r="I749" s="31"/>
      <c r="R749" s="32"/>
      <c r="S749" s="32"/>
      <c r="U749" s="33"/>
      <c r="V749" s="33"/>
      <c r="AD749" s="32"/>
    </row>
    <row r="750" spans="5:30" x14ac:dyDescent="0.2">
      <c r="E750" s="30"/>
      <c r="F750" s="30"/>
      <c r="H750" s="31"/>
      <c r="I750" s="31"/>
      <c r="R750" s="32"/>
      <c r="S750" s="32"/>
      <c r="U750" s="33"/>
      <c r="V750" s="33"/>
      <c r="AD750" s="32"/>
    </row>
    <row r="751" spans="5:30" x14ac:dyDescent="0.2">
      <c r="E751" s="30"/>
      <c r="F751" s="30"/>
      <c r="H751" s="31"/>
      <c r="I751" s="31"/>
      <c r="R751" s="32"/>
      <c r="S751" s="32"/>
      <c r="U751" s="33"/>
      <c r="V751" s="33"/>
      <c r="AD751" s="32"/>
    </row>
    <row r="752" spans="5:30" x14ac:dyDescent="0.2">
      <c r="E752" s="30"/>
      <c r="F752" s="30"/>
      <c r="H752" s="31"/>
      <c r="I752" s="31"/>
      <c r="R752" s="32"/>
      <c r="S752" s="32"/>
      <c r="U752" s="33"/>
      <c r="V752" s="33"/>
      <c r="AD752" s="32"/>
    </row>
    <row r="753" spans="5:30" x14ac:dyDescent="0.2">
      <c r="E753" s="30"/>
      <c r="F753" s="30"/>
      <c r="H753" s="31"/>
      <c r="I753" s="31"/>
      <c r="R753" s="32"/>
      <c r="S753" s="32"/>
      <c r="U753" s="33"/>
      <c r="V753" s="33"/>
      <c r="AD753" s="32"/>
    </row>
    <row r="754" spans="5:30" x14ac:dyDescent="0.2">
      <c r="E754" s="30"/>
      <c r="F754" s="30"/>
      <c r="H754" s="31"/>
      <c r="I754" s="31"/>
      <c r="R754" s="32"/>
      <c r="S754" s="32"/>
      <c r="U754" s="33"/>
      <c r="V754" s="33"/>
      <c r="AD754" s="32"/>
    </row>
    <row r="755" spans="5:30" x14ac:dyDescent="0.2">
      <c r="E755" s="30"/>
      <c r="F755" s="30"/>
      <c r="H755" s="31"/>
      <c r="I755" s="31"/>
      <c r="R755" s="32"/>
      <c r="S755" s="32"/>
      <c r="U755" s="33"/>
      <c r="V755" s="33"/>
      <c r="AD755" s="32"/>
    </row>
    <row r="756" spans="5:30" x14ac:dyDescent="0.2">
      <c r="E756" s="30"/>
      <c r="F756" s="30"/>
      <c r="H756" s="31"/>
      <c r="I756" s="31"/>
      <c r="R756" s="32"/>
      <c r="S756" s="32"/>
      <c r="U756" s="33"/>
      <c r="V756" s="33"/>
      <c r="AD756" s="32"/>
    </row>
    <row r="757" spans="5:30" x14ac:dyDescent="0.2">
      <c r="E757" s="30"/>
      <c r="F757" s="30"/>
      <c r="H757" s="31"/>
      <c r="I757" s="31"/>
      <c r="R757" s="32"/>
      <c r="S757" s="32"/>
      <c r="U757" s="33"/>
      <c r="V757" s="33"/>
      <c r="AD757" s="32"/>
    </row>
    <row r="758" spans="5:30" x14ac:dyDescent="0.2">
      <c r="E758" s="30"/>
      <c r="F758" s="30"/>
      <c r="H758" s="31"/>
      <c r="I758" s="31"/>
      <c r="R758" s="32"/>
      <c r="S758" s="32"/>
      <c r="U758" s="33"/>
      <c r="V758" s="33"/>
      <c r="AD758" s="32"/>
    </row>
    <row r="759" spans="5:30" x14ac:dyDescent="0.2">
      <c r="E759" s="30"/>
      <c r="F759" s="30"/>
      <c r="H759" s="31"/>
      <c r="I759" s="31"/>
      <c r="R759" s="32"/>
      <c r="S759" s="32"/>
      <c r="U759" s="33"/>
      <c r="V759" s="33"/>
      <c r="AD759" s="32"/>
    </row>
    <row r="760" spans="5:30" x14ac:dyDescent="0.2">
      <c r="E760" s="30"/>
      <c r="F760" s="30"/>
      <c r="H760" s="31"/>
      <c r="I760" s="31"/>
      <c r="R760" s="32"/>
      <c r="S760" s="32"/>
      <c r="U760" s="33"/>
      <c r="V760" s="33"/>
      <c r="AD760" s="32"/>
    </row>
    <row r="761" spans="5:30" x14ac:dyDescent="0.2">
      <c r="E761" s="30"/>
      <c r="F761" s="30"/>
      <c r="H761" s="31"/>
      <c r="I761" s="31"/>
      <c r="R761" s="32"/>
      <c r="S761" s="32"/>
      <c r="U761" s="33"/>
      <c r="V761" s="33"/>
      <c r="AD761" s="32"/>
    </row>
    <row r="762" spans="5:30" x14ac:dyDescent="0.2">
      <c r="E762" s="30"/>
      <c r="F762" s="30"/>
      <c r="H762" s="31"/>
      <c r="I762" s="31"/>
      <c r="R762" s="32"/>
      <c r="S762" s="32"/>
      <c r="U762" s="33"/>
      <c r="V762" s="33"/>
      <c r="AD762" s="32"/>
    </row>
    <row r="763" spans="5:30" x14ac:dyDescent="0.2">
      <c r="E763" s="30"/>
      <c r="F763" s="30"/>
      <c r="H763" s="31"/>
      <c r="I763" s="31"/>
      <c r="R763" s="32"/>
      <c r="S763" s="32"/>
      <c r="U763" s="33"/>
      <c r="V763" s="33"/>
      <c r="AD763" s="32"/>
    </row>
    <row r="764" spans="5:30" x14ac:dyDescent="0.2">
      <c r="E764" s="30"/>
      <c r="F764" s="30"/>
      <c r="H764" s="31"/>
      <c r="I764" s="31"/>
      <c r="R764" s="32"/>
      <c r="S764" s="32"/>
      <c r="U764" s="33"/>
      <c r="V764" s="33"/>
      <c r="AD764" s="32"/>
    </row>
    <row r="765" spans="5:30" x14ac:dyDescent="0.2">
      <c r="E765" s="30"/>
      <c r="F765" s="30"/>
      <c r="H765" s="31"/>
      <c r="I765" s="31"/>
      <c r="R765" s="32"/>
      <c r="S765" s="32"/>
      <c r="U765" s="33"/>
      <c r="V765" s="33"/>
      <c r="AD765" s="32"/>
    </row>
    <row r="766" spans="5:30" x14ac:dyDescent="0.2">
      <c r="E766" s="30"/>
      <c r="F766" s="30"/>
      <c r="H766" s="31"/>
      <c r="I766" s="31"/>
      <c r="R766" s="32"/>
      <c r="S766" s="32"/>
      <c r="U766" s="33"/>
      <c r="V766" s="33"/>
      <c r="AD766" s="32"/>
    </row>
    <row r="767" spans="5:30" x14ac:dyDescent="0.2">
      <c r="E767" s="30"/>
      <c r="F767" s="30"/>
      <c r="H767" s="31"/>
      <c r="I767" s="31"/>
      <c r="R767" s="32"/>
      <c r="S767" s="32"/>
      <c r="U767" s="33"/>
      <c r="V767" s="33"/>
      <c r="AD767" s="32"/>
    </row>
    <row r="768" spans="5:30" x14ac:dyDescent="0.2">
      <c r="E768" s="30"/>
      <c r="F768" s="30"/>
      <c r="H768" s="31"/>
      <c r="I768" s="31"/>
      <c r="R768" s="32"/>
      <c r="S768" s="32"/>
      <c r="U768" s="33"/>
      <c r="V768" s="33"/>
      <c r="AD768" s="32"/>
    </row>
    <row r="769" spans="5:40" x14ac:dyDescent="0.2">
      <c r="E769" s="30"/>
      <c r="F769" s="30"/>
      <c r="H769" s="31"/>
      <c r="I769" s="31"/>
      <c r="R769" s="32"/>
      <c r="S769" s="32"/>
      <c r="U769" s="33"/>
      <c r="V769" s="33"/>
      <c r="AD769" s="32"/>
    </row>
    <row r="770" spans="5:40" x14ac:dyDescent="0.2">
      <c r="E770" s="30"/>
      <c r="F770" s="30"/>
      <c r="H770" s="31"/>
      <c r="I770" s="31"/>
      <c r="R770" s="32"/>
      <c r="S770" s="32"/>
      <c r="U770" s="33"/>
      <c r="V770" s="33"/>
      <c r="AD770" s="32"/>
    </row>
    <row r="771" spans="5:40" x14ac:dyDescent="0.2">
      <c r="E771" s="30"/>
      <c r="F771" s="30"/>
      <c r="H771" s="31"/>
      <c r="I771" s="31"/>
      <c r="R771" s="32"/>
      <c r="S771" s="32"/>
      <c r="U771" s="33"/>
      <c r="V771" s="33"/>
      <c r="AD771" s="32"/>
    </row>
    <row r="772" spans="5:40" x14ac:dyDescent="0.2">
      <c r="E772" s="30"/>
      <c r="F772" s="30"/>
      <c r="H772" s="31"/>
      <c r="I772" s="31"/>
      <c r="R772" s="32"/>
      <c r="S772" s="32"/>
      <c r="U772" s="33"/>
      <c r="V772" s="33"/>
      <c r="AD772" s="32"/>
    </row>
    <row r="773" spans="5:40" x14ac:dyDescent="0.2">
      <c r="E773" s="30"/>
      <c r="F773" s="30"/>
      <c r="I773" s="31"/>
      <c r="R773" s="32"/>
      <c r="S773" s="32"/>
      <c r="U773" s="33"/>
      <c r="V773" s="33"/>
      <c r="AD773" s="32"/>
    </row>
    <row r="774" spans="5:40" x14ac:dyDescent="0.2">
      <c r="E774" s="30"/>
      <c r="F774" s="30"/>
      <c r="H774" s="31"/>
      <c r="R774" s="32"/>
      <c r="S774" s="32"/>
      <c r="U774" s="33"/>
      <c r="V774" s="33"/>
      <c r="AD774" s="32"/>
    </row>
    <row r="775" spans="5:40" x14ac:dyDescent="0.2">
      <c r="E775" s="30"/>
      <c r="F775" s="30"/>
      <c r="H775" s="31"/>
      <c r="R775" s="32"/>
      <c r="S775" s="32"/>
      <c r="U775" s="33"/>
      <c r="V775" s="33"/>
      <c r="AD775" s="32"/>
    </row>
    <row r="776" spans="5:40" x14ac:dyDescent="0.2">
      <c r="E776" s="30"/>
      <c r="F776" s="30"/>
      <c r="H776" s="31"/>
      <c r="R776" s="32"/>
      <c r="S776" s="32"/>
      <c r="U776" s="33"/>
      <c r="V776" s="33"/>
      <c r="AD776" s="32"/>
    </row>
    <row r="777" spans="5:40" x14ac:dyDescent="0.2">
      <c r="E777" s="30"/>
      <c r="F777" s="30"/>
      <c r="H777" s="31"/>
      <c r="R777" s="32"/>
      <c r="S777" s="32"/>
      <c r="U777" s="33"/>
      <c r="V777" s="33"/>
      <c r="AD777" s="32"/>
    </row>
    <row r="778" spans="5:40" x14ac:dyDescent="0.2">
      <c r="E778" s="30"/>
      <c r="F778" s="30"/>
      <c r="H778" s="31"/>
      <c r="R778" s="32"/>
      <c r="S778" s="32"/>
      <c r="U778" s="33"/>
      <c r="V778" s="33"/>
      <c r="AD778" s="32"/>
    </row>
    <row r="779" spans="5:40" x14ac:dyDescent="0.2">
      <c r="E779" s="30"/>
      <c r="F779" s="30"/>
      <c r="G779" s="32"/>
      <c r="H779" s="31"/>
      <c r="J779" s="32"/>
      <c r="K779" s="32"/>
      <c r="N779" s="32"/>
      <c r="O779" s="32"/>
      <c r="P779" s="32"/>
      <c r="Q779" s="119"/>
      <c r="R779" s="32"/>
      <c r="S779" s="32"/>
      <c r="T779" s="32"/>
      <c r="U779" s="32"/>
      <c r="V779" s="32"/>
      <c r="AD779" s="32"/>
      <c r="AE779" s="32"/>
      <c r="AF779" s="32"/>
      <c r="AG779" s="32"/>
      <c r="AH779" s="32"/>
      <c r="AJ779" s="32"/>
      <c r="AK779" s="32"/>
      <c r="AL779" s="32"/>
      <c r="AM779" s="32"/>
      <c r="AN779" s="32"/>
    </row>
    <row r="780" spans="5:40" x14ac:dyDescent="0.2">
      <c r="E780" s="30"/>
      <c r="F780" s="30"/>
      <c r="H780" s="31"/>
      <c r="I780" s="31"/>
      <c r="R780" s="32"/>
      <c r="S780" s="32"/>
      <c r="U780" s="33"/>
      <c r="V780" s="33"/>
      <c r="AD780" s="32"/>
    </row>
    <row r="781" spans="5:40" x14ac:dyDescent="0.2">
      <c r="E781" s="30"/>
      <c r="F781" s="30"/>
      <c r="H781" s="31"/>
      <c r="I781" s="31"/>
      <c r="R781" s="32"/>
      <c r="S781" s="32"/>
      <c r="U781" s="33"/>
      <c r="V781" s="33"/>
      <c r="AD781" s="32"/>
    </row>
    <row r="782" spans="5:40" x14ac:dyDescent="0.2">
      <c r="E782" s="30"/>
      <c r="F782" s="30"/>
      <c r="H782" s="31"/>
      <c r="I782" s="31"/>
      <c r="R782" s="32"/>
      <c r="S782" s="32"/>
      <c r="U782" s="33"/>
      <c r="V782" s="33"/>
      <c r="AD782" s="32"/>
    </row>
    <row r="783" spans="5:40" x14ac:dyDescent="0.2">
      <c r="E783" s="30"/>
      <c r="F783" s="30"/>
      <c r="H783" s="31"/>
      <c r="I783" s="31"/>
      <c r="R783" s="32"/>
      <c r="S783" s="32"/>
      <c r="U783" s="33"/>
      <c r="V783" s="33"/>
      <c r="AD783" s="32"/>
    </row>
    <row r="784" spans="5:40" x14ac:dyDescent="0.2">
      <c r="E784" s="30"/>
      <c r="F784" s="30"/>
      <c r="H784" s="31"/>
      <c r="I784" s="31"/>
      <c r="R784" s="32"/>
      <c r="S784" s="32"/>
      <c r="U784" s="33"/>
      <c r="V784" s="33"/>
      <c r="AD784" s="32"/>
    </row>
    <row r="785" spans="5:30" x14ac:dyDescent="0.2">
      <c r="E785" s="30"/>
      <c r="F785" s="30"/>
      <c r="H785" s="31"/>
      <c r="I785" s="31"/>
      <c r="R785" s="32"/>
      <c r="S785" s="32"/>
      <c r="U785" s="33"/>
      <c r="V785" s="33"/>
      <c r="AD785" s="32"/>
    </row>
    <row r="786" spans="5:30" x14ac:dyDescent="0.2">
      <c r="E786" s="30"/>
      <c r="F786" s="30"/>
      <c r="H786" s="31"/>
      <c r="I786" s="31"/>
      <c r="R786" s="32"/>
      <c r="S786" s="32"/>
      <c r="U786" s="33"/>
      <c r="V786" s="33"/>
      <c r="AD786" s="32"/>
    </row>
    <row r="787" spans="5:30" x14ac:dyDescent="0.2">
      <c r="E787" s="30"/>
      <c r="F787" s="30"/>
      <c r="H787" s="31"/>
      <c r="I787" s="31"/>
      <c r="R787" s="32"/>
      <c r="S787" s="32"/>
      <c r="U787" s="33"/>
      <c r="V787" s="33"/>
      <c r="AD787" s="32"/>
    </row>
    <row r="788" spans="5:30" x14ac:dyDescent="0.2">
      <c r="E788" s="30"/>
      <c r="F788" s="30"/>
      <c r="H788" s="31"/>
      <c r="I788" s="31"/>
      <c r="R788" s="32"/>
      <c r="S788" s="32"/>
      <c r="U788" s="33"/>
      <c r="V788" s="33"/>
      <c r="AD788" s="32"/>
    </row>
    <row r="789" spans="5:30" x14ac:dyDescent="0.2">
      <c r="E789" s="30"/>
      <c r="F789" s="30"/>
      <c r="H789" s="31"/>
      <c r="I789" s="31"/>
      <c r="R789" s="32"/>
      <c r="S789" s="32"/>
      <c r="U789" s="33"/>
      <c r="V789" s="33"/>
      <c r="AD789" s="32"/>
    </row>
    <row r="790" spans="5:30" x14ac:dyDescent="0.2">
      <c r="E790" s="30"/>
      <c r="F790" s="30"/>
      <c r="H790" s="31"/>
      <c r="I790" s="31"/>
      <c r="R790" s="32"/>
      <c r="S790" s="32"/>
      <c r="U790" s="33"/>
      <c r="V790" s="33"/>
      <c r="AD790" s="32"/>
    </row>
    <row r="791" spans="5:30" x14ac:dyDescent="0.2">
      <c r="E791" s="30"/>
      <c r="F791" s="30"/>
      <c r="H791" s="31"/>
      <c r="I791" s="31"/>
      <c r="R791" s="32"/>
      <c r="S791" s="32"/>
      <c r="U791" s="33"/>
      <c r="V791" s="33"/>
      <c r="AD791" s="32"/>
    </row>
    <row r="792" spans="5:30" x14ac:dyDescent="0.2">
      <c r="E792" s="30"/>
      <c r="F792" s="30"/>
      <c r="H792" s="31"/>
      <c r="I792" s="31"/>
      <c r="R792" s="32"/>
      <c r="S792" s="32"/>
      <c r="U792" s="33"/>
      <c r="V792" s="33"/>
      <c r="AD792" s="32"/>
    </row>
    <row r="793" spans="5:30" x14ac:dyDescent="0.2">
      <c r="E793" s="30"/>
      <c r="F793" s="30"/>
      <c r="H793" s="31"/>
      <c r="I793" s="31"/>
      <c r="R793" s="32"/>
      <c r="S793" s="32"/>
      <c r="U793" s="33"/>
      <c r="V793" s="33"/>
      <c r="AD793" s="32"/>
    </row>
    <row r="794" spans="5:30" x14ac:dyDescent="0.2">
      <c r="E794" s="30"/>
      <c r="F794" s="30"/>
      <c r="H794" s="31"/>
      <c r="I794" s="31"/>
      <c r="R794" s="32"/>
      <c r="S794" s="32"/>
      <c r="U794" s="33"/>
      <c r="V794" s="33"/>
      <c r="AD794" s="32"/>
    </row>
    <row r="795" spans="5:30" x14ac:dyDescent="0.2">
      <c r="E795" s="30"/>
      <c r="F795" s="30"/>
      <c r="H795" s="31"/>
      <c r="I795" s="31"/>
      <c r="R795" s="32"/>
      <c r="S795" s="32"/>
      <c r="U795" s="33"/>
      <c r="V795" s="33"/>
      <c r="AD795" s="32"/>
    </row>
    <row r="796" spans="5:30" x14ac:dyDescent="0.2">
      <c r="E796" s="30"/>
      <c r="F796" s="30"/>
      <c r="H796" s="31"/>
      <c r="I796" s="31"/>
      <c r="R796" s="32"/>
      <c r="S796" s="32"/>
      <c r="U796" s="33"/>
      <c r="V796" s="33"/>
      <c r="AD796" s="32"/>
    </row>
    <row r="797" spans="5:30" x14ac:dyDescent="0.2">
      <c r="E797" s="30"/>
      <c r="F797" s="30"/>
      <c r="H797" s="31"/>
      <c r="I797" s="31"/>
      <c r="R797" s="32"/>
      <c r="S797" s="32"/>
      <c r="U797" s="33"/>
      <c r="V797" s="33"/>
      <c r="AD797" s="32"/>
    </row>
    <row r="798" spans="5:30" x14ac:dyDescent="0.2">
      <c r="E798" s="30"/>
      <c r="F798" s="30"/>
      <c r="H798" s="31"/>
      <c r="I798" s="31"/>
      <c r="R798" s="32"/>
      <c r="S798" s="32"/>
      <c r="U798" s="33"/>
      <c r="V798" s="33"/>
      <c r="AD798" s="32"/>
    </row>
    <row r="799" spans="5:30" x14ac:dyDescent="0.2">
      <c r="E799" s="30"/>
      <c r="F799" s="30"/>
      <c r="H799" s="31"/>
      <c r="I799" s="31"/>
      <c r="R799" s="32"/>
      <c r="S799" s="32"/>
      <c r="U799" s="33"/>
      <c r="V799" s="33"/>
      <c r="AD799" s="32"/>
    </row>
    <row r="800" spans="5:30" x14ac:dyDescent="0.2">
      <c r="E800" s="30"/>
      <c r="F800" s="30"/>
      <c r="H800" s="31"/>
      <c r="I800" s="31"/>
      <c r="R800" s="32"/>
      <c r="S800" s="32"/>
      <c r="U800" s="33"/>
      <c r="V800" s="33"/>
      <c r="AD800" s="32"/>
    </row>
    <row r="801" spans="5:30" x14ac:dyDescent="0.2">
      <c r="E801" s="30"/>
      <c r="F801" s="30"/>
      <c r="H801" s="31"/>
      <c r="I801" s="31"/>
      <c r="R801" s="32"/>
      <c r="S801" s="32"/>
      <c r="U801" s="33"/>
      <c r="V801" s="33"/>
      <c r="AD801" s="32"/>
    </row>
    <row r="802" spans="5:30" x14ac:dyDescent="0.2">
      <c r="E802" s="30"/>
      <c r="F802" s="30"/>
      <c r="H802" s="31"/>
      <c r="I802" s="31"/>
      <c r="R802" s="32"/>
      <c r="S802" s="32"/>
      <c r="U802" s="33"/>
      <c r="V802" s="33"/>
      <c r="AD802" s="32"/>
    </row>
    <row r="803" spans="5:30" x14ac:dyDescent="0.2">
      <c r="E803" s="30"/>
      <c r="F803" s="30"/>
      <c r="H803" s="31"/>
      <c r="I803" s="31"/>
      <c r="R803" s="32"/>
      <c r="S803" s="32"/>
      <c r="U803" s="33"/>
      <c r="V803" s="33"/>
      <c r="AD803" s="32"/>
    </row>
    <row r="804" spans="5:30" x14ac:dyDescent="0.2">
      <c r="E804" s="30"/>
      <c r="F804" s="30"/>
      <c r="H804" s="31"/>
      <c r="I804" s="31"/>
      <c r="R804" s="32"/>
      <c r="S804" s="32"/>
      <c r="U804" s="33"/>
      <c r="V804" s="33"/>
      <c r="AD804" s="32"/>
    </row>
    <row r="805" spans="5:30" x14ac:dyDescent="0.2">
      <c r="E805" s="30"/>
      <c r="F805" s="30"/>
      <c r="H805" s="31"/>
      <c r="I805" s="31"/>
      <c r="R805" s="32"/>
      <c r="S805" s="32"/>
      <c r="U805" s="33"/>
      <c r="V805" s="33"/>
      <c r="AD805" s="32"/>
    </row>
    <row r="806" spans="5:30" x14ac:dyDescent="0.2">
      <c r="E806" s="30"/>
      <c r="F806" s="30"/>
      <c r="H806" s="31"/>
      <c r="I806" s="31"/>
      <c r="R806" s="32"/>
      <c r="S806" s="32"/>
      <c r="U806" s="33"/>
      <c r="V806" s="33"/>
      <c r="AD806" s="32"/>
    </row>
    <row r="807" spans="5:30" x14ac:dyDescent="0.2">
      <c r="E807" s="30"/>
      <c r="F807" s="30"/>
      <c r="H807" s="31"/>
      <c r="I807" s="31"/>
      <c r="R807" s="32"/>
      <c r="S807" s="32"/>
      <c r="U807" s="33"/>
      <c r="V807" s="33"/>
      <c r="AD807" s="32"/>
    </row>
    <row r="808" spans="5:30" x14ac:dyDescent="0.2">
      <c r="E808" s="30"/>
      <c r="F808" s="30"/>
      <c r="H808" s="31"/>
      <c r="I808" s="31"/>
      <c r="R808" s="32"/>
      <c r="S808" s="32"/>
      <c r="U808" s="33"/>
      <c r="V808" s="33"/>
      <c r="AD808" s="32"/>
    </row>
    <row r="809" spans="5:30" x14ac:dyDescent="0.2">
      <c r="E809" s="30"/>
      <c r="F809" s="30"/>
      <c r="H809" s="31"/>
      <c r="I809" s="31"/>
      <c r="R809" s="32"/>
      <c r="S809" s="32"/>
      <c r="U809" s="33"/>
      <c r="V809" s="33"/>
      <c r="AD809" s="32"/>
    </row>
    <row r="810" spans="5:30" x14ac:dyDescent="0.2">
      <c r="E810" s="30"/>
      <c r="F810" s="30"/>
      <c r="H810" s="31"/>
      <c r="I810" s="31"/>
      <c r="R810" s="32"/>
      <c r="S810" s="32"/>
      <c r="U810" s="33"/>
      <c r="V810" s="33"/>
      <c r="AD810" s="32"/>
    </row>
    <row r="811" spans="5:30" x14ac:dyDescent="0.2">
      <c r="E811" s="30"/>
      <c r="F811" s="30"/>
      <c r="H811" s="31"/>
      <c r="I811" s="31"/>
      <c r="R811" s="32"/>
      <c r="S811" s="32"/>
      <c r="U811" s="33"/>
      <c r="V811" s="33"/>
      <c r="AD811" s="32"/>
    </row>
    <row r="812" spans="5:30" x14ac:dyDescent="0.2">
      <c r="E812" s="30"/>
      <c r="F812" s="30"/>
      <c r="H812" s="31"/>
      <c r="I812" s="31"/>
      <c r="R812" s="32"/>
      <c r="S812" s="32"/>
      <c r="U812" s="33"/>
      <c r="V812" s="33"/>
      <c r="AD812" s="32"/>
    </row>
    <row r="813" spans="5:30" x14ac:dyDescent="0.2">
      <c r="E813" s="30"/>
      <c r="F813" s="30"/>
      <c r="H813" s="31"/>
      <c r="I813" s="31"/>
      <c r="R813" s="32"/>
      <c r="S813" s="32"/>
      <c r="U813" s="33"/>
      <c r="V813" s="33"/>
      <c r="AD813" s="32"/>
    </row>
    <row r="814" spans="5:30" x14ac:dyDescent="0.2">
      <c r="E814" s="30"/>
      <c r="F814" s="30"/>
      <c r="H814" s="31"/>
      <c r="I814" s="31"/>
      <c r="R814" s="32"/>
      <c r="S814" s="32"/>
      <c r="U814" s="33"/>
      <c r="V814" s="33"/>
      <c r="AD814" s="32"/>
    </row>
    <row r="815" spans="5:30" x14ac:dyDescent="0.2">
      <c r="E815" s="30"/>
      <c r="F815" s="30"/>
      <c r="H815" s="31"/>
      <c r="I815" s="31"/>
      <c r="R815" s="32"/>
      <c r="S815" s="32"/>
      <c r="U815" s="33"/>
      <c r="V815" s="33"/>
      <c r="AD815" s="32"/>
    </row>
    <row r="816" spans="5:30" x14ac:dyDescent="0.2">
      <c r="E816" s="30"/>
      <c r="F816" s="30"/>
      <c r="H816" s="31"/>
      <c r="I816" s="31"/>
      <c r="R816" s="32"/>
      <c r="S816" s="32"/>
      <c r="U816" s="33"/>
      <c r="V816" s="33"/>
      <c r="AD816" s="32"/>
    </row>
    <row r="817" spans="5:30" x14ac:dyDescent="0.2">
      <c r="E817" s="30"/>
      <c r="F817" s="30"/>
      <c r="H817" s="31"/>
      <c r="I817" s="31"/>
      <c r="R817" s="32"/>
      <c r="S817" s="32"/>
      <c r="U817" s="33"/>
      <c r="V817" s="33"/>
      <c r="AD817" s="32"/>
    </row>
    <row r="818" spans="5:30" x14ac:dyDescent="0.2">
      <c r="E818" s="30"/>
      <c r="F818" s="30"/>
      <c r="H818" s="31"/>
      <c r="I818" s="31"/>
      <c r="R818" s="32"/>
      <c r="S818" s="32"/>
      <c r="U818" s="33"/>
      <c r="V818" s="33"/>
      <c r="AD818" s="32"/>
    </row>
    <row r="819" spans="5:30" x14ac:dyDescent="0.2">
      <c r="E819" s="30"/>
      <c r="F819" s="30"/>
      <c r="H819" s="31"/>
      <c r="I819" s="31"/>
      <c r="R819" s="32"/>
      <c r="S819" s="32"/>
      <c r="U819" s="33"/>
      <c r="V819" s="33"/>
      <c r="AD819" s="32"/>
    </row>
    <row r="820" spans="5:30" x14ac:dyDescent="0.2">
      <c r="E820" s="30"/>
      <c r="F820" s="30"/>
      <c r="H820" s="31"/>
      <c r="I820" s="31"/>
      <c r="R820" s="32"/>
      <c r="S820" s="32"/>
      <c r="U820" s="33"/>
      <c r="V820" s="33"/>
      <c r="AD820" s="32"/>
    </row>
    <row r="821" spans="5:30" x14ac:dyDescent="0.2">
      <c r="E821" s="30"/>
      <c r="F821" s="30"/>
      <c r="H821" s="31"/>
      <c r="I821" s="31"/>
      <c r="R821" s="32"/>
      <c r="S821" s="32"/>
      <c r="U821" s="33"/>
      <c r="V821" s="33"/>
      <c r="AD821" s="32"/>
    </row>
    <row r="822" spans="5:30" x14ac:dyDescent="0.2">
      <c r="E822" s="30"/>
      <c r="F822" s="30"/>
      <c r="H822" s="31"/>
      <c r="I822" s="31"/>
      <c r="R822" s="32"/>
      <c r="S822" s="32"/>
      <c r="U822" s="33"/>
      <c r="V822" s="33"/>
      <c r="AD822" s="32"/>
    </row>
    <row r="823" spans="5:30" x14ac:dyDescent="0.2">
      <c r="E823" s="30"/>
      <c r="F823" s="30"/>
      <c r="H823" s="31"/>
      <c r="I823" s="31"/>
      <c r="R823" s="32"/>
      <c r="S823" s="32"/>
      <c r="U823" s="33"/>
      <c r="V823" s="33"/>
      <c r="AD823" s="32"/>
    </row>
    <row r="824" spans="5:30" x14ac:dyDescent="0.2">
      <c r="E824" s="30"/>
      <c r="F824" s="30"/>
      <c r="H824" s="31"/>
      <c r="I824" s="31"/>
      <c r="R824" s="32"/>
      <c r="S824" s="32"/>
      <c r="U824" s="33"/>
      <c r="V824" s="33"/>
      <c r="AD824" s="32"/>
    </row>
    <row r="825" spans="5:30" x14ac:dyDescent="0.2">
      <c r="E825" s="30"/>
      <c r="F825" s="30"/>
      <c r="H825" s="31"/>
      <c r="I825" s="31"/>
      <c r="R825" s="32"/>
      <c r="S825" s="32"/>
      <c r="U825" s="33"/>
      <c r="V825" s="33"/>
      <c r="AD825" s="32"/>
    </row>
    <row r="826" spans="5:30" x14ac:dyDescent="0.2">
      <c r="E826" s="30"/>
      <c r="F826" s="30"/>
      <c r="H826" s="31"/>
      <c r="I826" s="31"/>
      <c r="R826" s="32"/>
      <c r="S826" s="32"/>
      <c r="U826" s="33"/>
      <c r="V826" s="33"/>
      <c r="AD826" s="32"/>
    </row>
    <row r="827" spans="5:30" x14ac:dyDescent="0.2">
      <c r="E827" s="30"/>
      <c r="F827" s="30"/>
      <c r="H827" s="31"/>
      <c r="I827" s="31"/>
      <c r="R827" s="32"/>
      <c r="S827" s="32"/>
      <c r="U827" s="33"/>
      <c r="V827" s="33"/>
      <c r="AD827" s="32"/>
    </row>
    <row r="828" spans="5:30" x14ac:dyDescent="0.2">
      <c r="E828" s="30"/>
      <c r="F828" s="30"/>
      <c r="H828" s="31"/>
      <c r="I828" s="31"/>
      <c r="R828" s="32"/>
      <c r="S828" s="32"/>
      <c r="U828" s="33"/>
      <c r="V828" s="33"/>
      <c r="AD828" s="32"/>
    </row>
    <row r="829" spans="5:30" x14ac:dyDescent="0.2">
      <c r="E829" s="30"/>
      <c r="F829" s="30"/>
      <c r="H829" s="31"/>
      <c r="I829" s="31"/>
      <c r="R829" s="32"/>
      <c r="S829" s="32"/>
      <c r="U829" s="33"/>
      <c r="V829" s="33"/>
      <c r="AD829" s="32"/>
    </row>
    <row r="830" spans="5:30" x14ac:dyDescent="0.2">
      <c r="E830" s="30"/>
      <c r="F830" s="30"/>
      <c r="H830" s="31"/>
      <c r="I830" s="31"/>
      <c r="R830" s="32"/>
      <c r="S830" s="32"/>
      <c r="U830" s="33"/>
      <c r="V830" s="33"/>
      <c r="AD830" s="32"/>
    </row>
    <row r="831" spans="5:30" x14ac:dyDescent="0.2">
      <c r="E831" s="30"/>
      <c r="F831" s="30"/>
      <c r="H831" s="31"/>
      <c r="I831" s="31"/>
      <c r="R831" s="32"/>
      <c r="S831" s="32"/>
      <c r="U831" s="33"/>
      <c r="V831" s="33"/>
      <c r="AD831" s="32"/>
    </row>
    <row r="832" spans="5:30" x14ac:dyDescent="0.2">
      <c r="E832" s="30"/>
      <c r="F832" s="30"/>
      <c r="H832" s="31"/>
      <c r="I832" s="31"/>
      <c r="R832" s="32"/>
      <c r="S832" s="32"/>
      <c r="U832" s="33"/>
      <c r="V832" s="33"/>
      <c r="AD832" s="32"/>
    </row>
    <row r="833" spans="5:30" x14ac:dyDescent="0.2">
      <c r="E833" s="30"/>
      <c r="F833" s="30"/>
      <c r="H833" s="31"/>
      <c r="I833" s="31"/>
      <c r="R833" s="32"/>
      <c r="S833" s="32"/>
      <c r="U833" s="33"/>
      <c r="V833" s="33"/>
      <c r="AD833" s="32"/>
    </row>
    <row r="834" spans="5:30" x14ac:dyDescent="0.2">
      <c r="E834" s="30"/>
      <c r="F834" s="30"/>
      <c r="H834" s="31"/>
      <c r="I834" s="31"/>
      <c r="R834" s="32"/>
      <c r="S834" s="32"/>
      <c r="U834" s="33"/>
      <c r="V834" s="33"/>
      <c r="AD834" s="32"/>
    </row>
    <row r="835" spans="5:30" x14ac:dyDescent="0.2">
      <c r="E835" s="30"/>
      <c r="F835" s="30"/>
      <c r="H835" s="31"/>
      <c r="I835" s="31"/>
      <c r="R835" s="32"/>
      <c r="S835" s="32"/>
      <c r="U835" s="33"/>
      <c r="V835" s="33"/>
      <c r="AD835" s="32"/>
    </row>
    <row r="836" spans="5:30" x14ac:dyDescent="0.2">
      <c r="E836" s="30"/>
      <c r="F836" s="30"/>
      <c r="H836" s="31"/>
      <c r="I836" s="31"/>
      <c r="R836" s="32"/>
      <c r="S836" s="32"/>
      <c r="U836" s="33"/>
      <c r="V836" s="33"/>
      <c r="AD836" s="32"/>
    </row>
    <row r="837" spans="5:30" x14ac:dyDescent="0.2">
      <c r="E837" s="30"/>
      <c r="F837" s="30"/>
      <c r="H837" s="31"/>
      <c r="I837" s="31"/>
      <c r="R837" s="32"/>
      <c r="S837" s="32"/>
      <c r="U837" s="33"/>
      <c r="V837" s="33"/>
      <c r="AD837" s="32"/>
    </row>
    <row r="838" spans="5:30" x14ac:dyDescent="0.2">
      <c r="E838" s="30"/>
      <c r="F838" s="30"/>
      <c r="H838" s="31"/>
      <c r="I838" s="31"/>
      <c r="R838" s="32"/>
      <c r="S838" s="32"/>
      <c r="U838" s="33"/>
      <c r="V838" s="33"/>
      <c r="AD838" s="32"/>
    </row>
    <row r="839" spans="5:30" x14ac:dyDescent="0.2">
      <c r="E839" s="30"/>
      <c r="F839" s="30"/>
      <c r="H839" s="31"/>
      <c r="I839" s="31"/>
      <c r="R839" s="32"/>
      <c r="S839" s="32"/>
      <c r="U839" s="33"/>
      <c r="V839" s="33"/>
      <c r="AD839" s="32"/>
    </row>
    <row r="840" spans="5:30" x14ac:dyDescent="0.2">
      <c r="E840" s="30"/>
      <c r="F840" s="30"/>
      <c r="H840" s="31"/>
      <c r="I840" s="31"/>
      <c r="R840" s="32"/>
      <c r="S840" s="32"/>
      <c r="U840" s="33"/>
      <c r="V840" s="33"/>
      <c r="AD840" s="32"/>
    </row>
    <row r="841" spans="5:30" x14ac:dyDescent="0.2">
      <c r="E841" s="30"/>
      <c r="F841" s="30"/>
      <c r="H841" s="31"/>
      <c r="I841" s="31"/>
      <c r="R841" s="32"/>
      <c r="S841" s="32"/>
      <c r="U841" s="33"/>
      <c r="V841" s="33"/>
      <c r="AD841" s="32"/>
    </row>
    <row r="842" spans="5:30" x14ac:dyDescent="0.2">
      <c r="E842" s="30"/>
      <c r="F842" s="30"/>
      <c r="H842" s="31"/>
      <c r="I842" s="31"/>
      <c r="R842" s="32"/>
      <c r="S842" s="32"/>
      <c r="U842" s="33"/>
      <c r="V842" s="33"/>
      <c r="AD842" s="32"/>
    </row>
    <row r="843" spans="5:30" x14ac:dyDescent="0.2">
      <c r="E843" s="30"/>
      <c r="F843" s="30"/>
      <c r="H843" s="31"/>
      <c r="I843" s="31"/>
      <c r="R843" s="32"/>
      <c r="S843" s="32"/>
      <c r="U843" s="33"/>
      <c r="V843" s="33"/>
      <c r="AD843" s="32"/>
    </row>
    <row r="844" spans="5:30" x14ac:dyDescent="0.2">
      <c r="E844" s="30"/>
      <c r="F844" s="30"/>
      <c r="H844" s="31"/>
      <c r="I844" s="31"/>
      <c r="R844" s="32"/>
      <c r="S844" s="32"/>
      <c r="U844" s="33"/>
      <c r="V844" s="33"/>
      <c r="AD844" s="32"/>
    </row>
    <row r="845" spans="5:30" x14ac:dyDescent="0.2">
      <c r="E845" s="30"/>
      <c r="F845" s="30"/>
      <c r="H845" s="31"/>
      <c r="I845" s="31"/>
      <c r="R845" s="32"/>
      <c r="S845" s="32"/>
      <c r="U845" s="33"/>
      <c r="V845" s="33"/>
      <c r="AD845" s="32"/>
    </row>
    <row r="846" spans="5:30" x14ac:dyDescent="0.2">
      <c r="E846" s="30"/>
      <c r="F846" s="30"/>
      <c r="H846" s="31"/>
      <c r="I846" s="31"/>
      <c r="R846" s="32"/>
      <c r="S846" s="32"/>
      <c r="U846" s="33"/>
      <c r="V846" s="33"/>
      <c r="AD846" s="32"/>
    </row>
    <row r="847" spans="5:30" x14ac:dyDescent="0.2">
      <c r="E847" s="30"/>
      <c r="F847" s="30"/>
      <c r="H847" s="31"/>
      <c r="I847" s="31"/>
      <c r="R847" s="32"/>
      <c r="S847" s="32"/>
      <c r="U847" s="33"/>
      <c r="V847" s="33"/>
      <c r="AD847" s="32"/>
    </row>
    <row r="848" spans="5:30" x14ac:dyDescent="0.2">
      <c r="E848" s="30"/>
      <c r="F848" s="30"/>
      <c r="H848" s="31"/>
      <c r="I848" s="31"/>
      <c r="R848" s="32"/>
      <c r="S848" s="32"/>
      <c r="U848" s="33"/>
      <c r="V848" s="33"/>
      <c r="AD848" s="32"/>
    </row>
    <row r="849" spans="5:40" x14ac:dyDescent="0.2">
      <c r="E849" s="30"/>
      <c r="F849" s="30"/>
      <c r="H849" s="31"/>
      <c r="I849" s="31"/>
      <c r="R849" s="32"/>
      <c r="S849" s="32"/>
      <c r="U849" s="33"/>
      <c r="V849" s="33"/>
      <c r="AD849" s="32"/>
    </row>
    <row r="850" spans="5:40" x14ac:dyDescent="0.2">
      <c r="E850" s="30"/>
      <c r="F850" s="30"/>
      <c r="H850" s="31"/>
      <c r="I850" s="31"/>
      <c r="R850" s="32"/>
      <c r="S850" s="32"/>
      <c r="U850" s="33"/>
      <c r="V850" s="33"/>
      <c r="AD850" s="32"/>
    </row>
    <row r="851" spans="5:40" x14ac:dyDescent="0.2">
      <c r="E851" s="30"/>
      <c r="F851" s="30"/>
      <c r="H851" s="31"/>
      <c r="I851" s="31"/>
      <c r="R851" s="32"/>
      <c r="S851" s="32"/>
      <c r="U851" s="33"/>
      <c r="V851" s="33"/>
      <c r="AD851" s="32"/>
    </row>
    <row r="852" spans="5:40" x14ac:dyDescent="0.2">
      <c r="E852" s="30"/>
      <c r="F852" s="30"/>
      <c r="H852" s="31"/>
      <c r="I852" s="31"/>
      <c r="R852" s="32"/>
      <c r="S852" s="32"/>
      <c r="U852" s="33"/>
      <c r="V852" s="33"/>
      <c r="AD852" s="32"/>
    </row>
    <row r="853" spans="5:40" x14ac:dyDescent="0.2">
      <c r="E853" s="30"/>
      <c r="F853" s="30"/>
      <c r="H853" s="31"/>
      <c r="I853" s="31"/>
      <c r="R853" s="32"/>
      <c r="S853" s="32"/>
      <c r="U853" s="33"/>
      <c r="V853" s="33"/>
      <c r="AD853" s="32"/>
    </row>
    <row r="854" spans="5:40" x14ac:dyDescent="0.2">
      <c r="E854" s="30"/>
      <c r="F854" s="30"/>
      <c r="H854" s="31"/>
      <c r="I854" s="31"/>
      <c r="R854" s="32"/>
      <c r="S854" s="32"/>
      <c r="U854" s="33"/>
      <c r="V854" s="33"/>
      <c r="AD854" s="32"/>
    </row>
    <row r="855" spans="5:40" x14ac:dyDescent="0.2">
      <c r="E855" s="30"/>
      <c r="F855" s="30"/>
      <c r="H855" s="31"/>
      <c r="I855" s="31"/>
      <c r="R855" s="32"/>
      <c r="S855" s="32"/>
      <c r="U855" s="33"/>
      <c r="V855" s="33"/>
      <c r="AD855" s="32"/>
    </row>
    <row r="856" spans="5:40" x14ac:dyDescent="0.2">
      <c r="E856" s="30"/>
      <c r="F856" s="30"/>
      <c r="H856" s="31"/>
      <c r="I856" s="31"/>
      <c r="R856" s="32"/>
      <c r="S856" s="32"/>
      <c r="U856" s="33"/>
      <c r="V856" s="33"/>
      <c r="AD856" s="32"/>
    </row>
    <row r="857" spans="5:40" x14ac:dyDescent="0.2">
      <c r="E857" s="30"/>
      <c r="F857" s="30"/>
      <c r="H857" s="31"/>
      <c r="I857" s="31"/>
      <c r="R857" s="32"/>
      <c r="S857" s="32"/>
      <c r="U857" s="33"/>
      <c r="V857" s="33"/>
      <c r="AD857" s="32"/>
    </row>
    <row r="858" spans="5:40" x14ac:dyDescent="0.2">
      <c r="E858" s="30"/>
      <c r="F858" s="30"/>
      <c r="H858" s="31"/>
      <c r="I858" s="31"/>
      <c r="R858" s="32"/>
      <c r="S858" s="32"/>
      <c r="U858" s="33"/>
      <c r="V858" s="33"/>
      <c r="AD858" s="32"/>
    </row>
    <row r="859" spans="5:40" x14ac:dyDescent="0.2">
      <c r="E859" s="30"/>
      <c r="F859" s="30"/>
      <c r="H859" s="31"/>
      <c r="I859" s="31"/>
      <c r="R859" s="32"/>
      <c r="S859" s="32"/>
      <c r="U859" s="33"/>
      <c r="V859" s="33"/>
      <c r="AD859" s="32"/>
    </row>
    <row r="860" spans="5:40" x14ac:dyDescent="0.2">
      <c r="E860" s="30"/>
      <c r="F860" s="30"/>
      <c r="H860" s="31"/>
      <c r="I860" s="31"/>
      <c r="R860" s="32"/>
      <c r="S860" s="32"/>
      <c r="U860" s="33"/>
      <c r="V860" s="33"/>
      <c r="AD860" s="32"/>
    </row>
    <row r="861" spans="5:40" x14ac:dyDescent="0.2">
      <c r="E861" s="30"/>
      <c r="F861" s="30"/>
      <c r="H861" s="31"/>
      <c r="I861" s="31"/>
      <c r="R861" s="32"/>
      <c r="S861" s="32"/>
      <c r="U861" s="33"/>
      <c r="V861" s="33"/>
      <c r="AD861" s="32"/>
    </row>
    <row r="862" spans="5:40" x14ac:dyDescent="0.2">
      <c r="E862" s="30"/>
      <c r="F862" s="30"/>
      <c r="H862" s="31"/>
      <c r="I862" s="31"/>
      <c r="R862" s="32"/>
      <c r="S862" s="32"/>
      <c r="U862" s="33"/>
      <c r="V862" s="33"/>
      <c r="AD862" s="32"/>
    </row>
    <row r="863" spans="5:40" x14ac:dyDescent="0.2">
      <c r="E863" s="30"/>
      <c r="F863" s="30"/>
      <c r="G863" s="32"/>
      <c r="H863" s="31"/>
      <c r="I863" s="31"/>
      <c r="J863" s="32"/>
      <c r="K863" s="32"/>
      <c r="N863" s="32"/>
      <c r="O863" s="32"/>
      <c r="P863" s="32"/>
      <c r="Q863" s="119"/>
      <c r="R863" s="32"/>
      <c r="S863" s="32"/>
      <c r="T863" s="32"/>
      <c r="U863" s="32"/>
      <c r="V863" s="32"/>
      <c r="AD863" s="32"/>
      <c r="AE863" s="32"/>
      <c r="AF863" s="32"/>
      <c r="AG863" s="32"/>
      <c r="AH863" s="32"/>
      <c r="AJ863" s="32"/>
      <c r="AK863" s="32"/>
      <c r="AL863" s="32"/>
      <c r="AM863" s="32"/>
      <c r="AN863" s="32"/>
    </row>
    <row r="864" spans="5:40" x14ac:dyDescent="0.2">
      <c r="E864" s="30"/>
      <c r="F864" s="30"/>
      <c r="H864" s="31"/>
      <c r="I864" s="31"/>
      <c r="R864" s="32"/>
      <c r="S864" s="32"/>
      <c r="U864" s="33"/>
      <c r="V864" s="33"/>
      <c r="AD864" s="32"/>
    </row>
    <row r="865" spans="5:30" x14ac:dyDescent="0.2">
      <c r="E865" s="30"/>
      <c r="F865" s="30"/>
      <c r="H865" s="31"/>
      <c r="I865" s="31"/>
      <c r="R865" s="32"/>
      <c r="S865" s="32"/>
      <c r="U865" s="33"/>
      <c r="V865" s="33"/>
      <c r="AD865" s="32"/>
    </row>
    <row r="866" spans="5:30" x14ac:dyDescent="0.2">
      <c r="E866" s="30"/>
      <c r="F866" s="30"/>
      <c r="H866" s="31"/>
      <c r="I866" s="31"/>
      <c r="R866" s="32"/>
      <c r="S866" s="32"/>
      <c r="U866" s="33"/>
      <c r="V866" s="33"/>
      <c r="AD866" s="32"/>
    </row>
    <row r="867" spans="5:30" x14ac:dyDescent="0.2">
      <c r="E867" s="30"/>
      <c r="F867" s="30"/>
      <c r="H867" s="31"/>
      <c r="I867" s="31"/>
      <c r="R867" s="32"/>
      <c r="S867" s="32"/>
      <c r="U867" s="33"/>
      <c r="V867" s="33"/>
      <c r="AD867" s="32"/>
    </row>
    <row r="868" spans="5:30" x14ac:dyDescent="0.2">
      <c r="E868" s="30"/>
      <c r="F868" s="30"/>
      <c r="H868" s="31"/>
      <c r="I868" s="31"/>
      <c r="R868" s="32"/>
      <c r="S868" s="32"/>
      <c r="U868" s="33"/>
      <c r="V868" s="33"/>
      <c r="AD868" s="32"/>
    </row>
    <row r="869" spans="5:30" x14ac:dyDescent="0.2">
      <c r="E869" s="30"/>
      <c r="F869" s="30"/>
      <c r="H869" s="31"/>
      <c r="I869" s="31"/>
      <c r="R869" s="32"/>
      <c r="S869" s="32"/>
      <c r="U869" s="33"/>
      <c r="V869" s="33"/>
      <c r="AD869" s="32"/>
    </row>
    <row r="870" spans="5:30" x14ac:dyDescent="0.2">
      <c r="E870" s="30"/>
      <c r="F870" s="30"/>
      <c r="H870" s="31"/>
      <c r="I870" s="31"/>
      <c r="R870" s="32"/>
      <c r="S870" s="32"/>
      <c r="U870" s="33"/>
      <c r="V870" s="33"/>
      <c r="AD870" s="32"/>
    </row>
    <row r="871" spans="5:30" x14ac:dyDescent="0.2">
      <c r="E871" s="30"/>
      <c r="F871" s="30"/>
      <c r="H871" s="31"/>
      <c r="I871" s="31"/>
      <c r="R871" s="32"/>
      <c r="S871" s="32"/>
      <c r="U871" s="33"/>
      <c r="V871" s="33"/>
      <c r="AD871" s="32"/>
    </row>
    <row r="872" spans="5:30" x14ac:dyDescent="0.2">
      <c r="E872" s="30"/>
      <c r="F872" s="30"/>
      <c r="H872" s="31"/>
      <c r="I872" s="31"/>
      <c r="R872" s="32"/>
      <c r="S872" s="32"/>
      <c r="U872" s="33"/>
      <c r="V872" s="33"/>
      <c r="AD872" s="32"/>
    </row>
    <row r="873" spans="5:30" x14ac:dyDescent="0.2">
      <c r="E873" s="30"/>
      <c r="F873" s="30"/>
      <c r="H873" s="31"/>
      <c r="I873" s="31"/>
      <c r="R873" s="32"/>
      <c r="S873" s="32"/>
      <c r="U873" s="33"/>
      <c r="V873" s="33"/>
      <c r="AD873" s="32"/>
    </row>
    <row r="874" spans="5:30" x14ac:dyDescent="0.2">
      <c r="E874" s="30"/>
      <c r="F874" s="30"/>
      <c r="H874" s="31"/>
      <c r="I874" s="31"/>
      <c r="R874" s="32"/>
      <c r="S874" s="32"/>
      <c r="U874" s="33"/>
      <c r="V874" s="33"/>
      <c r="AD874" s="32"/>
    </row>
    <row r="875" spans="5:30" x14ac:dyDescent="0.2">
      <c r="E875" s="30"/>
      <c r="F875" s="30"/>
      <c r="H875" s="31"/>
      <c r="I875" s="31"/>
      <c r="R875" s="32"/>
      <c r="S875" s="32"/>
      <c r="U875" s="33"/>
      <c r="V875" s="33"/>
      <c r="AD875" s="32"/>
    </row>
    <row r="876" spans="5:30" x14ac:dyDescent="0.2">
      <c r="E876" s="30"/>
      <c r="F876" s="30"/>
      <c r="H876" s="31"/>
      <c r="I876" s="31"/>
      <c r="R876" s="32"/>
      <c r="S876" s="32"/>
      <c r="U876" s="33"/>
      <c r="V876" s="33"/>
      <c r="AD876" s="32"/>
    </row>
    <row r="877" spans="5:30" x14ac:dyDescent="0.2">
      <c r="E877" s="30"/>
      <c r="F877" s="30"/>
      <c r="H877" s="31"/>
      <c r="I877" s="31"/>
      <c r="R877" s="32"/>
      <c r="S877" s="32"/>
      <c r="U877" s="33"/>
      <c r="V877" s="33"/>
      <c r="AD877" s="32"/>
    </row>
    <row r="878" spans="5:30" x14ac:dyDescent="0.2">
      <c r="E878" s="30"/>
      <c r="F878" s="30"/>
      <c r="H878" s="31"/>
      <c r="I878" s="31"/>
      <c r="R878" s="32"/>
      <c r="S878" s="32"/>
      <c r="U878" s="33"/>
      <c r="V878" s="33"/>
      <c r="AD878" s="32"/>
    </row>
    <row r="879" spans="5:30" x14ac:dyDescent="0.2">
      <c r="E879" s="30"/>
      <c r="F879" s="30"/>
      <c r="H879" s="31"/>
      <c r="I879" s="31"/>
      <c r="R879" s="32"/>
      <c r="S879" s="32"/>
      <c r="U879" s="33"/>
      <c r="V879" s="33"/>
      <c r="AD879" s="32"/>
    </row>
    <row r="880" spans="5:30" x14ac:dyDescent="0.2">
      <c r="E880" s="30"/>
      <c r="F880" s="30"/>
      <c r="H880" s="31"/>
      <c r="I880" s="31"/>
      <c r="R880" s="32"/>
      <c r="S880" s="32"/>
      <c r="U880" s="33"/>
      <c r="V880" s="33"/>
      <c r="AD880" s="32"/>
    </row>
    <row r="881" spans="5:30" x14ac:dyDescent="0.2">
      <c r="E881" s="30"/>
      <c r="F881" s="30"/>
      <c r="H881" s="31"/>
      <c r="I881" s="31"/>
      <c r="R881" s="32"/>
      <c r="S881" s="32"/>
      <c r="U881" s="33"/>
      <c r="V881" s="33"/>
      <c r="AD881" s="32"/>
    </row>
    <row r="882" spans="5:30" x14ac:dyDescent="0.2">
      <c r="E882" s="30"/>
      <c r="F882" s="30"/>
      <c r="H882" s="31"/>
      <c r="I882" s="31"/>
      <c r="R882" s="32"/>
      <c r="S882" s="32"/>
      <c r="U882" s="33"/>
      <c r="V882" s="33"/>
      <c r="AD882" s="32"/>
    </row>
    <row r="883" spans="5:30" x14ac:dyDescent="0.2">
      <c r="E883" s="30"/>
      <c r="F883" s="30"/>
      <c r="H883" s="31"/>
      <c r="I883" s="31"/>
      <c r="R883" s="32"/>
      <c r="S883" s="32"/>
      <c r="U883" s="33"/>
      <c r="V883" s="33"/>
      <c r="AD883" s="32"/>
    </row>
    <row r="884" spans="5:30" x14ac:dyDescent="0.2">
      <c r="E884" s="30"/>
      <c r="F884" s="30"/>
      <c r="H884" s="31"/>
      <c r="I884" s="31"/>
      <c r="R884" s="32"/>
      <c r="S884" s="32"/>
      <c r="U884" s="33"/>
      <c r="V884" s="33"/>
      <c r="AD884" s="32"/>
    </row>
    <row r="885" spans="5:30" x14ac:dyDescent="0.2">
      <c r="E885" s="30"/>
      <c r="F885" s="30"/>
      <c r="H885" s="31"/>
      <c r="I885" s="31"/>
      <c r="R885" s="32"/>
      <c r="S885" s="32"/>
      <c r="U885" s="33"/>
      <c r="V885" s="33"/>
      <c r="AD885" s="32"/>
    </row>
    <row r="886" spans="5:30" x14ac:dyDescent="0.2">
      <c r="E886" s="30"/>
      <c r="F886" s="30"/>
      <c r="H886" s="31"/>
      <c r="I886" s="31"/>
      <c r="R886" s="32"/>
      <c r="S886" s="32"/>
      <c r="U886" s="33"/>
      <c r="V886" s="33"/>
      <c r="AD886" s="32"/>
    </row>
    <row r="887" spans="5:30" x14ac:dyDescent="0.2">
      <c r="E887" s="30"/>
      <c r="F887" s="30"/>
      <c r="H887" s="31"/>
      <c r="I887" s="31"/>
      <c r="R887" s="32"/>
      <c r="S887" s="32"/>
      <c r="U887" s="33"/>
      <c r="V887" s="33"/>
      <c r="AD887" s="32"/>
    </row>
    <row r="888" spans="5:30" x14ac:dyDescent="0.2">
      <c r="E888" s="30"/>
      <c r="F888" s="30"/>
      <c r="H888" s="31"/>
      <c r="I888" s="31"/>
      <c r="R888" s="32"/>
      <c r="S888" s="32"/>
      <c r="U888" s="33"/>
      <c r="V888" s="33"/>
      <c r="AD888" s="32"/>
    </row>
    <row r="889" spans="5:30" x14ac:dyDescent="0.2">
      <c r="E889" s="30"/>
      <c r="F889" s="30"/>
      <c r="H889" s="31"/>
      <c r="I889" s="31"/>
      <c r="R889" s="32"/>
      <c r="S889" s="32"/>
      <c r="U889" s="33"/>
      <c r="V889" s="33"/>
      <c r="AD889" s="32"/>
    </row>
    <row r="890" spans="5:30" x14ac:dyDescent="0.2">
      <c r="E890" s="30"/>
      <c r="F890" s="30"/>
      <c r="H890" s="31"/>
      <c r="I890" s="31"/>
      <c r="R890" s="32"/>
      <c r="S890" s="32"/>
      <c r="U890" s="33"/>
      <c r="V890" s="33"/>
      <c r="AD890" s="32"/>
    </row>
    <row r="891" spans="5:30" x14ac:dyDescent="0.2">
      <c r="E891" s="30"/>
      <c r="F891" s="30"/>
      <c r="H891" s="31"/>
      <c r="I891" s="31"/>
      <c r="R891" s="32"/>
      <c r="S891" s="32"/>
      <c r="U891" s="33"/>
      <c r="V891" s="33"/>
      <c r="AD891" s="32"/>
    </row>
    <row r="892" spans="5:30" x14ac:dyDescent="0.2">
      <c r="E892" s="30"/>
      <c r="F892" s="30"/>
      <c r="H892" s="31"/>
      <c r="I892" s="31"/>
      <c r="R892" s="32"/>
      <c r="S892" s="32"/>
      <c r="U892" s="33"/>
      <c r="V892" s="33"/>
      <c r="AD892" s="32"/>
    </row>
    <row r="893" spans="5:30" x14ac:dyDescent="0.2">
      <c r="E893" s="30"/>
      <c r="F893" s="30"/>
      <c r="H893" s="31"/>
      <c r="I893" s="31"/>
      <c r="R893" s="32"/>
      <c r="S893" s="32"/>
      <c r="U893" s="33"/>
      <c r="V893" s="33"/>
      <c r="AD893" s="32"/>
    </row>
    <row r="894" spans="5:30" x14ac:dyDescent="0.2">
      <c r="E894" s="30"/>
      <c r="F894" s="30"/>
      <c r="H894" s="31"/>
      <c r="I894" s="31"/>
      <c r="R894" s="32"/>
      <c r="S894" s="32"/>
      <c r="U894" s="33"/>
      <c r="V894" s="33"/>
      <c r="AD894" s="32"/>
    </row>
    <row r="895" spans="5:30" x14ac:dyDescent="0.2">
      <c r="E895" s="30"/>
      <c r="F895" s="30"/>
      <c r="H895" s="31"/>
      <c r="I895" s="31"/>
      <c r="R895" s="32"/>
      <c r="S895" s="32"/>
      <c r="U895" s="33"/>
      <c r="V895" s="33"/>
      <c r="AD895" s="32"/>
    </row>
    <row r="896" spans="5:30" x14ac:dyDescent="0.2">
      <c r="E896" s="30"/>
      <c r="F896" s="30"/>
      <c r="H896" s="31"/>
      <c r="I896" s="31"/>
      <c r="R896" s="32"/>
      <c r="S896" s="32"/>
      <c r="U896" s="33"/>
      <c r="V896" s="33"/>
      <c r="AD896" s="32"/>
    </row>
    <row r="897" spans="5:30" x14ac:dyDescent="0.2">
      <c r="E897" s="30"/>
      <c r="F897" s="30"/>
      <c r="H897" s="31"/>
      <c r="I897" s="31"/>
      <c r="R897" s="32"/>
      <c r="S897" s="32"/>
      <c r="U897" s="33"/>
      <c r="V897" s="33"/>
      <c r="AD897" s="32"/>
    </row>
    <row r="898" spans="5:30" x14ac:dyDescent="0.2">
      <c r="E898" s="30"/>
      <c r="F898" s="30"/>
      <c r="H898" s="31"/>
      <c r="I898" s="31"/>
      <c r="R898" s="32"/>
      <c r="S898" s="32"/>
      <c r="U898" s="33"/>
      <c r="V898" s="33"/>
      <c r="AD898" s="32"/>
    </row>
    <row r="899" spans="5:30" x14ac:dyDescent="0.2">
      <c r="E899" s="30"/>
      <c r="F899" s="30"/>
      <c r="H899" s="31"/>
      <c r="I899" s="31"/>
      <c r="R899" s="32"/>
      <c r="S899" s="32"/>
      <c r="U899" s="33"/>
      <c r="V899" s="33"/>
      <c r="AD899" s="32"/>
    </row>
    <row r="900" spans="5:30" x14ac:dyDescent="0.2">
      <c r="E900" s="30"/>
      <c r="F900" s="30"/>
      <c r="H900" s="31"/>
      <c r="I900" s="31"/>
      <c r="R900" s="32"/>
      <c r="S900" s="32"/>
      <c r="U900" s="33"/>
      <c r="V900" s="33"/>
      <c r="AD900" s="32"/>
    </row>
    <row r="901" spans="5:30" x14ac:dyDescent="0.2">
      <c r="E901" s="30"/>
      <c r="F901" s="30"/>
      <c r="H901" s="31"/>
      <c r="I901" s="31"/>
      <c r="R901" s="32"/>
      <c r="S901" s="32"/>
      <c r="U901" s="33"/>
      <c r="V901" s="33"/>
      <c r="AD901" s="32"/>
    </row>
    <row r="902" spans="5:30" x14ac:dyDescent="0.2">
      <c r="E902" s="30"/>
      <c r="F902" s="30"/>
      <c r="H902" s="31"/>
      <c r="I902" s="31"/>
      <c r="R902" s="32"/>
      <c r="S902" s="32"/>
      <c r="U902" s="33"/>
      <c r="V902" s="33"/>
      <c r="AD902" s="32"/>
    </row>
    <row r="903" spans="5:30" x14ac:dyDescent="0.2">
      <c r="E903" s="30"/>
      <c r="F903" s="30"/>
      <c r="H903" s="31"/>
      <c r="I903" s="31"/>
      <c r="R903" s="32"/>
      <c r="S903" s="32"/>
      <c r="U903" s="33"/>
      <c r="V903" s="33"/>
      <c r="AD903" s="32"/>
    </row>
    <row r="904" spans="5:30" x14ac:dyDescent="0.2">
      <c r="E904" s="30"/>
      <c r="F904" s="30"/>
      <c r="H904" s="31"/>
      <c r="I904" s="31"/>
      <c r="R904" s="32"/>
      <c r="S904" s="32"/>
      <c r="U904" s="33"/>
      <c r="V904" s="33"/>
      <c r="AD904" s="32"/>
    </row>
    <row r="905" spans="5:30" x14ac:dyDescent="0.2">
      <c r="E905" s="30"/>
      <c r="F905" s="30"/>
      <c r="H905" s="31"/>
      <c r="I905" s="31"/>
      <c r="R905" s="32"/>
      <c r="S905" s="32"/>
      <c r="U905" s="33"/>
      <c r="V905" s="33"/>
      <c r="AD905" s="32"/>
    </row>
    <row r="906" spans="5:30" x14ac:dyDescent="0.2">
      <c r="E906" s="30"/>
      <c r="F906" s="30"/>
      <c r="H906" s="31"/>
      <c r="I906" s="31"/>
      <c r="R906" s="32"/>
      <c r="S906" s="32"/>
      <c r="U906" s="33"/>
      <c r="V906" s="33"/>
      <c r="AD906" s="32"/>
    </row>
    <row r="907" spans="5:30" x14ac:dyDescent="0.2">
      <c r="E907" s="30"/>
      <c r="F907" s="30"/>
      <c r="H907" s="31"/>
      <c r="I907" s="31"/>
      <c r="R907" s="32"/>
      <c r="S907" s="32"/>
      <c r="U907" s="33"/>
      <c r="V907" s="33"/>
      <c r="AD907" s="32"/>
    </row>
    <row r="908" spans="5:30" x14ac:dyDescent="0.2">
      <c r="E908" s="30"/>
      <c r="F908" s="30"/>
      <c r="H908" s="31"/>
      <c r="I908" s="31"/>
      <c r="R908" s="32"/>
      <c r="S908" s="32"/>
      <c r="U908" s="33"/>
      <c r="V908" s="33"/>
      <c r="AD908" s="32"/>
    </row>
    <row r="909" spans="5:30" x14ac:dyDescent="0.2">
      <c r="E909" s="30"/>
      <c r="F909" s="30"/>
      <c r="H909" s="31"/>
      <c r="I909" s="31"/>
      <c r="R909" s="32"/>
      <c r="S909" s="32"/>
      <c r="U909" s="33"/>
      <c r="V909" s="33"/>
      <c r="AD909" s="32"/>
    </row>
    <row r="910" spans="5:30" x14ac:dyDescent="0.2">
      <c r="E910" s="30"/>
      <c r="F910" s="30"/>
      <c r="H910" s="31"/>
      <c r="I910" s="31"/>
      <c r="R910" s="32"/>
      <c r="S910" s="32"/>
      <c r="U910" s="33"/>
      <c r="V910" s="33"/>
      <c r="AD910" s="32"/>
    </row>
    <row r="911" spans="5:30" x14ac:dyDescent="0.2">
      <c r="E911" s="30"/>
      <c r="F911" s="30"/>
      <c r="H911" s="31"/>
      <c r="I911" s="31"/>
      <c r="R911" s="32"/>
      <c r="S911" s="32"/>
      <c r="U911" s="33"/>
      <c r="V911" s="33"/>
      <c r="AD911" s="32"/>
    </row>
    <row r="912" spans="5:30" x14ac:dyDescent="0.2">
      <c r="E912" s="30"/>
      <c r="F912" s="30"/>
      <c r="H912" s="31"/>
      <c r="I912" s="31"/>
      <c r="R912" s="32"/>
      <c r="S912" s="32"/>
      <c r="U912" s="33"/>
      <c r="V912" s="33"/>
      <c r="AD912" s="32"/>
    </row>
    <row r="913" spans="5:40" x14ac:dyDescent="0.2">
      <c r="E913" s="30"/>
      <c r="F913" s="30"/>
      <c r="H913" s="31"/>
      <c r="I913" s="31"/>
      <c r="R913" s="32"/>
      <c r="S913" s="32"/>
      <c r="U913" s="33"/>
      <c r="V913" s="33"/>
      <c r="AD913" s="32"/>
    </row>
    <row r="914" spans="5:40" x14ac:dyDescent="0.2">
      <c r="E914" s="30"/>
      <c r="F914" s="30"/>
      <c r="H914" s="31"/>
      <c r="I914" s="31"/>
      <c r="R914" s="32"/>
      <c r="S914" s="32"/>
      <c r="U914" s="33"/>
      <c r="V914" s="33"/>
      <c r="AD914" s="32"/>
    </row>
    <row r="915" spans="5:40" x14ac:dyDescent="0.2">
      <c r="E915" s="30"/>
      <c r="F915" s="30"/>
      <c r="H915" s="31"/>
      <c r="I915" s="31"/>
      <c r="R915" s="32"/>
      <c r="S915" s="32"/>
      <c r="U915" s="33"/>
      <c r="V915" s="33"/>
      <c r="AD915" s="32"/>
    </row>
    <row r="916" spans="5:40" x14ac:dyDescent="0.2">
      <c r="E916" s="30"/>
      <c r="F916" s="30"/>
      <c r="H916" s="31"/>
      <c r="I916" s="31"/>
      <c r="R916" s="32"/>
      <c r="S916" s="32"/>
      <c r="U916" s="33"/>
      <c r="V916" s="33"/>
      <c r="AD916" s="32"/>
    </row>
    <row r="917" spans="5:40" x14ac:dyDescent="0.2">
      <c r="E917" s="30"/>
      <c r="F917" s="30"/>
      <c r="H917" s="31"/>
      <c r="I917" s="31"/>
      <c r="R917" s="32"/>
      <c r="S917" s="32"/>
      <c r="U917" s="33"/>
      <c r="V917" s="33"/>
      <c r="AD917" s="32"/>
    </row>
    <row r="918" spans="5:40" x14ac:dyDescent="0.2">
      <c r="E918" s="30"/>
      <c r="F918" s="30"/>
      <c r="H918" s="31"/>
      <c r="I918" s="31"/>
      <c r="R918" s="32"/>
      <c r="S918" s="32"/>
      <c r="U918" s="33"/>
      <c r="V918" s="33"/>
      <c r="AD918" s="32"/>
    </row>
    <row r="919" spans="5:40" x14ac:dyDescent="0.2">
      <c r="E919" s="30"/>
      <c r="F919" s="30"/>
      <c r="H919" s="31"/>
      <c r="I919" s="31"/>
      <c r="R919" s="32"/>
      <c r="S919" s="32"/>
      <c r="U919" s="33"/>
      <c r="V919" s="33"/>
      <c r="AD919" s="32"/>
    </row>
    <row r="920" spans="5:40" x14ac:dyDescent="0.2">
      <c r="E920" s="30"/>
      <c r="F920" s="30"/>
      <c r="H920" s="31"/>
      <c r="I920" s="31"/>
      <c r="R920" s="32"/>
      <c r="S920" s="32"/>
      <c r="U920" s="33"/>
      <c r="V920" s="33"/>
      <c r="AD920" s="32"/>
    </row>
    <row r="921" spans="5:40" x14ac:dyDescent="0.2">
      <c r="E921" s="30"/>
      <c r="F921" s="30"/>
      <c r="H921" s="31"/>
      <c r="I921" s="31"/>
      <c r="R921" s="32"/>
      <c r="S921" s="32"/>
      <c r="U921" s="33"/>
      <c r="V921" s="33"/>
      <c r="AD921" s="32"/>
    </row>
    <row r="922" spans="5:40" x14ac:dyDescent="0.2">
      <c r="E922" s="30"/>
      <c r="F922" s="30"/>
      <c r="H922" s="31"/>
      <c r="I922" s="31"/>
      <c r="R922" s="32"/>
      <c r="S922" s="32"/>
      <c r="U922" s="33"/>
      <c r="V922" s="33"/>
      <c r="AD922" s="32"/>
    </row>
    <row r="923" spans="5:40" x14ac:dyDescent="0.2">
      <c r="G923" s="33"/>
      <c r="J923" s="33"/>
      <c r="K923" s="33"/>
      <c r="N923" s="33"/>
      <c r="O923" s="33"/>
      <c r="P923" s="33"/>
      <c r="Q923" s="120"/>
      <c r="T923" s="33"/>
      <c r="U923" s="33"/>
      <c r="V923" s="33"/>
      <c r="AE923" s="33"/>
      <c r="AF923" s="33"/>
      <c r="AG923" s="33"/>
      <c r="AH923" s="33"/>
      <c r="AJ923" s="33"/>
      <c r="AK923" s="33"/>
      <c r="AL923" s="33"/>
      <c r="AM923" s="33"/>
      <c r="AN923" s="33"/>
    </row>
    <row r="924" spans="5:40" x14ac:dyDescent="0.2">
      <c r="E924" s="30"/>
      <c r="F924" s="30"/>
      <c r="H924" s="31"/>
      <c r="I924" s="31"/>
      <c r="R924" s="32"/>
      <c r="S924" s="32"/>
      <c r="U924" s="33"/>
      <c r="V924" s="33"/>
      <c r="AD924" s="32"/>
    </row>
    <row r="925" spans="5:40" x14ac:dyDescent="0.2">
      <c r="E925" s="30"/>
      <c r="F925" s="30"/>
      <c r="H925" s="31"/>
      <c r="I925" s="31"/>
      <c r="R925" s="32"/>
      <c r="S925" s="32"/>
      <c r="U925" s="33"/>
      <c r="V925" s="33"/>
      <c r="AD925" s="32"/>
    </row>
    <row r="926" spans="5:40" x14ac:dyDescent="0.2">
      <c r="E926" s="30"/>
      <c r="F926" s="30"/>
      <c r="H926" s="31"/>
      <c r="I926" s="31"/>
      <c r="R926" s="32"/>
      <c r="S926" s="32"/>
      <c r="U926" s="33"/>
      <c r="V926" s="33"/>
      <c r="AD926" s="32"/>
    </row>
    <row r="927" spans="5:40" x14ac:dyDescent="0.2">
      <c r="E927" s="30"/>
      <c r="F927" s="30"/>
      <c r="H927" s="31"/>
      <c r="I927" s="31"/>
      <c r="R927" s="32"/>
      <c r="S927" s="32"/>
      <c r="U927" s="33"/>
      <c r="V927" s="33"/>
      <c r="AD927" s="32"/>
    </row>
    <row r="928" spans="5:40" x14ac:dyDescent="0.2">
      <c r="E928" s="30"/>
      <c r="F928" s="30"/>
      <c r="H928" s="31"/>
      <c r="I928" s="31"/>
      <c r="R928" s="32"/>
      <c r="S928" s="32"/>
      <c r="U928" s="33"/>
      <c r="V928" s="33"/>
      <c r="AD928" s="32"/>
    </row>
    <row r="929" spans="5:40" x14ac:dyDescent="0.2">
      <c r="E929" s="30"/>
      <c r="F929" s="30"/>
      <c r="H929" s="31"/>
      <c r="I929" s="31"/>
      <c r="R929" s="32"/>
      <c r="S929" s="32"/>
      <c r="U929" s="33"/>
      <c r="V929" s="33"/>
      <c r="AD929" s="32"/>
    </row>
    <row r="930" spans="5:40" x14ac:dyDescent="0.2">
      <c r="E930" s="30"/>
      <c r="F930" s="30"/>
      <c r="H930" s="31"/>
      <c r="I930" s="31"/>
      <c r="R930" s="32"/>
      <c r="S930" s="32"/>
      <c r="U930" s="33"/>
      <c r="V930" s="33"/>
      <c r="AD930" s="32"/>
    </row>
    <row r="931" spans="5:40" x14ac:dyDescent="0.2">
      <c r="E931" s="30"/>
      <c r="F931" s="30"/>
      <c r="H931" s="31"/>
      <c r="I931" s="31"/>
      <c r="R931" s="32"/>
      <c r="S931" s="32"/>
      <c r="U931" s="33"/>
      <c r="V931" s="33"/>
      <c r="AD931" s="32"/>
    </row>
    <row r="932" spans="5:40" x14ac:dyDescent="0.2">
      <c r="E932" s="30"/>
      <c r="F932" s="30"/>
      <c r="H932" s="31"/>
      <c r="I932" s="31"/>
      <c r="R932" s="32"/>
      <c r="S932" s="32"/>
      <c r="U932" s="33"/>
      <c r="V932" s="33"/>
      <c r="AD932" s="32"/>
    </row>
    <row r="933" spans="5:40" x14ac:dyDescent="0.2">
      <c r="E933" s="30"/>
      <c r="F933" s="30"/>
      <c r="H933" s="31"/>
      <c r="I933" s="31"/>
      <c r="R933" s="32"/>
      <c r="S933" s="32"/>
      <c r="U933" s="33"/>
      <c r="V933" s="33"/>
      <c r="AD933" s="32"/>
    </row>
    <row r="934" spans="5:40" x14ac:dyDescent="0.2">
      <c r="E934" s="30"/>
      <c r="F934" s="30"/>
      <c r="H934" s="31"/>
      <c r="I934" s="31"/>
      <c r="R934" s="32"/>
      <c r="S934" s="32"/>
      <c r="U934" s="33"/>
      <c r="V934" s="33"/>
      <c r="AD934" s="32"/>
    </row>
    <row r="935" spans="5:40" x14ac:dyDescent="0.2">
      <c r="E935" s="30"/>
      <c r="F935" s="30"/>
      <c r="H935" s="31"/>
      <c r="I935" s="31"/>
      <c r="R935" s="32"/>
      <c r="S935" s="32"/>
      <c r="U935" s="33"/>
      <c r="V935" s="33"/>
      <c r="AD935" s="32"/>
    </row>
    <row r="936" spans="5:40" x14ac:dyDescent="0.2">
      <c r="E936" s="30"/>
      <c r="F936" s="30"/>
      <c r="H936" s="31"/>
      <c r="I936" s="31"/>
      <c r="R936" s="32"/>
      <c r="S936" s="32"/>
      <c r="U936" s="33"/>
      <c r="V936" s="33"/>
      <c r="AD936" s="32"/>
    </row>
    <row r="937" spans="5:40" x14ac:dyDescent="0.2">
      <c r="E937" s="30"/>
      <c r="F937" s="30"/>
      <c r="H937" s="31"/>
      <c r="I937" s="31"/>
      <c r="R937" s="32"/>
      <c r="S937" s="32"/>
      <c r="U937" s="33"/>
      <c r="V937" s="33"/>
      <c r="AD937" s="32"/>
    </row>
    <row r="938" spans="5:40" x14ac:dyDescent="0.2">
      <c r="E938" s="30"/>
      <c r="F938" s="30"/>
      <c r="H938" s="31"/>
      <c r="I938" s="31"/>
      <c r="R938" s="32"/>
      <c r="S938" s="32"/>
      <c r="U938" s="33"/>
      <c r="V938" s="33"/>
      <c r="AD938" s="32"/>
    </row>
    <row r="939" spans="5:40" x14ac:dyDescent="0.2">
      <c r="E939" s="30"/>
      <c r="F939" s="30"/>
      <c r="G939" s="32"/>
      <c r="H939" s="31"/>
      <c r="I939" s="31"/>
      <c r="J939" s="32"/>
      <c r="K939" s="32"/>
      <c r="N939" s="32"/>
      <c r="O939" s="32"/>
      <c r="P939" s="32"/>
      <c r="Q939" s="119"/>
      <c r="R939" s="32"/>
      <c r="S939" s="32"/>
      <c r="T939" s="32"/>
      <c r="U939" s="32"/>
      <c r="V939" s="32"/>
      <c r="AD939" s="32"/>
      <c r="AE939" s="32"/>
      <c r="AF939" s="32"/>
      <c r="AG939" s="32"/>
      <c r="AH939" s="32"/>
      <c r="AJ939" s="32"/>
      <c r="AK939" s="32"/>
      <c r="AL939" s="32"/>
      <c r="AM939" s="32"/>
      <c r="AN939" s="32"/>
    </row>
    <row r="940" spans="5:40" x14ac:dyDescent="0.2">
      <c r="E940" s="30"/>
      <c r="F940" s="30"/>
      <c r="H940" s="31"/>
      <c r="I940" s="31"/>
      <c r="R940" s="32"/>
      <c r="S940" s="32"/>
      <c r="U940" s="33"/>
      <c r="V940" s="33"/>
      <c r="AD940" s="32"/>
    </row>
    <row r="941" spans="5:40" x14ac:dyDescent="0.2">
      <c r="E941" s="30"/>
      <c r="F941" s="30"/>
      <c r="H941" s="31"/>
      <c r="I941" s="31"/>
      <c r="R941" s="32"/>
      <c r="S941" s="32"/>
      <c r="U941" s="33"/>
      <c r="V941" s="33"/>
      <c r="AD941" s="32"/>
    </row>
    <row r="942" spans="5:40" x14ac:dyDescent="0.2">
      <c r="E942" s="30"/>
      <c r="F942" s="30"/>
      <c r="H942" s="31"/>
      <c r="I942" s="31"/>
      <c r="R942" s="32"/>
      <c r="S942" s="32"/>
      <c r="U942" s="33"/>
      <c r="V942" s="33"/>
      <c r="AD942" s="32"/>
    </row>
    <row r="943" spans="5:40" x14ac:dyDescent="0.2">
      <c r="E943" s="30"/>
      <c r="F943" s="30"/>
      <c r="H943" s="31"/>
      <c r="I943" s="31"/>
      <c r="R943" s="32"/>
      <c r="S943" s="32"/>
      <c r="U943" s="33"/>
      <c r="V943" s="33"/>
      <c r="AD943" s="32"/>
    </row>
    <row r="944" spans="5:40" x14ac:dyDescent="0.2">
      <c r="E944" s="30"/>
      <c r="F944" s="30"/>
      <c r="H944" s="31"/>
      <c r="I944" s="31"/>
      <c r="R944" s="32"/>
      <c r="S944" s="32"/>
      <c r="U944" s="33"/>
      <c r="V944" s="33"/>
      <c r="AD944" s="32"/>
    </row>
    <row r="945" spans="5:30" x14ac:dyDescent="0.2">
      <c r="E945" s="30"/>
      <c r="F945" s="30"/>
      <c r="H945" s="31"/>
      <c r="I945" s="31"/>
      <c r="R945" s="32"/>
      <c r="S945" s="32"/>
      <c r="U945" s="33"/>
      <c r="V945" s="33"/>
      <c r="AD945" s="32"/>
    </row>
    <row r="946" spans="5:30" x14ac:dyDescent="0.2">
      <c r="E946" s="30"/>
      <c r="F946" s="30"/>
      <c r="H946" s="31"/>
      <c r="I946" s="31"/>
      <c r="R946" s="32"/>
      <c r="S946" s="32"/>
      <c r="U946" s="33"/>
      <c r="V946" s="33"/>
      <c r="AD946" s="32"/>
    </row>
    <row r="947" spans="5:30" x14ac:dyDescent="0.2">
      <c r="E947" s="30"/>
      <c r="F947" s="30"/>
      <c r="H947" s="31"/>
      <c r="I947" s="31"/>
      <c r="R947" s="32"/>
      <c r="S947" s="32"/>
      <c r="U947" s="33"/>
      <c r="V947" s="33"/>
      <c r="AD947" s="32"/>
    </row>
    <row r="948" spans="5:30" x14ac:dyDescent="0.2">
      <c r="E948" s="30"/>
      <c r="F948" s="30"/>
      <c r="H948" s="31"/>
      <c r="I948" s="31"/>
      <c r="R948" s="32"/>
      <c r="S948" s="32"/>
      <c r="U948" s="33"/>
      <c r="V948" s="33"/>
      <c r="AD948" s="32"/>
    </row>
    <row r="949" spans="5:30" x14ac:dyDescent="0.2">
      <c r="E949" s="30"/>
      <c r="F949" s="30"/>
      <c r="H949" s="31"/>
      <c r="I949" s="31"/>
      <c r="R949" s="32"/>
      <c r="S949" s="32"/>
      <c r="U949" s="33"/>
      <c r="V949" s="33"/>
      <c r="AD949" s="32"/>
    </row>
    <row r="950" spans="5:30" x14ac:dyDescent="0.2">
      <c r="E950" s="30"/>
      <c r="F950" s="30"/>
      <c r="H950" s="31"/>
      <c r="I950" s="31"/>
      <c r="R950" s="32"/>
      <c r="S950" s="32"/>
      <c r="U950" s="33"/>
      <c r="V950" s="33"/>
      <c r="AD950" s="32"/>
    </row>
    <row r="951" spans="5:30" x14ac:dyDescent="0.2">
      <c r="E951" s="30"/>
      <c r="F951" s="30"/>
      <c r="H951" s="31"/>
      <c r="I951" s="31"/>
      <c r="R951" s="32"/>
      <c r="S951" s="32"/>
      <c r="U951" s="33"/>
      <c r="V951" s="33"/>
      <c r="AD951" s="32"/>
    </row>
    <row r="952" spans="5:30" x14ac:dyDescent="0.2">
      <c r="E952" s="30"/>
      <c r="F952" s="30"/>
      <c r="H952" s="31"/>
      <c r="I952" s="31"/>
      <c r="R952" s="32"/>
      <c r="S952" s="32"/>
      <c r="U952" s="33"/>
      <c r="V952" s="33"/>
      <c r="AD952" s="32"/>
    </row>
    <row r="953" spans="5:30" x14ac:dyDescent="0.2">
      <c r="E953" s="30"/>
      <c r="F953" s="30"/>
      <c r="H953" s="31"/>
      <c r="I953" s="31"/>
      <c r="R953" s="32"/>
      <c r="S953" s="32"/>
      <c r="U953" s="33"/>
      <c r="V953" s="33"/>
      <c r="AD953" s="32"/>
    </row>
    <row r="954" spans="5:30" x14ac:dyDescent="0.2">
      <c r="E954" s="30"/>
      <c r="F954" s="30"/>
      <c r="H954" s="31"/>
      <c r="I954" s="31"/>
      <c r="R954" s="32"/>
      <c r="S954" s="32"/>
      <c r="U954" s="33"/>
      <c r="V954" s="33"/>
      <c r="AD954" s="32"/>
    </row>
    <row r="955" spans="5:30" x14ac:dyDescent="0.2">
      <c r="E955" s="30"/>
      <c r="F955" s="30"/>
      <c r="H955" s="31"/>
      <c r="I955" s="31"/>
      <c r="R955" s="32"/>
      <c r="S955" s="32"/>
      <c r="U955" s="33"/>
      <c r="V955" s="33"/>
      <c r="AD955" s="32"/>
    </row>
    <row r="956" spans="5:30" x14ac:dyDescent="0.2">
      <c r="E956" s="30"/>
      <c r="F956" s="30"/>
      <c r="H956" s="31"/>
      <c r="I956" s="31"/>
      <c r="R956" s="32"/>
      <c r="S956" s="32"/>
      <c r="U956" s="33"/>
      <c r="V956" s="33"/>
      <c r="AD956" s="32"/>
    </row>
    <row r="957" spans="5:30" x14ac:dyDescent="0.2">
      <c r="E957" s="30"/>
      <c r="F957" s="30"/>
      <c r="H957" s="31"/>
      <c r="I957" s="31"/>
      <c r="R957" s="32"/>
      <c r="S957" s="32"/>
      <c r="U957" s="33"/>
      <c r="V957" s="33"/>
      <c r="AD957" s="32"/>
    </row>
    <row r="958" spans="5:30" x14ac:dyDescent="0.2">
      <c r="E958" s="30"/>
      <c r="F958" s="30"/>
      <c r="H958" s="31"/>
      <c r="I958" s="31"/>
      <c r="R958" s="32"/>
      <c r="S958" s="32"/>
      <c r="U958" s="33"/>
      <c r="V958" s="33"/>
      <c r="AD958" s="32"/>
    </row>
    <row r="959" spans="5:30" x14ac:dyDescent="0.2">
      <c r="E959" s="30"/>
      <c r="F959" s="30"/>
      <c r="H959" s="31"/>
      <c r="I959" s="31"/>
      <c r="R959" s="32"/>
      <c r="S959" s="32"/>
      <c r="U959" s="33"/>
      <c r="V959" s="33"/>
      <c r="AD959" s="32"/>
    </row>
    <row r="960" spans="5:30" x14ac:dyDescent="0.2">
      <c r="E960" s="30"/>
      <c r="F960" s="30"/>
      <c r="H960" s="31"/>
      <c r="I960" s="31"/>
      <c r="R960" s="32"/>
      <c r="S960" s="32"/>
      <c r="U960" s="33"/>
      <c r="V960" s="33"/>
      <c r="AD960" s="32"/>
    </row>
    <row r="961" spans="5:30" x14ac:dyDescent="0.2">
      <c r="E961" s="30"/>
      <c r="F961" s="30"/>
      <c r="H961" s="31"/>
      <c r="I961" s="31"/>
      <c r="R961" s="32"/>
      <c r="S961" s="32"/>
      <c r="U961" s="33"/>
      <c r="V961" s="33"/>
      <c r="AD961" s="32"/>
    </row>
    <row r="962" spans="5:30" x14ac:dyDescent="0.2">
      <c r="E962" s="30"/>
      <c r="F962" s="30"/>
      <c r="H962" s="31"/>
      <c r="I962" s="31"/>
      <c r="R962" s="32"/>
      <c r="S962" s="32"/>
      <c r="U962" s="33"/>
      <c r="V962" s="33"/>
      <c r="AD962" s="32"/>
    </row>
    <row r="963" spans="5:30" x14ac:dyDescent="0.2">
      <c r="E963" s="30"/>
      <c r="F963" s="30"/>
      <c r="H963" s="31"/>
      <c r="I963" s="31"/>
      <c r="R963" s="32"/>
      <c r="S963" s="32"/>
      <c r="U963" s="33"/>
      <c r="V963" s="33"/>
      <c r="AD963" s="32"/>
    </row>
    <row r="964" spans="5:30" x14ac:dyDescent="0.2">
      <c r="E964" s="30"/>
      <c r="F964" s="30"/>
      <c r="H964" s="31"/>
      <c r="I964" s="31"/>
      <c r="R964" s="32"/>
      <c r="S964" s="32"/>
      <c r="U964" s="33"/>
      <c r="V964" s="33"/>
      <c r="AD964" s="32"/>
    </row>
    <row r="965" spans="5:30" x14ac:dyDescent="0.2">
      <c r="E965" s="30"/>
      <c r="F965" s="30"/>
      <c r="H965" s="31"/>
      <c r="I965" s="31"/>
      <c r="R965" s="32"/>
      <c r="S965" s="32"/>
      <c r="U965" s="33"/>
      <c r="V965" s="33"/>
      <c r="AD965" s="32"/>
    </row>
    <row r="966" spans="5:30" x14ac:dyDescent="0.2">
      <c r="E966" s="30"/>
      <c r="F966" s="30"/>
      <c r="H966" s="31"/>
      <c r="I966" s="31"/>
      <c r="R966" s="32"/>
      <c r="S966" s="32"/>
      <c r="U966" s="33"/>
      <c r="V966" s="33"/>
      <c r="AD966" s="32"/>
    </row>
    <row r="967" spans="5:30" x14ac:dyDescent="0.2">
      <c r="E967" s="30"/>
      <c r="F967" s="30"/>
      <c r="H967" s="31"/>
      <c r="I967" s="31"/>
      <c r="R967" s="32"/>
      <c r="S967" s="32"/>
      <c r="U967" s="33"/>
      <c r="V967" s="33"/>
      <c r="AD967" s="32"/>
    </row>
    <row r="968" spans="5:30" x14ac:dyDescent="0.2">
      <c r="E968" s="30"/>
      <c r="F968" s="30"/>
      <c r="H968" s="31"/>
      <c r="I968" s="31"/>
      <c r="R968" s="32"/>
      <c r="S968" s="32"/>
      <c r="U968" s="33"/>
      <c r="V968" s="33"/>
      <c r="AD968" s="32"/>
    </row>
    <row r="969" spans="5:30" x14ac:dyDescent="0.2">
      <c r="E969" s="30"/>
      <c r="F969" s="30"/>
      <c r="H969" s="31"/>
      <c r="I969" s="31"/>
      <c r="R969" s="32"/>
      <c r="S969" s="32"/>
      <c r="U969" s="33"/>
      <c r="V969" s="33"/>
      <c r="AD969" s="32"/>
    </row>
    <row r="970" spans="5:30" x14ac:dyDescent="0.2">
      <c r="E970" s="30"/>
      <c r="F970" s="30"/>
      <c r="H970" s="31"/>
      <c r="I970" s="31"/>
      <c r="R970" s="32"/>
      <c r="S970" s="32"/>
      <c r="U970" s="33"/>
      <c r="V970" s="33"/>
      <c r="AD970" s="32"/>
    </row>
    <row r="971" spans="5:30" x14ac:dyDescent="0.2">
      <c r="E971" s="30"/>
      <c r="F971" s="30"/>
      <c r="I971" s="31"/>
      <c r="S971" s="32"/>
      <c r="U971" s="33"/>
      <c r="V971" s="33"/>
      <c r="AD971" s="32"/>
    </row>
    <row r="972" spans="5:30" x14ac:dyDescent="0.2">
      <c r="E972" s="30"/>
      <c r="F972" s="30"/>
      <c r="I972" s="31"/>
      <c r="S972" s="32"/>
      <c r="U972" s="33"/>
      <c r="V972" s="33"/>
      <c r="AD972" s="32"/>
    </row>
    <row r="973" spans="5:30" x14ac:dyDescent="0.2">
      <c r="E973" s="30"/>
      <c r="F973" s="30"/>
      <c r="I973" s="31"/>
      <c r="S973" s="32"/>
      <c r="U973" s="33"/>
      <c r="V973" s="33"/>
      <c r="AD973" s="32"/>
    </row>
    <row r="974" spans="5:30" x14ac:dyDescent="0.2">
      <c r="E974" s="30"/>
      <c r="F974" s="30"/>
      <c r="I974" s="31"/>
      <c r="S974" s="32"/>
      <c r="U974" s="33"/>
      <c r="V974" s="33"/>
      <c r="AD974" s="32"/>
    </row>
    <row r="975" spans="5:30" x14ac:dyDescent="0.2">
      <c r="E975" s="30"/>
      <c r="F975" s="30"/>
      <c r="I975" s="31"/>
      <c r="S975" s="32"/>
      <c r="U975" s="33"/>
      <c r="V975" s="33"/>
      <c r="AD975" s="32"/>
    </row>
    <row r="976" spans="5:30" x14ac:dyDescent="0.2">
      <c r="E976" s="30"/>
      <c r="F976" s="30"/>
      <c r="H976" s="31"/>
      <c r="I976" s="31"/>
      <c r="R976" s="32"/>
      <c r="S976" s="32"/>
      <c r="U976" s="33"/>
      <c r="V976" s="33"/>
      <c r="AD976" s="32"/>
    </row>
    <row r="977" spans="5:30" x14ac:dyDescent="0.2">
      <c r="E977" s="30"/>
      <c r="F977" s="30"/>
      <c r="H977" s="31"/>
      <c r="I977" s="31"/>
      <c r="R977" s="32"/>
      <c r="S977" s="32"/>
      <c r="U977" s="33"/>
      <c r="V977" s="33"/>
      <c r="AD977" s="32"/>
    </row>
    <row r="978" spans="5:30" x14ac:dyDescent="0.2">
      <c r="E978" s="30"/>
      <c r="F978" s="30"/>
      <c r="H978" s="31"/>
      <c r="I978" s="31"/>
      <c r="R978" s="32"/>
      <c r="S978" s="32"/>
      <c r="U978" s="33"/>
      <c r="V978" s="33"/>
      <c r="AD978" s="32"/>
    </row>
    <row r="979" spans="5:30" x14ac:dyDescent="0.2">
      <c r="E979" s="30"/>
      <c r="F979" s="30"/>
      <c r="H979" s="31"/>
      <c r="I979" s="31"/>
      <c r="R979" s="32"/>
      <c r="S979" s="32"/>
      <c r="U979" s="33"/>
      <c r="V979" s="33"/>
      <c r="AD979" s="32"/>
    </row>
    <row r="980" spans="5:30" x14ac:dyDescent="0.2">
      <c r="E980" s="30"/>
      <c r="F980" s="30"/>
      <c r="H980" s="31"/>
      <c r="I980" s="31"/>
      <c r="R980" s="32"/>
      <c r="S980" s="32"/>
      <c r="U980" s="33"/>
      <c r="V980" s="33"/>
      <c r="AD980" s="32"/>
    </row>
    <row r="981" spans="5:30" x14ac:dyDescent="0.2">
      <c r="E981" s="30"/>
      <c r="F981" s="30"/>
      <c r="H981" s="31"/>
      <c r="I981" s="31"/>
      <c r="R981" s="32"/>
      <c r="S981" s="32"/>
      <c r="U981" s="33"/>
      <c r="V981" s="33"/>
      <c r="AD981" s="32"/>
    </row>
    <row r="982" spans="5:30" x14ac:dyDescent="0.2">
      <c r="E982" s="30"/>
      <c r="F982" s="30"/>
      <c r="H982" s="31"/>
      <c r="I982" s="31"/>
      <c r="R982" s="32"/>
      <c r="S982" s="32"/>
      <c r="U982" s="33"/>
      <c r="V982" s="33"/>
      <c r="AD982" s="32"/>
    </row>
    <row r="983" spans="5:30" x14ac:dyDescent="0.2">
      <c r="E983" s="30"/>
      <c r="F983" s="30"/>
      <c r="H983" s="31"/>
      <c r="I983" s="31"/>
      <c r="R983" s="32"/>
      <c r="S983" s="32"/>
      <c r="U983" s="33"/>
      <c r="V983" s="33"/>
      <c r="AD983" s="32"/>
    </row>
    <row r="984" spans="5:30" x14ac:dyDescent="0.2">
      <c r="E984" s="30"/>
      <c r="F984" s="30"/>
      <c r="H984" s="31"/>
      <c r="I984" s="31"/>
      <c r="R984" s="32"/>
      <c r="S984" s="32"/>
      <c r="U984" s="33"/>
      <c r="V984" s="33"/>
      <c r="AD984" s="32"/>
    </row>
    <row r="985" spans="5:30" x14ac:dyDescent="0.2">
      <c r="E985" s="30"/>
      <c r="F985" s="30"/>
      <c r="H985" s="31"/>
      <c r="I985" s="31"/>
      <c r="R985" s="32"/>
      <c r="S985" s="32"/>
      <c r="U985" s="33"/>
      <c r="V985" s="33"/>
      <c r="AD985" s="32"/>
    </row>
    <row r="986" spans="5:30" x14ac:dyDescent="0.2">
      <c r="E986" s="30"/>
      <c r="F986" s="30"/>
      <c r="H986" s="31"/>
      <c r="I986" s="31"/>
      <c r="R986" s="32"/>
      <c r="S986" s="32"/>
      <c r="U986" s="33"/>
      <c r="V986" s="33"/>
      <c r="AD986" s="32"/>
    </row>
    <row r="987" spans="5:30" x14ac:dyDescent="0.2">
      <c r="E987" s="30"/>
      <c r="F987" s="30"/>
      <c r="H987" s="31"/>
      <c r="I987" s="31"/>
      <c r="R987" s="32"/>
      <c r="S987" s="32"/>
      <c r="U987" s="33"/>
      <c r="V987" s="33"/>
      <c r="AD987" s="32"/>
    </row>
    <row r="988" spans="5:30" x14ac:dyDescent="0.2">
      <c r="E988" s="30"/>
      <c r="F988" s="30"/>
      <c r="H988" s="31"/>
      <c r="I988" s="31"/>
      <c r="R988" s="32"/>
      <c r="S988" s="32"/>
      <c r="U988" s="33"/>
      <c r="V988" s="33"/>
      <c r="AD988" s="32"/>
    </row>
    <row r="989" spans="5:30" x14ac:dyDescent="0.2">
      <c r="E989" s="30"/>
      <c r="F989" s="30"/>
      <c r="H989" s="31"/>
      <c r="I989" s="31"/>
      <c r="R989" s="32"/>
      <c r="S989" s="32"/>
      <c r="U989" s="33"/>
      <c r="V989" s="33"/>
      <c r="AD989" s="32"/>
    </row>
    <row r="990" spans="5:30" x14ac:dyDescent="0.2">
      <c r="E990" s="30"/>
      <c r="F990" s="30"/>
      <c r="H990" s="31"/>
      <c r="I990" s="31"/>
      <c r="R990" s="32"/>
      <c r="S990" s="32"/>
      <c r="U990" s="33"/>
      <c r="V990" s="33"/>
      <c r="AD990" s="32"/>
    </row>
    <row r="991" spans="5:30" x14ac:dyDescent="0.2">
      <c r="E991" s="30"/>
      <c r="F991" s="30"/>
      <c r="H991" s="31"/>
      <c r="I991" s="31"/>
      <c r="R991" s="32"/>
      <c r="S991" s="32"/>
      <c r="U991" s="33"/>
      <c r="V991" s="33"/>
      <c r="AD991" s="32"/>
    </row>
    <row r="992" spans="5:30" x14ac:dyDescent="0.2">
      <c r="E992" s="30"/>
      <c r="F992" s="30"/>
      <c r="H992" s="31"/>
      <c r="I992" s="31"/>
      <c r="R992" s="32"/>
      <c r="S992" s="32"/>
      <c r="U992" s="33"/>
      <c r="V992" s="33"/>
      <c r="AD992" s="32"/>
    </row>
    <row r="993" spans="5:40" x14ac:dyDescent="0.2">
      <c r="E993" s="30"/>
      <c r="F993" s="30"/>
      <c r="H993" s="31"/>
      <c r="I993" s="31"/>
      <c r="R993" s="32"/>
      <c r="S993" s="32"/>
      <c r="U993" s="33"/>
      <c r="V993" s="33"/>
      <c r="AD993" s="32"/>
    </row>
    <row r="994" spans="5:40" x14ac:dyDescent="0.2">
      <c r="E994" s="30"/>
      <c r="F994" s="30"/>
      <c r="H994" s="31"/>
      <c r="I994" s="31"/>
      <c r="R994" s="32"/>
      <c r="S994" s="32"/>
      <c r="U994" s="33"/>
      <c r="V994" s="33"/>
      <c r="AD994" s="32"/>
    </row>
    <row r="995" spans="5:40" x14ac:dyDescent="0.2">
      <c r="E995" s="30"/>
      <c r="F995" s="30"/>
      <c r="H995" s="31"/>
      <c r="I995" s="31"/>
      <c r="R995" s="32"/>
      <c r="S995" s="32"/>
      <c r="U995" s="33"/>
      <c r="V995" s="33"/>
      <c r="AD995" s="32"/>
    </row>
    <row r="996" spans="5:40" x14ac:dyDescent="0.2">
      <c r="E996" s="30"/>
      <c r="F996" s="30"/>
      <c r="H996" s="31"/>
      <c r="I996" s="31"/>
      <c r="R996" s="32"/>
      <c r="S996" s="32"/>
      <c r="U996" s="33"/>
      <c r="V996" s="33"/>
      <c r="AD996" s="32"/>
    </row>
    <row r="997" spans="5:40" x14ac:dyDescent="0.2">
      <c r="E997" s="30"/>
      <c r="F997" s="30"/>
      <c r="H997" s="31"/>
      <c r="I997" s="31"/>
      <c r="R997" s="32"/>
      <c r="S997" s="32"/>
      <c r="U997" s="33"/>
      <c r="V997" s="33"/>
      <c r="AD997" s="32"/>
    </row>
    <row r="998" spans="5:40" x14ac:dyDescent="0.2">
      <c r="E998" s="30"/>
      <c r="F998" s="30"/>
      <c r="H998" s="31"/>
      <c r="I998" s="31"/>
      <c r="R998" s="32"/>
      <c r="S998" s="32"/>
      <c r="U998" s="33"/>
      <c r="V998" s="33"/>
      <c r="AD998" s="32"/>
    </row>
    <row r="999" spans="5:40" x14ac:dyDescent="0.2">
      <c r="E999" s="30"/>
      <c r="F999" s="30"/>
      <c r="G999" s="32"/>
      <c r="H999" s="31"/>
      <c r="I999" s="31"/>
      <c r="J999" s="32"/>
      <c r="K999" s="32"/>
      <c r="N999" s="32"/>
      <c r="O999" s="32"/>
      <c r="P999" s="32"/>
      <c r="Q999" s="119"/>
      <c r="R999" s="32"/>
      <c r="S999" s="32"/>
      <c r="T999" s="32"/>
      <c r="U999" s="32"/>
      <c r="V999" s="32"/>
      <c r="AD999" s="32"/>
      <c r="AE999" s="32"/>
      <c r="AF999" s="32"/>
      <c r="AG999" s="32"/>
      <c r="AH999" s="32"/>
      <c r="AJ999" s="32"/>
      <c r="AK999" s="32"/>
      <c r="AL999" s="32"/>
      <c r="AM999" s="32"/>
      <c r="AN999" s="32"/>
    </row>
    <row r="1000" spans="5:40" x14ac:dyDescent="0.2">
      <c r="R1000" s="3"/>
      <c r="S1000" s="3"/>
      <c r="AD1000" s="3"/>
    </row>
    <row r="1001" spans="5:40" x14ac:dyDescent="0.2">
      <c r="U1001" s="33"/>
      <c r="V1001" s="33"/>
    </row>
    <row r="1002" spans="5:40" x14ac:dyDescent="0.2">
      <c r="U1002" s="33"/>
      <c r="V1002" s="33"/>
    </row>
    <row r="1003" spans="5:40" x14ac:dyDescent="0.2">
      <c r="U1003" s="33"/>
      <c r="V1003" s="33"/>
    </row>
    <row r="1004" spans="5:40" x14ac:dyDescent="0.2">
      <c r="U1004" s="33"/>
      <c r="V1004" s="33"/>
    </row>
    <row r="1005" spans="5:40" x14ac:dyDescent="0.2">
      <c r="U1005" s="33"/>
      <c r="V1005" s="33"/>
    </row>
    <row r="1006" spans="5:40" x14ac:dyDescent="0.2">
      <c r="U1006" s="33"/>
      <c r="V1006" s="33"/>
    </row>
    <row r="1007" spans="5:40" x14ac:dyDescent="0.2">
      <c r="U1007" s="33"/>
      <c r="V1007" s="33"/>
    </row>
    <row r="1008" spans="5:40" x14ac:dyDescent="0.2">
      <c r="U1008" s="33"/>
      <c r="V1008" s="33"/>
    </row>
    <row r="1009" spans="21:22" x14ac:dyDescent="0.2">
      <c r="U1009" s="33"/>
      <c r="V1009" s="33"/>
    </row>
    <row r="1010" spans="21:22" x14ac:dyDescent="0.2">
      <c r="U1010" s="33"/>
      <c r="V1010" s="33"/>
    </row>
    <row r="1011" spans="21:22" x14ac:dyDescent="0.2">
      <c r="U1011" s="33"/>
      <c r="V1011" s="33"/>
    </row>
    <row r="1012" spans="21:22" x14ac:dyDescent="0.2">
      <c r="U1012" s="33"/>
      <c r="V1012" s="33"/>
    </row>
    <row r="1013" spans="21:22" x14ac:dyDescent="0.2">
      <c r="U1013" s="33"/>
      <c r="V1013" s="33"/>
    </row>
    <row r="1014" spans="21:22" x14ac:dyDescent="0.2">
      <c r="U1014" s="33"/>
      <c r="V1014" s="33"/>
    </row>
    <row r="1015" spans="21:22" x14ac:dyDescent="0.2">
      <c r="U1015" s="33"/>
      <c r="V1015" s="33"/>
    </row>
    <row r="1016" spans="21:22" x14ac:dyDescent="0.2">
      <c r="U1016" s="33"/>
      <c r="V1016" s="33"/>
    </row>
    <row r="1017" spans="21:22" x14ac:dyDescent="0.2">
      <c r="U1017" s="33"/>
      <c r="V1017" s="33"/>
    </row>
    <row r="1018" spans="21:22" x14ac:dyDescent="0.2">
      <c r="U1018" s="33"/>
      <c r="V1018" s="33"/>
    </row>
    <row r="1019" spans="21:22" x14ac:dyDescent="0.2">
      <c r="U1019" s="33"/>
      <c r="V1019" s="33"/>
    </row>
    <row r="1020" spans="21:22" x14ac:dyDescent="0.2">
      <c r="U1020" s="33"/>
      <c r="V1020" s="33"/>
    </row>
    <row r="1021" spans="21:22" x14ac:dyDescent="0.2">
      <c r="U1021" s="33"/>
      <c r="V1021" s="33"/>
    </row>
    <row r="1022" spans="21:22" x14ac:dyDescent="0.2">
      <c r="U1022" s="33"/>
      <c r="V1022" s="33"/>
    </row>
    <row r="1023" spans="21:22" x14ac:dyDescent="0.2">
      <c r="U1023" s="33"/>
      <c r="V1023" s="33"/>
    </row>
    <row r="1024" spans="21:22" x14ac:dyDescent="0.2">
      <c r="U1024" s="33"/>
      <c r="V1024" s="33"/>
    </row>
    <row r="1025" spans="21:22" x14ac:dyDescent="0.2">
      <c r="U1025" s="33"/>
      <c r="V1025" s="33"/>
    </row>
    <row r="1026" spans="21:22" x14ac:dyDescent="0.2">
      <c r="U1026" s="33"/>
      <c r="V1026" s="33"/>
    </row>
    <row r="1027" spans="21:22" x14ac:dyDescent="0.2">
      <c r="U1027" s="33"/>
      <c r="V1027" s="33"/>
    </row>
    <row r="1028" spans="21:22" x14ac:dyDescent="0.2">
      <c r="U1028" s="33"/>
      <c r="V1028" s="33"/>
    </row>
    <row r="1029" spans="21:22" x14ac:dyDescent="0.2">
      <c r="U1029" s="33"/>
      <c r="V1029" s="33"/>
    </row>
    <row r="1030" spans="21:22" x14ac:dyDescent="0.2">
      <c r="U1030" s="33"/>
      <c r="V1030" s="33"/>
    </row>
    <row r="1031" spans="21:22" x14ac:dyDescent="0.2">
      <c r="U1031" s="33"/>
      <c r="V1031" s="33"/>
    </row>
    <row r="1032" spans="21:22" x14ac:dyDescent="0.2">
      <c r="U1032" s="33"/>
      <c r="V1032" s="33"/>
    </row>
    <row r="1033" spans="21:22" x14ac:dyDescent="0.2">
      <c r="U1033" s="33"/>
      <c r="V1033" s="33"/>
    </row>
    <row r="1034" spans="21:22" x14ac:dyDescent="0.2">
      <c r="U1034" s="33"/>
      <c r="V1034" s="33"/>
    </row>
    <row r="1035" spans="21:22" x14ac:dyDescent="0.2">
      <c r="U1035" s="33"/>
      <c r="V1035" s="33"/>
    </row>
    <row r="1036" spans="21:22" x14ac:dyDescent="0.2">
      <c r="U1036" s="33"/>
      <c r="V1036" s="33"/>
    </row>
    <row r="1037" spans="21:22" x14ac:dyDescent="0.2">
      <c r="U1037" s="33"/>
      <c r="V1037" s="33"/>
    </row>
    <row r="1038" spans="21:22" x14ac:dyDescent="0.2">
      <c r="U1038" s="33"/>
      <c r="V1038" s="33"/>
    </row>
    <row r="1039" spans="21:22" x14ac:dyDescent="0.2">
      <c r="U1039" s="33"/>
      <c r="V1039" s="33"/>
    </row>
    <row r="1040" spans="21:22" x14ac:dyDescent="0.2">
      <c r="U1040" s="33"/>
      <c r="V1040" s="33"/>
    </row>
    <row r="1041" spans="21:22" x14ac:dyDescent="0.2">
      <c r="U1041" s="33"/>
      <c r="V1041" s="33"/>
    </row>
    <row r="1042" spans="21:22" x14ac:dyDescent="0.2">
      <c r="U1042" s="33"/>
      <c r="V1042" s="33"/>
    </row>
    <row r="1043" spans="21:22" x14ac:dyDescent="0.2">
      <c r="U1043" s="33"/>
      <c r="V1043" s="33"/>
    </row>
    <row r="1044" spans="21:22" x14ac:dyDescent="0.2">
      <c r="U1044" s="33"/>
      <c r="V1044" s="33"/>
    </row>
    <row r="1045" spans="21:22" x14ac:dyDescent="0.2">
      <c r="U1045" s="33"/>
      <c r="V1045" s="33"/>
    </row>
    <row r="1046" spans="21:22" x14ac:dyDescent="0.2">
      <c r="U1046" s="33"/>
      <c r="V1046" s="33"/>
    </row>
    <row r="1047" spans="21:22" x14ac:dyDescent="0.2">
      <c r="U1047" s="33"/>
      <c r="V1047" s="33"/>
    </row>
    <row r="1048" spans="21:22" x14ac:dyDescent="0.2">
      <c r="U1048" s="33"/>
      <c r="V1048" s="33"/>
    </row>
    <row r="1049" spans="21:22" x14ac:dyDescent="0.2">
      <c r="U1049" s="33"/>
      <c r="V1049" s="33"/>
    </row>
    <row r="1050" spans="21:22" x14ac:dyDescent="0.2">
      <c r="U1050" s="33"/>
      <c r="V1050" s="33"/>
    </row>
    <row r="1051" spans="21:22" x14ac:dyDescent="0.2">
      <c r="U1051" s="33"/>
      <c r="V1051" s="33"/>
    </row>
    <row r="1052" spans="21:22" x14ac:dyDescent="0.2">
      <c r="U1052" s="33"/>
      <c r="V1052" s="33"/>
    </row>
    <row r="1053" spans="21:22" x14ac:dyDescent="0.2">
      <c r="U1053" s="33"/>
      <c r="V1053" s="33"/>
    </row>
    <row r="1054" spans="21:22" x14ac:dyDescent="0.2">
      <c r="U1054" s="33"/>
      <c r="V1054" s="33"/>
    </row>
    <row r="1055" spans="21:22" x14ac:dyDescent="0.2">
      <c r="U1055" s="33"/>
      <c r="V1055" s="33"/>
    </row>
    <row r="1056" spans="21:22" x14ac:dyDescent="0.2">
      <c r="U1056" s="33"/>
      <c r="V1056" s="33"/>
    </row>
    <row r="1057" spans="21:22" x14ac:dyDescent="0.2">
      <c r="U1057" s="33"/>
      <c r="V1057" s="33"/>
    </row>
    <row r="1058" spans="21:22" x14ac:dyDescent="0.2">
      <c r="U1058" s="33"/>
      <c r="V1058" s="33"/>
    </row>
    <row r="1059" spans="21:22" x14ac:dyDescent="0.2">
      <c r="U1059" s="33"/>
      <c r="V1059" s="33"/>
    </row>
    <row r="1060" spans="21:22" x14ac:dyDescent="0.2">
      <c r="U1060" s="33"/>
      <c r="V1060" s="33"/>
    </row>
    <row r="1061" spans="21:22" x14ac:dyDescent="0.2">
      <c r="U1061" s="33"/>
      <c r="V1061" s="33"/>
    </row>
    <row r="1062" spans="21:22" x14ac:dyDescent="0.2">
      <c r="U1062" s="33"/>
      <c r="V1062" s="33"/>
    </row>
    <row r="1063" spans="21:22" x14ac:dyDescent="0.2">
      <c r="U1063" s="33"/>
      <c r="V1063" s="33"/>
    </row>
    <row r="1064" spans="21:22" x14ac:dyDescent="0.2">
      <c r="U1064" s="33"/>
      <c r="V1064" s="33"/>
    </row>
    <row r="1065" spans="21:22" x14ac:dyDescent="0.2">
      <c r="U1065" s="33"/>
      <c r="V1065" s="33"/>
    </row>
    <row r="1066" spans="21:22" x14ac:dyDescent="0.2">
      <c r="U1066" s="33"/>
      <c r="V1066" s="33"/>
    </row>
    <row r="1067" spans="21:22" x14ac:dyDescent="0.2">
      <c r="U1067" s="33"/>
      <c r="V1067" s="33"/>
    </row>
    <row r="1068" spans="21:22" x14ac:dyDescent="0.2">
      <c r="U1068" s="33"/>
      <c r="V1068" s="33"/>
    </row>
    <row r="1069" spans="21:22" x14ac:dyDescent="0.2">
      <c r="U1069" s="33"/>
      <c r="V1069" s="33"/>
    </row>
    <row r="1070" spans="21:22" x14ac:dyDescent="0.2">
      <c r="U1070" s="33"/>
      <c r="V1070" s="33"/>
    </row>
    <row r="1071" spans="21:22" x14ac:dyDescent="0.2">
      <c r="U1071" s="33"/>
      <c r="V1071" s="33"/>
    </row>
    <row r="1072" spans="21:22" x14ac:dyDescent="0.2">
      <c r="U1072" s="33"/>
      <c r="V1072" s="33"/>
    </row>
    <row r="1073" spans="21:22" x14ac:dyDescent="0.2">
      <c r="U1073" s="33"/>
      <c r="V1073" s="33"/>
    </row>
    <row r="1074" spans="21:22" x14ac:dyDescent="0.2">
      <c r="U1074" s="33"/>
      <c r="V1074" s="33"/>
    </row>
    <row r="1075" spans="21:22" x14ac:dyDescent="0.2">
      <c r="U1075" s="33"/>
      <c r="V1075" s="33"/>
    </row>
    <row r="1076" spans="21:22" x14ac:dyDescent="0.2">
      <c r="U1076" s="33"/>
      <c r="V1076" s="33"/>
    </row>
    <row r="1077" spans="21:22" x14ac:dyDescent="0.2">
      <c r="U1077" s="33"/>
      <c r="V1077" s="33"/>
    </row>
    <row r="1078" spans="21:22" x14ac:dyDescent="0.2">
      <c r="U1078" s="33"/>
      <c r="V1078" s="33"/>
    </row>
    <row r="1079" spans="21:22" x14ac:dyDescent="0.2">
      <c r="U1079" s="33"/>
      <c r="V1079" s="33"/>
    </row>
    <row r="1080" spans="21:22" x14ac:dyDescent="0.2">
      <c r="U1080" s="33"/>
      <c r="V1080" s="33"/>
    </row>
    <row r="1081" spans="21:22" x14ac:dyDescent="0.2">
      <c r="U1081" s="33"/>
      <c r="V1081" s="33"/>
    </row>
    <row r="1082" spans="21:22" x14ac:dyDescent="0.2">
      <c r="U1082" s="33"/>
      <c r="V1082" s="33"/>
    </row>
    <row r="1083" spans="21:22" x14ac:dyDescent="0.2">
      <c r="U1083" s="33"/>
      <c r="V1083" s="33"/>
    </row>
    <row r="1084" spans="21:22" x14ac:dyDescent="0.2">
      <c r="U1084" s="33"/>
      <c r="V1084" s="33"/>
    </row>
    <row r="1085" spans="21:22" x14ac:dyDescent="0.2">
      <c r="U1085" s="33"/>
      <c r="V1085" s="33"/>
    </row>
    <row r="1086" spans="21:22" x14ac:dyDescent="0.2">
      <c r="U1086" s="33"/>
      <c r="V1086" s="33"/>
    </row>
    <row r="1087" spans="21:22" x14ac:dyDescent="0.2">
      <c r="U1087" s="33"/>
      <c r="V1087" s="33"/>
    </row>
    <row r="1088" spans="21:22" x14ac:dyDescent="0.2">
      <c r="U1088" s="33"/>
      <c r="V1088" s="33"/>
    </row>
    <row r="1089" spans="21:22" x14ac:dyDescent="0.2">
      <c r="U1089" s="33"/>
      <c r="V1089" s="33"/>
    </row>
    <row r="1090" spans="21:22" x14ac:dyDescent="0.2">
      <c r="U1090" s="33"/>
      <c r="V1090" s="33"/>
    </row>
    <row r="1091" spans="21:22" x14ac:dyDescent="0.2">
      <c r="U1091" s="33"/>
      <c r="V1091" s="33"/>
    </row>
    <row r="1092" spans="21:22" x14ac:dyDescent="0.2">
      <c r="U1092" s="33"/>
      <c r="V1092" s="33"/>
    </row>
    <row r="1093" spans="21:22" x14ac:dyDescent="0.2">
      <c r="U1093" s="33"/>
      <c r="V1093" s="33"/>
    </row>
    <row r="1094" spans="21:22" x14ac:dyDescent="0.2">
      <c r="U1094" s="33"/>
      <c r="V1094" s="33"/>
    </row>
    <row r="1095" spans="21:22" x14ac:dyDescent="0.2">
      <c r="U1095" s="33"/>
      <c r="V1095" s="33"/>
    </row>
    <row r="1096" spans="21:22" x14ac:dyDescent="0.2">
      <c r="U1096" s="33"/>
      <c r="V1096" s="33"/>
    </row>
    <row r="1097" spans="21:22" x14ac:dyDescent="0.2">
      <c r="U1097" s="33"/>
      <c r="V1097" s="33"/>
    </row>
    <row r="1098" spans="21:22" x14ac:dyDescent="0.2">
      <c r="U1098" s="33"/>
      <c r="V1098" s="33"/>
    </row>
    <row r="1099" spans="21:22" x14ac:dyDescent="0.2">
      <c r="U1099" s="33"/>
      <c r="V1099" s="33"/>
    </row>
    <row r="1100" spans="21:22" x14ac:dyDescent="0.2">
      <c r="U1100" s="33"/>
      <c r="V1100" s="33"/>
    </row>
    <row r="1101" spans="21:22" x14ac:dyDescent="0.2">
      <c r="U1101" s="33"/>
      <c r="V1101" s="33"/>
    </row>
    <row r="1102" spans="21:22" x14ac:dyDescent="0.2">
      <c r="U1102" s="33"/>
      <c r="V1102" s="33"/>
    </row>
    <row r="1103" spans="21:22" x14ac:dyDescent="0.2">
      <c r="U1103" s="33"/>
      <c r="V1103" s="33"/>
    </row>
    <row r="1104" spans="21:22" x14ac:dyDescent="0.2">
      <c r="U1104" s="33"/>
      <c r="V1104" s="33"/>
    </row>
    <row r="1105" spans="21:22" x14ac:dyDescent="0.2">
      <c r="U1105" s="33"/>
      <c r="V1105" s="33"/>
    </row>
    <row r="1106" spans="21:22" x14ac:dyDescent="0.2">
      <c r="U1106" s="33"/>
      <c r="V1106" s="33"/>
    </row>
    <row r="1107" spans="21:22" x14ac:dyDescent="0.2">
      <c r="U1107" s="33"/>
      <c r="V1107" s="33"/>
    </row>
    <row r="1108" spans="21:22" x14ac:dyDescent="0.2">
      <c r="U1108" s="33"/>
      <c r="V1108" s="33"/>
    </row>
    <row r="1109" spans="21:22" x14ac:dyDescent="0.2">
      <c r="U1109" s="33"/>
      <c r="V1109" s="33"/>
    </row>
    <row r="1110" spans="21:22" x14ac:dyDescent="0.2">
      <c r="U1110" s="33"/>
      <c r="V1110" s="33"/>
    </row>
    <row r="1111" spans="21:22" x14ac:dyDescent="0.2">
      <c r="U1111" s="33"/>
      <c r="V1111" s="33"/>
    </row>
    <row r="1112" spans="21:22" x14ac:dyDescent="0.2">
      <c r="U1112" s="33"/>
      <c r="V1112" s="33"/>
    </row>
    <row r="1113" spans="21:22" x14ac:dyDescent="0.2">
      <c r="U1113" s="33"/>
      <c r="V1113" s="33"/>
    </row>
    <row r="1114" spans="21:22" x14ac:dyDescent="0.2">
      <c r="U1114" s="33"/>
      <c r="V1114" s="33"/>
    </row>
    <row r="1115" spans="21:22" x14ac:dyDescent="0.2">
      <c r="U1115" s="33"/>
      <c r="V1115" s="33"/>
    </row>
    <row r="1116" spans="21:22" x14ac:dyDescent="0.2">
      <c r="U1116" s="33"/>
      <c r="V1116" s="33"/>
    </row>
    <row r="1117" spans="21:22" x14ac:dyDescent="0.2">
      <c r="U1117" s="33"/>
      <c r="V1117" s="33"/>
    </row>
    <row r="1118" spans="21:22" x14ac:dyDescent="0.2">
      <c r="U1118" s="33"/>
      <c r="V1118" s="33"/>
    </row>
    <row r="1119" spans="21:22" x14ac:dyDescent="0.2">
      <c r="U1119" s="33"/>
      <c r="V1119" s="33"/>
    </row>
    <row r="1120" spans="21:22" x14ac:dyDescent="0.2">
      <c r="U1120" s="33"/>
      <c r="V1120" s="33"/>
    </row>
    <row r="1121" spans="21:22" x14ac:dyDescent="0.2">
      <c r="U1121" s="33"/>
      <c r="V1121" s="33"/>
    </row>
    <row r="1122" spans="21:22" x14ac:dyDescent="0.2">
      <c r="U1122" s="33"/>
      <c r="V1122" s="33"/>
    </row>
    <row r="1123" spans="21:22" x14ac:dyDescent="0.2">
      <c r="U1123" s="33"/>
      <c r="V1123" s="33"/>
    </row>
    <row r="1124" spans="21:22" x14ac:dyDescent="0.2">
      <c r="U1124" s="33"/>
      <c r="V1124" s="33"/>
    </row>
    <row r="1125" spans="21:22" x14ac:dyDescent="0.2">
      <c r="U1125" s="33"/>
      <c r="V1125" s="33"/>
    </row>
    <row r="1126" spans="21:22" x14ac:dyDescent="0.2">
      <c r="U1126" s="33"/>
      <c r="V1126" s="33"/>
    </row>
    <row r="1127" spans="21:22" x14ac:dyDescent="0.2">
      <c r="U1127" s="33"/>
      <c r="V1127" s="33"/>
    </row>
    <row r="1128" spans="21:22" x14ac:dyDescent="0.2">
      <c r="U1128" s="33"/>
      <c r="V1128" s="33"/>
    </row>
    <row r="1129" spans="21:22" x14ac:dyDescent="0.2">
      <c r="U1129" s="33"/>
      <c r="V1129" s="33"/>
    </row>
    <row r="1130" spans="21:22" x14ac:dyDescent="0.2">
      <c r="U1130" s="33"/>
      <c r="V1130" s="33"/>
    </row>
    <row r="1131" spans="21:22" x14ac:dyDescent="0.2">
      <c r="U1131" s="33"/>
      <c r="V1131" s="33"/>
    </row>
    <row r="1132" spans="21:22" x14ac:dyDescent="0.2">
      <c r="U1132" s="33"/>
      <c r="V1132" s="33"/>
    </row>
    <row r="1133" spans="21:22" x14ac:dyDescent="0.2">
      <c r="U1133" s="33"/>
      <c r="V1133" s="33"/>
    </row>
    <row r="1134" spans="21:22" x14ac:dyDescent="0.2">
      <c r="U1134" s="33"/>
      <c r="V1134" s="33"/>
    </row>
    <row r="1135" spans="21:22" x14ac:dyDescent="0.2">
      <c r="U1135" s="33"/>
      <c r="V1135" s="33"/>
    </row>
    <row r="1136" spans="21:22" x14ac:dyDescent="0.2">
      <c r="U1136" s="33"/>
      <c r="V1136" s="33"/>
    </row>
    <row r="1137" spans="21:22" x14ac:dyDescent="0.2">
      <c r="U1137" s="33"/>
      <c r="V1137" s="33"/>
    </row>
    <row r="1138" spans="21:22" x14ac:dyDescent="0.2">
      <c r="U1138" s="33"/>
      <c r="V1138" s="33"/>
    </row>
    <row r="1139" spans="21:22" x14ac:dyDescent="0.2">
      <c r="U1139" s="33"/>
      <c r="V1139" s="33"/>
    </row>
    <row r="1140" spans="21:22" x14ac:dyDescent="0.2">
      <c r="U1140" s="33"/>
      <c r="V1140" s="33"/>
    </row>
    <row r="1141" spans="21:22" x14ac:dyDescent="0.2">
      <c r="U1141" s="33"/>
      <c r="V1141" s="33"/>
    </row>
    <row r="1142" spans="21:22" x14ac:dyDescent="0.2">
      <c r="U1142" s="33"/>
      <c r="V1142" s="33"/>
    </row>
    <row r="1143" spans="21:22" x14ac:dyDescent="0.2">
      <c r="U1143" s="33"/>
      <c r="V1143" s="33"/>
    </row>
    <row r="1144" spans="21:22" x14ac:dyDescent="0.2">
      <c r="U1144" s="33"/>
      <c r="V1144" s="33"/>
    </row>
    <row r="1145" spans="21:22" x14ac:dyDescent="0.2">
      <c r="U1145" s="33"/>
      <c r="V1145" s="33"/>
    </row>
    <row r="1146" spans="21:22" x14ac:dyDescent="0.2">
      <c r="U1146" s="33"/>
      <c r="V1146" s="33"/>
    </row>
    <row r="1147" spans="21:22" x14ac:dyDescent="0.2">
      <c r="U1147" s="33"/>
      <c r="V1147" s="33"/>
    </row>
    <row r="1148" spans="21:22" x14ac:dyDescent="0.2">
      <c r="U1148" s="33"/>
      <c r="V1148" s="33"/>
    </row>
    <row r="1149" spans="21:22" x14ac:dyDescent="0.2">
      <c r="U1149" s="33"/>
      <c r="V1149" s="33"/>
    </row>
    <row r="1150" spans="21:22" x14ac:dyDescent="0.2">
      <c r="U1150" s="33"/>
      <c r="V1150" s="33"/>
    </row>
    <row r="1151" spans="21:22" x14ac:dyDescent="0.2">
      <c r="U1151" s="33"/>
      <c r="V1151" s="33"/>
    </row>
    <row r="1152" spans="21:22" x14ac:dyDescent="0.2">
      <c r="U1152" s="33"/>
      <c r="V1152" s="33"/>
    </row>
    <row r="1153" spans="21:22" x14ac:dyDescent="0.2">
      <c r="U1153" s="33"/>
      <c r="V1153" s="33"/>
    </row>
    <row r="1154" spans="21:22" x14ac:dyDescent="0.2">
      <c r="U1154" s="33"/>
      <c r="V1154" s="33"/>
    </row>
    <row r="1155" spans="21:22" x14ac:dyDescent="0.2">
      <c r="U1155" s="33"/>
      <c r="V1155" s="33"/>
    </row>
    <row r="1156" spans="21:22" x14ac:dyDescent="0.2">
      <c r="U1156" s="33"/>
      <c r="V1156" s="33"/>
    </row>
    <row r="1157" spans="21:22" x14ac:dyDescent="0.2">
      <c r="U1157" s="33"/>
      <c r="V1157" s="33"/>
    </row>
    <row r="1158" spans="21:22" x14ac:dyDescent="0.2">
      <c r="U1158" s="33"/>
      <c r="V1158" s="33"/>
    </row>
    <row r="1159" spans="21:22" x14ac:dyDescent="0.2">
      <c r="U1159" s="33"/>
      <c r="V1159" s="33"/>
    </row>
  </sheetData>
  <mergeCells count="114">
    <mergeCell ref="CP1:DQ1"/>
    <mergeCell ref="CI2:CI5"/>
    <mergeCell ref="CP2:CS3"/>
    <mergeCell ref="CT2:CW3"/>
    <mergeCell ref="CX2:CX5"/>
    <mergeCell ref="CY2:DQ2"/>
    <mergeCell ref="CY3:CY5"/>
    <mergeCell ref="CZ3:DA3"/>
    <mergeCell ref="DB3:DO3"/>
    <mergeCell ref="DP3:DQ4"/>
    <mergeCell ref="CP4:CP5"/>
    <mergeCell ref="CQ4:CQ5"/>
    <mergeCell ref="CR4:CR5"/>
    <mergeCell ref="CS4:CS5"/>
    <mergeCell ref="CT4:CT5"/>
    <mergeCell ref="CU4:CU5"/>
    <mergeCell ref="CV4:CV5"/>
    <mergeCell ref="CW4:CW5"/>
    <mergeCell ref="CZ4:CZ5"/>
    <mergeCell ref="DA4:DA5"/>
    <mergeCell ref="DB4:DH4"/>
    <mergeCell ref="DI4:DO4"/>
    <mergeCell ref="CJ2:CO2"/>
    <mergeCell ref="CJ3:CL4"/>
    <mergeCell ref="B2:B5"/>
    <mergeCell ref="C2:C5"/>
    <mergeCell ref="D2:D5"/>
    <mergeCell ref="E2:E5"/>
    <mergeCell ref="J2:J5"/>
    <mergeCell ref="F2:F5"/>
    <mergeCell ref="G2:G5"/>
    <mergeCell ref="H2:H5"/>
    <mergeCell ref="I2:I5"/>
    <mergeCell ref="K2:K5"/>
    <mergeCell ref="L2:M2"/>
    <mergeCell ref="N2:Q2"/>
    <mergeCell ref="M3:M5"/>
    <mergeCell ref="N3:N5"/>
    <mergeCell ref="O3:O5"/>
    <mergeCell ref="P3:P5"/>
    <mergeCell ref="Q3:Q5"/>
    <mergeCell ref="W4:W5"/>
    <mergeCell ref="R2:AB2"/>
    <mergeCell ref="Z3:AB3"/>
    <mergeCell ref="Z4:Z5"/>
    <mergeCell ref="AA4:AB4"/>
    <mergeCell ref="X4:Y4"/>
    <mergeCell ref="L3:L5"/>
    <mergeCell ref="R3:S3"/>
    <mergeCell ref="R4:S4"/>
    <mergeCell ref="AD3:AF3"/>
    <mergeCell ref="AD4:AD5"/>
    <mergeCell ref="AE4:AF4"/>
    <mergeCell ref="T3:V3"/>
    <mergeCell ref="W3:Y3"/>
    <mergeCell ref="T4:T5"/>
    <mergeCell ref="U4:V4"/>
    <mergeCell ref="AI2:AI5"/>
    <mergeCell ref="BN3:BN5"/>
    <mergeCell ref="BM3:BM5"/>
    <mergeCell ref="AM2:AM5"/>
    <mergeCell ref="AG3:AG5"/>
    <mergeCell ref="AC2:AH2"/>
    <mergeCell ref="AV3:AW3"/>
    <mergeCell ref="AP2:AP5"/>
    <mergeCell ref="AQ2:AQ5"/>
    <mergeCell ref="AR2:AR5"/>
    <mergeCell ref="AY2:AY5"/>
    <mergeCell ref="BA2:BA5"/>
    <mergeCell ref="BB2:BB5"/>
    <mergeCell ref="BC2:BC5"/>
    <mergeCell ref="AW4:AW5"/>
    <mergeCell ref="AH3:AH5"/>
    <mergeCell ref="AC3:AC5"/>
    <mergeCell ref="AJ2:AJ5"/>
    <mergeCell ref="AK2:AK5"/>
    <mergeCell ref="AL2:AL5"/>
    <mergeCell ref="BO3:BO5"/>
    <mergeCell ref="BW2:BW5"/>
    <mergeCell ref="BP2:BR2"/>
    <mergeCell ref="BP3:BP5"/>
    <mergeCell ref="BQ3:BQ5"/>
    <mergeCell ref="BR3:BR5"/>
    <mergeCell ref="AS2:AS5"/>
    <mergeCell ref="AT2:AT5"/>
    <mergeCell ref="AU2:AW2"/>
    <mergeCell ref="AX2:AX5"/>
    <mergeCell ref="BU2:BU5"/>
    <mergeCell ref="BS4:BS5"/>
    <mergeCell ref="BT4:BT5"/>
    <mergeCell ref="AZ2:AZ5"/>
    <mergeCell ref="BF2:BF5"/>
    <mergeCell ref="BG2:BI4"/>
    <mergeCell ref="BE2:BE5"/>
    <mergeCell ref="BJ2:BL2"/>
    <mergeCell ref="AV4:AV5"/>
    <mergeCell ref="BD2:BD5"/>
    <mergeCell ref="AU3:AU5"/>
    <mergeCell ref="CM3:CO4"/>
    <mergeCell ref="BX2:BX5"/>
    <mergeCell ref="BS2:BT3"/>
    <mergeCell ref="BM2:BO2"/>
    <mergeCell ref="AN2:AN5"/>
    <mergeCell ref="AO2:AO5"/>
    <mergeCell ref="BY2:BZ4"/>
    <mergeCell ref="CE2:CF4"/>
    <mergeCell ref="CG2:CH4"/>
    <mergeCell ref="BK3:BK5"/>
    <mergeCell ref="BL3:BL5"/>
    <mergeCell ref="CC2:CD4"/>
    <mergeCell ref="BJ3:BJ5"/>
    <mergeCell ref="BV2:BV5"/>
    <mergeCell ref="CA2:CA5"/>
    <mergeCell ref="CB2:CB5"/>
  </mergeCells>
  <phoneticPr fontId="0" type="noConversion"/>
  <pageMargins left="0" right="0" top="0" bottom="0.36" header="0.51181102362204722" footer="0.15"/>
  <pageSetup paperSize="9" scale="75" orientation="landscape" horizontalDpi="300" verticalDpi="300" r:id="rId1"/>
  <headerFooter alignWithMargins="0">
    <oddFooter>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H1240"/>
  <sheetViews>
    <sheetView tabSelected="1" zoomScaleNormal="100" zoomScaleSheetLayoutView="75" workbookViewId="0">
      <pane xSplit="3" ySplit="6" topLeftCell="D109" activePane="bottomRight" state="frozen"/>
      <selection activeCell="B1" sqref="B1"/>
      <selection pane="topRight" activeCell="D1" sqref="D1"/>
      <selection pane="bottomLeft" activeCell="B7" sqref="B7"/>
      <selection pane="bottomRight" activeCell="F147" sqref="F147"/>
    </sheetView>
  </sheetViews>
  <sheetFormatPr defaultColWidth="9.140625" defaultRowHeight="12.75" outlineLevelRow="1" outlineLevelCol="1" x14ac:dyDescent="0.2"/>
  <cols>
    <col min="1" max="1" width="7.5703125" style="3" hidden="1" customWidth="1" outlineLevel="1"/>
    <col min="2" max="2" width="4.5703125" style="167" customWidth="1" collapsed="1"/>
    <col min="3" max="3" width="31.28515625" style="3" customWidth="1"/>
    <col min="4" max="4" width="5.5703125" style="3" customWidth="1"/>
    <col min="5" max="5" width="4.85546875" style="4" customWidth="1" outlineLevel="1"/>
    <col min="6" max="6" width="8.42578125" style="167" customWidth="1"/>
    <col min="7" max="7" width="5.5703125" style="3" customWidth="1"/>
    <col min="8" max="8" width="4.7109375" style="4" customWidth="1"/>
    <col min="9" max="9" width="5.140625" style="4" customWidth="1"/>
    <col min="10" max="10" width="9.85546875" style="3" customWidth="1" outlineLevel="1"/>
    <col min="11" max="12" width="8.5703125" style="3" customWidth="1" outlineLevel="1"/>
    <col min="13" max="13" width="9.42578125" style="3" customWidth="1" outlineLevel="1"/>
    <col min="14" max="14" width="9.28515625" style="3" customWidth="1"/>
    <col min="15" max="15" width="9.28515625" style="3" customWidth="1" outlineLevel="1"/>
    <col min="16" max="16" width="8.85546875" style="3" customWidth="1" outlineLevel="1"/>
    <col min="17" max="17" width="8.28515625" style="3" customWidth="1"/>
    <col min="18" max="18" width="12" style="33" customWidth="1"/>
    <col min="19" max="19" width="9.5703125" style="33" customWidth="1"/>
    <col min="20" max="20" width="9.42578125" style="3" customWidth="1" outlineLevel="1"/>
    <col min="21" max="21" width="9.7109375" style="3" customWidth="1" outlineLevel="1"/>
    <col min="22" max="22" width="8.7109375" style="3" customWidth="1" outlineLevel="1"/>
    <col min="23" max="23" width="7.85546875" style="3" customWidth="1" outlineLevel="1"/>
    <col min="24" max="24" width="9.28515625" style="3" customWidth="1" outlineLevel="1"/>
    <col min="25" max="25" width="9.140625" style="3" customWidth="1" outlineLevel="1"/>
    <col min="26" max="26" width="7.28515625" style="3" customWidth="1" outlineLevel="1"/>
    <col min="27" max="28" width="7.7109375" style="3" customWidth="1" outlineLevel="1"/>
    <col min="29" max="29" width="8.7109375" style="3" customWidth="1"/>
    <col min="30" max="30" width="9" style="33" customWidth="1"/>
    <col min="31" max="31" width="8.42578125" style="82" customWidth="1"/>
    <col min="32" max="32" width="9.42578125" style="3" customWidth="1"/>
    <col min="33" max="34" width="9" style="3" customWidth="1"/>
    <col min="35" max="35" width="11.28515625" style="3" customWidth="1"/>
    <col min="36" max="39" width="6" style="3" customWidth="1" outlineLevel="1"/>
    <col min="40" max="40" width="5.5703125" style="3" customWidth="1" outlineLevel="1"/>
    <col min="41" max="41" width="6" style="3" customWidth="1" outlineLevel="1"/>
    <col min="42" max="42" width="9.5703125" style="3" customWidth="1" outlineLevel="1"/>
    <col min="43" max="43" width="8.28515625" style="3" customWidth="1" outlineLevel="1"/>
    <col min="44" max="44" width="8.85546875" style="3" customWidth="1" outlineLevel="1"/>
    <col min="45" max="45" width="9.140625" style="4" customWidth="1" outlineLevel="1"/>
    <col min="46" max="46" width="8.5703125" style="3" customWidth="1" outlineLevel="1"/>
    <col min="47" max="47" width="10.5703125" style="3" customWidth="1" outlineLevel="1"/>
    <col min="48" max="48" width="9.42578125" style="3" customWidth="1" outlineLevel="1"/>
    <col min="49" max="49" width="9.28515625" style="3" customWidth="1" outlineLevel="1"/>
    <col min="50" max="50" width="9.5703125" style="4" customWidth="1" outlineLevel="1"/>
    <col min="51" max="51" width="7.140625" style="3" customWidth="1" outlineLevel="1"/>
    <col min="52" max="53" width="9.140625" style="3" customWidth="1" outlineLevel="1"/>
    <col min="54" max="57" width="8.5703125" style="3" customWidth="1" outlineLevel="1"/>
    <col min="58" max="58" width="7.28515625" style="3" customWidth="1" outlineLevel="1"/>
    <col min="59" max="59" width="9.5703125" style="3" customWidth="1" outlineLevel="1"/>
    <col min="60" max="60" width="9.42578125" style="3" customWidth="1" outlineLevel="1"/>
    <col min="61" max="61" width="7.140625" style="3" customWidth="1" outlineLevel="1"/>
    <col min="62" max="62" width="6" style="3" customWidth="1"/>
    <col min="63" max="64" width="9.28515625" style="3" customWidth="1"/>
    <col min="65" max="65" width="6.5703125" style="3" customWidth="1"/>
    <col min="66" max="67" width="9.28515625" style="3" customWidth="1"/>
    <col min="68" max="68" width="5.5703125" style="3" customWidth="1"/>
    <col min="69" max="70" width="9.28515625" style="3" customWidth="1"/>
    <col min="71" max="72" width="9.28515625" style="3" customWidth="1" outlineLevel="1"/>
    <col min="73" max="73" width="10" style="3" customWidth="1" outlineLevel="1"/>
    <col min="74" max="74" width="12.140625" style="3" customWidth="1" outlineLevel="1"/>
    <col min="75" max="76" width="9.28515625" style="3" customWidth="1" outlineLevel="1"/>
    <col min="77" max="77" width="13" style="84" customWidth="1" outlineLevel="1"/>
    <col min="78" max="78" width="14.5703125" style="84" customWidth="1" outlineLevel="1"/>
    <col min="79" max="90" width="12.5703125" style="84" customWidth="1" outlineLevel="1"/>
    <col min="91" max="92" width="11.28515625" style="3" customWidth="1"/>
    <col min="93" max="100" width="9.140625" style="3" customWidth="1"/>
    <col min="101" max="101" width="10" style="3" customWidth="1"/>
    <col min="102" max="105" width="11.7109375" style="220" customWidth="1"/>
    <col min="106" max="106" width="6.7109375" style="237" customWidth="1"/>
    <col min="107" max="133" width="6.7109375" style="238" customWidth="1"/>
    <col min="134" max="135" width="9.140625" style="3" customWidth="1"/>
    <col min="136" max="16384" width="9.140625" style="3"/>
  </cols>
  <sheetData>
    <row r="1" spans="1:135" ht="18.75" x14ac:dyDescent="0.2">
      <c r="B1" s="176"/>
      <c r="C1" s="178" t="s">
        <v>368</v>
      </c>
      <c r="D1" s="67"/>
      <c r="E1" s="134"/>
      <c r="F1" s="176"/>
      <c r="G1" s="67"/>
      <c r="H1" s="134"/>
      <c r="I1" s="134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D1" s="193"/>
      <c r="AE1" s="117"/>
      <c r="AF1" s="67"/>
      <c r="AG1" s="67"/>
      <c r="AH1" s="67"/>
      <c r="AI1" s="67"/>
      <c r="AJ1" s="67"/>
      <c r="AK1" s="67"/>
      <c r="AL1" s="67"/>
      <c r="AM1" s="5"/>
      <c r="AN1" s="5"/>
      <c r="DB1" s="441" t="s">
        <v>344</v>
      </c>
      <c r="DC1" s="441"/>
      <c r="DD1" s="441"/>
      <c r="DE1" s="441"/>
      <c r="DF1" s="441"/>
      <c r="DG1" s="441"/>
      <c r="DH1" s="441"/>
      <c r="DI1" s="441"/>
      <c r="DJ1" s="441"/>
      <c r="DK1" s="441"/>
      <c r="DL1" s="441"/>
      <c r="DM1" s="441"/>
      <c r="DN1" s="441"/>
      <c r="DO1" s="441"/>
      <c r="DP1" s="441"/>
      <c r="DQ1" s="441"/>
      <c r="DR1" s="441"/>
      <c r="DS1" s="441"/>
      <c r="DT1" s="441"/>
      <c r="DU1" s="441"/>
      <c r="DV1" s="441"/>
      <c r="DW1" s="441"/>
      <c r="DX1" s="441"/>
      <c r="DY1" s="441"/>
      <c r="DZ1" s="441"/>
      <c r="EA1" s="441"/>
      <c r="EB1" s="441"/>
      <c r="EC1" s="441"/>
    </row>
    <row r="2" spans="1:135" ht="31.9" customHeight="1" x14ac:dyDescent="0.2">
      <c r="A2" s="420" t="s">
        <v>141</v>
      </c>
      <c r="B2" s="392" t="s">
        <v>1</v>
      </c>
      <c r="C2" s="395" t="s">
        <v>6</v>
      </c>
      <c r="D2" s="370" t="s">
        <v>38</v>
      </c>
      <c r="E2" s="370"/>
      <c r="F2" s="370" t="s">
        <v>339</v>
      </c>
      <c r="G2" s="370" t="s">
        <v>188</v>
      </c>
      <c r="H2" s="371" t="s">
        <v>39</v>
      </c>
      <c r="I2" s="371" t="s">
        <v>40</v>
      </c>
      <c r="J2" s="370" t="s">
        <v>41</v>
      </c>
      <c r="K2" s="370" t="s">
        <v>42</v>
      </c>
      <c r="L2" s="395" t="s">
        <v>3</v>
      </c>
      <c r="M2" s="395"/>
      <c r="N2" s="395" t="s">
        <v>4</v>
      </c>
      <c r="O2" s="395"/>
      <c r="P2" s="395"/>
      <c r="Q2" s="395"/>
      <c r="R2" s="388" t="s">
        <v>144</v>
      </c>
      <c r="S2" s="389"/>
      <c r="T2" s="389"/>
      <c r="U2" s="389"/>
      <c r="V2" s="389"/>
      <c r="W2" s="389"/>
      <c r="X2" s="389"/>
      <c r="Y2" s="389"/>
      <c r="Z2" s="389"/>
      <c r="AA2" s="389"/>
      <c r="AB2" s="390"/>
      <c r="AC2" s="400" t="s">
        <v>147</v>
      </c>
      <c r="AD2" s="401"/>
      <c r="AE2" s="401"/>
      <c r="AF2" s="401"/>
      <c r="AG2" s="401"/>
      <c r="AH2" s="402"/>
      <c r="AI2" s="398" t="s">
        <v>75</v>
      </c>
      <c r="AJ2" s="378" t="s">
        <v>52</v>
      </c>
      <c r="AK2" s="378" t="s">
        <v>53</v>
      </c>
      <c r="AL2" s="378" t="s">
        <v>54</v>
      </c>
      <c r="AM2" s="378" t="s">
        <v>55</v>
      </c>
      <c r="AN2" s="378" t="s">
        <v>56</v>
      </c>
      <c r="AO2" s="378" t="s">
        <v>57</v>
      </c>
      <c r="AP2" s="381" t="s">
        <v>58</v>
      </c>
      <c r="AQ2" s="381" t="s">
        <v>59</v>
      </c>
      <c r="AR2" s="381" t="s">
        <v>60</v>
      </c>
      <c r="AS2" s="381" t="s">
        <v>61</v>
      </c>
      <c r="AT2" s="381" t="s">
        <v>62</v>
      </c>
      <c r="AU2" s="374" t="s">
        <v>148</v>
      </c>
      <c r="AV2" s="374"/>
      <c r="AW2" s="374"/>
      <c r="AX2" s="381" t="s">
        <v>63</v>
      </c>
      <c r="AY2" s="381" t="s">
        <v>64</v>
      </c>
      <c r="AZ2" s="381" t="s">
        <v>65</v>
      </c>
      <c r="BA2" s="381" t="s">
        <v>66</v>
      </c>
      <c r="BB2" s="381" t="s">
        <v>67</v>
      </c>
      <c r="BC2" s="381" t="s">
        <v>68</v>
      </c>
      <c r="BD2" s="381" t="s">
        <v>69</v>
      </c>
      <c r="BE2" s="381" t="s">
        <v>70</v>
      </c>
      <c r="BF2" s="381" t="s">
        <v>71</v>
      </c>
      <c r="BG2" s="423" t="s">
        <v>72</v>
      </c>
      <c r="BH2" s="424"/>
      <c r="BI2" s="425"/>
      <c r="BJ2" s="407" t="s">
        <v>28</v>
      </c>
      <c r="BK2" s="407"/>
      <c r="BL2" s="407"/>
      <c r="BM2" s="407" t="s">
        <v>29</v>
      </c>
      <c r="BN2" s="407"/>
      <c r="BO2" s="407"/>
      <c r="BP2" s="407" t="s">
        <v>152</v>
      </c>
      <c r="BQ2" s="407"/>
      <c r="BR2" s="407"/>
      <c r="BS2" s="406" t="s">
        <v>31</v>
      </c>
      <c r="BT2" s="406"/>
      <c r="BU2" s="385" t="s">
        <v>32</v>
      </c>
      <c r="BV2" s="385" t="s">
        <v>33</v>
      </c>
      <c r="BW2" s="385" t="s">
        <v>34</v>
      </c>
      <c r="BX2" s="416" t="s">
        <v>37</v>
      </c>
      <c r="BY2" s="410" t="s">
        <v>340</v>
      </c>
      <c r="BZ2" s="411"/>
      <c r="CA2" s="464" t="s">
        <v>355</v>
      </c>
      <c r="CB2" s="464" t="s">
        <v>356</v>
      </c>
      <c r="CC2" s="464" t="s">
        <v>357</v>
      </c>
      <c r="CD2" s="464" t="s">
        <v>358</v>
      </c>
      <c r="CE2" s="464" t="s">
        <v>359</v>
      </c>
      <c r="CF2" s="464" t="s">
        <v>360</v>
      </c>
      <c r="CG2" s="464" t="s">
        <v>361</v>
      </c>
      <c r="CH2" s="464" t="s">
        <v>362</v>
      </c>
      <c r="CI2" s="461" t="s">
        <v>363</v>
      </c>
      <c r="CJ2" s="461"/>
      <c r="CK2" s="460" t="s">
        <v>364</v>
      </c>
      <c r="CL2" s="460" t="s">
        <v>365</v>
      </c>
      <c r="CM2" s="408" t="s">
        <v>190</v>
      </c>
      <c r="CN2" s="409" t="s">
        <v>51</v>
      </c>
      <c r="CO2" s="374" t="s">
        <v>186</v>
      </c>
      <c r="CP2" s="374"/>
      <c r="CQ2" s="374" t="s">
        <v>187</v>
      </c>
      <c r="CR2" s="374"/>
      <c r="CS2" s="374" t="s">
        <v>49</v>
      </c>
      <c r="CT2" s="374"/>
      <c r="CU2" s="367" t="s">
        <v>354</v>
      </c>
      <c r="CV2" s="437" t="s">
        <v>347</v>
      </c>
      <c r="CW2" s="438"/>
      <c r="CX2" s="438"/>
      <c r="CY2" s="438"/>
      <c r="CZ2" s="438"/>
      <c r="DA2" s="439"/>
      <c r="DB2" s="442" t="s">
        <v>317</v>
      </c>
      <c r="DC2" s="442"/>
      <c r="DD2" s="442"/>
      <c r="DE2" s="442"/>
      <c r="DF2" s="442" t="s">
        <v>318</v>
      </c>
      <c r="DG2" s="442"/>
      <c r="DH2" s="442"/>
      <c r="DI2" s="442"/>
      <c r="DJ2" s="443" t="s">
        <v>319</v>
      </c>
      <c r="DK2" s="444" t="s">
        <v>320</v>
      </c>
      <c r="DL2" s="444"/>
      <c r="DM2" s="444"/>
      <c r="DN2" s="444"/>
      <c r="DO2" s="444"/>
      <c r="DP2" s="444"/>
      <c r="DQ2" s="444"/>
      <c r="DR2" s="444"/>
      <c r="DS2" s="444"/>
      <c r="DT2" s="444"/>
      <c r="DU2" s="444"/>
      <c r="DV2" s="444"/>
      <c r="DW2" s="444"/>
      <c r="DX2" s="444"/>
      <c r="DY2" s="444"/>
      <c r="DZ2" s="444"/>
      <c r="EA2" s="444"/>
      <c r="EB2" s="444"/>
      <c r="EC2" s="444"/>
    </row>
    <row r="3" spans="1:135" ht="13.15" customHeight="1" x14ac:dyDescent="0.2">
      <c r="A3" s="421"/>
      <c r="B3" s="393"/>
      <c r="C3" s="395"/>
      <c r="D3" s="370"/>
      <c r="E3" s="370"/>
      <c r="F3" s="370"/>
      <c r="G3" s="370"/>
      <c r="H3" s="371"/>
      <c r="I3" s="371"/>
      <c r="J3" s="370"/>
      <c r="K3" s="370"/>
      <c r="L3" s="370" t="s">
        <v>43</v>
      </c>
      <c r="M3" s="370" t="s">
        <v>44</v>
      </c>
      <c r="N3" s="370" t="s">
        <v>45</v>
      </c>
      <c r="O3" s="370" t="s">
        <v>46</v>
      </c>
      <c r="P3" s="370" t="s">
        <v>316</v>
      </c>
      <c r="Q3" s="416" t="s">
        <v>47</v>
      </c>
      <c r="R3" s="372" t="s">
        <v>49</v>
      </c>
      <c r="S3" s="373"/>
      <c r="T3" s="374" t="s">
        <v>145</v>
      </c>
      <c r="U3" s="374"/>
      <c r="V3" s="374"/>
      <c r="W3" s="374" t="s">
        <v>146</v>
      </c>
      <c r="X3" s="374"/>
      <c r="Y3" s="374"/>
      <c r="Z3" s="374" t="s">
        <v>194</v>
      </c>
      <c r="AA3" s="374"/>
      <c r="AB3" s="374"/>
      <c r="AC3" s="391" t="s">
        <v>195</v>
      </c>
      <c r="AD3" s="396" t="s">
        <v>146</v>
      </c>
      <c r="AE3" s="396"/>
      <c r="AF3" s="396"/>
      <c r="AG3" s="397" t="s">
        <v>145</v>
      </c>
      <c r="AH3" s="397" t="s">
        <v>194</v>
      </c>
      <c r="AI3" s="398"/>
      <c r="AJ3" s="379"/>
      <c r="AK3" s="379"/>
      <c r="AL3" s="379"/>
      <c r="AM3" s="379"/>
      <c r="AN3" s="379"/>
      <c r="AO3" s="379"/>
      <c r="AP3" s="382"/>
      <c r="AQ3" s="382"/>
      <c r="AR3" s="382"/>
      <c r="AS3" s="382"/>
      <c r="AT3" s="382"/>
      <c r="AU3" s="432" t="s">
        <v>2</v>
      </c>
      <c r="AV3" s="435" t="s">
        <v>73</v>
      </c>
      <c r="AW3" s="436"/>
      <c r="AX3" s="382"/>
      <c r="AY3" s="382"/>
      <c r="AZ3" s="382"/>
      <c r="BA3" s="382"/>
      <c r="BB3" s="382"/>
      <c r="BC3" s="382"/>
      <c r="BD3" s="382"/>
      <c r="BE3" s="382"/>
      <c r="BF3" s="382"/>
      <c r="BG3" s="426"/>
      <c r="BH3" s="427"/>
      <c r="BI3" s="428"/>
      <c r="BJ3" s="403" t="s">
        <v>30</v>
      </c>
      <c r="BK3" s="406" t="s">
        <v>76</v>
      </c>
      <c r="BL3" s="406" t="s">
        <v>77</v>
      </c>
      <c r="BM3" s="403" t="s">
        <v>30</v>
      </c>
      <c r="BN3" s="406" t="s">
        <v>76</v>
      </c>
      <c r="BO3" s="406" t="s">
        <v>77</v>
      </c>
      <c r="BP3" s="419" t="s">
        <v>30</v>
      </c>
      <c r="BQ3" s="397" t="s">
        <v>76</v>
      </c>
      <c r="BR3" s="397" t="s">
        <v>77</v>
      </c>
      <c r="BS3" s="406"/>
      <c r="BT3" s="406"/>
      <c r="BU3" s="386"/>
      <c r="BV3" s="386"/>
      <c r="BW3" s="386"/>
      <c r="BX3" s="416"/>
      <c r="BY3" s="412"/>
      <c r="BZ3" s="413"/>
      <c r="CA3" s="465"/>
      <c r="CB3" s="465"/>
      <c r="CC3" s="465"/>
      <c r="CD3" s="465"/>
      <c r="CE3" s="465"/>
      <c r="CF3" s="465"/>
      <c r="CG3" s="465"/>
      <c r="CH3" s="465"/>
      <c r="CI3" s="461"/>
      <c r="CJ3" s="461"/>
      <c r="CK3" s="460"/>
      <c r="CL3" s="460"/>
      <c r="CM3" s="408"/>
      <c r="CN3" s="409"/>
      <c r="CO3" s="374"/>
      <c r="CP3" s="374"/>
      <c r="CQ3" s="374"/>
      <c r="CR3" s="374"/>
      <c r="CS3" s="374"/>
      <c r="CT3" s="374"/>
      <c r="CU3" s="368"/>
      <c r="CV3" s="440" t="s">
        <v>345</v>
      </c>
      <c r="CW3" s="440"/>
      <c r="CX3" s="440"/>
      <c r="CY3" s="440" t="s">
        <v>346</v>
      </c>
      <c r="CZ3" s="440"/>
      <c r="DA3" s="440"/>
      <c r="DB3" s="442"/>
      <c r="DC3" s="442"/>
      <c r="DD3" s="442"/>
      <c r="DE3" s="442"/>
      <c r="DF3" s="442"/>
      <c r="DG3" s="442"/>
      <c r="DH3" s="442"/>
      <c r="DI3" s="442"/>
      <c r="DJ3" s="443"/>
      <c r="DK3" s="445" t="s">
        <v>321</v>
      </c>
      <c r="DL3" s="442" t="s">
        <v>322</v>
      </c>
      <c r="DM3" s="442"/>
      <c r="DN3" s="446" t="s">
        <v>323</v>
      </c>
      <c r="DO3" s="446"/>
      <c r="DP3" s="446"/>
      <c r="DQ3" s="446"/>
      <c r="DR3" s="446"/>
      <c r="DS3" s="446"/>
      <c r="DT3" s="446"/>
      <c r="DU3" s="446"/>
      <c r="DV3" s="446"/>
      <c r="DW3" s="446"/>
      <c r="DX3" s="446"/>
      <c r="DY3" s="446"/>
      <c r="DZ3" s="446"/>
      <c r="EA3" s="446"/>
      <c r="EB3" s="442" t="s">
        <v>324</v>
      </c>
      <c r="EC3" s="442"/>
    </row>
    <row r="4" spans="1:135" x14ac:dyDescent="0.2">
      <c r="A4" s="421"/>
      <c r="B4" s="393"/>
      <c r="C4" s="395"/>
      <c r="D4" s="370"/>
      <c r="E4" s="370"/>
      <c r="F4" s="370"/>
      <c r="G4" s="370"/>
      <c r="H4" s="371"/>
      <c r="I4" s="371"/>
      <c r="J4" s="370"/>
      <c r="K4" s="370"/>
      <c r="L4" s="370"/>
      <c r="M4" s="370"/>
      <c r="N4" s="370"/>
      <c r="O4" s="370"/>
      <c r="P4" s="370"/>
      <c r="Q4" s="416"/>
      <c r="R4" s="375" t="s">
        <v>50</v>
      </c>
      <c r="S4" s="375"/>
      <c r="T4" s="376" t="s">
        <v>45</v>
      </c>
      <c r="U4" s="384" t="s">
        <v>50</v>
      </c>
      <c r="V4" s="384"/>
      <c r="W4" s="376" t="s">
        <v>45</v>
      </c>
      <c r="X4" s="384" t="s">
        <v>50</v>
      </c>
      <c r="Y4" s="384"/>
      <c r="Z4" s="376" t="s">
        <v>45</v>
      </c>
      <c r="AA4" s="384" t="s">
        <v>50</v>
      </c>
      <c r="AB4" s="384"/>
      <c r="AC4" s="391"/>
      <c r="AD4" s="399" t="s">
        <v>49</v>
      </c>
      <c r="AE4" s="399" t="s">
        <v>191</v>
      </c>
      <c r="AF4" s="399"/>
      <c r="AG4" s="397"/>
      <c r="AH4" s="397"/>
      <c r="AI4" s="398"/>
      <c r="AJ4" s="379"/>
      <c r="AK4" s="379"/>
      <c r="AL4" s="379"/>
      <c r="AM4" s="379"/>
      <c r="AN4" s="379"/>
      <c r="AO4" s="379"/>
      <c r="AP4" s="382"/>
      <c r="AQ4" s="382"/>
      <c r="AR4" s="382"/>
      <c r="AS4" s="382"/>
      <c r="AT4" s="382"/>
      <c r="AU4" s="433"/>
      <c r="AV4" s="432" t="s">
        <v>11</v>
      </c>
      <c r="AW4" s="432" t="s">
        <v>12</v>
      </c>
      <c r="AX4" s="382"/>
      <c r="AY4" s="382"/>
      <c r="AZ4" s="382"/>
      <c r="BA4" s="382"/>
      <c r="BB4" s="382"/>
      <c r="BC4" s="382"/>
      <c r="BD4" s="382"/>
      <c r="BE4" s="382"/>
      <c r="BF4" s="382"/>
      <c r="BG4" s="429"/>
      <c r="BH4" s="430"/>
      <c r="BI4" s="431"/>
      <c r="BJ4" s="404"/>
      <c r="BK4" s="406"/>
      <c r="BL4" s="406"/>
      <c r="BM4" s="404"/>
      <c r="BN4" s="406"/>
      <c r="BO4" s="406"/>
      <c r="BP4" s="419"/>
      <c r="BQ4" s="397"/>
      <c r="BR4" s="397"/>
      <c r="BS4" s="417" t="s">
        <v>35</v>
      </c>
      <c r="BT4" s="417" t="s">
        <v>36</v>
      </c>
      <c r="BU4" s="386"/>
      <c r="BV4" s="386"/>
      <c r="BW4" s="386"/>
      <c r="BX4" s="416"/>
      <c r="BY4" s="414"/>
      <c r="BZ4" s="415"/>
      <c r="CA4" s="465"/>
      <c r="CB4" s="465"/>
      <c r="CC4" s="465"/>
      <c r="CD4" s="465"/>
      <c r="CE4" s="465"/>
      <c r="CF4" s="465"/>
      <c r="CG4" s="465"/>
      <c r="CH4" s="465"/>
      <c r="CI4" s="462" t="s">
        <v>366</v>
      </c>
      <c r="CJ4" s="462" t="s">
        <v>367</v>
      </c>
      <c r="CK4" s="460"/>
      <c r="CL4" s="460"/>
      <c r="CM4" s="408"/>
      <c r="CN4" s="409"/>
      <c r="CO4" s="374"/>
      <c r="CP4" s="374"/>
      <c r="CQ4" s="374"/>
      <c r="CR4" s="374"/>
      <c r="CS4" s="374"/>
      <c r="CT4" s="374"/>
      <c r="CU4" s="368"/>
      <c r="CV4" s="440"/>
      <c r="CW4" s="440"/>
      <c r="CX4" s="440"/>
      <c r="CY4" s="440"/>
      <c r="CZ4" s="440"/>
      <c r="DA4" s="440"/>
      <c r="DB4" s="443" t="s">
        <v>325</v>
      </c>
      <c r="DC4" s="443" t="s">
        <v>326</v>
      </c>
      <c r="DD4" s="443" t="s">
        <v>327</v>
      </c>
      <c r="DE4" s="443" t="s">
        <v>328</v>
      </c>
      <c r="DF4" s="443" t="s">
        <v>325</v>
      </c>
      <c r="DG4" s="443" t="s">
        <v>326</v>
      </c>
      <c r="DH4" s="443" t="s">
        <v>327</v>
      </c>
      <c r="DI4" s="443" t="s">
        <v>328</v>
      </c>
      <c r="DJ4" s="443"/>
      <c r="DK4" s="445"/>
      <c r="DL4" s="443" t="s">
        <v>329</v>
      </c>
      <c r="DM4" s="443" t="s">
        <v>330</v>
      </c>
      <c r="DN4" s="446" t="s">
        <v>329</v>
      </c>
      <c r="DO4" s="446"/>
      <c r="DP4" s="446"/>
      <c r="DQ4" s="446"/>
      <c r="DR4" s="446"/>
      <c r="DS4" s="446"/>
      <c r="DT4" s="446"/>
      <c r="DU4" s="446" t="s">
        <v>330</v>
      </c>
      <c r="DV4" s="446"/>
      <c r="DW4" s="446"/>
      <c r="DX4" s="446"/>
      <c r="DY4" s="446"/>
      <c r="DZ4" s="446"/>
      <c r="EA4" s="446"/>
      <c r="EB4" s="442"/>
      <c r="EC4" s="442"/>
    </row>
    <row r="5" spans="1:135" ht="179.25" x14ac:dyDescent="0.2">
      <c r="A5" s="422"/>
      <c r="B5" s="394"/>
      <c r="C5" s="395"/>
      <c r="D5" s="370"/>
      <c r="E5" s="370"/>
      <c r="F5" s="370"/>
      <c r="G5" s="370"/>
      <c r="H5" s="371"/>
      <c r="I5" s="371"/>
      <c r="J5" s="370"/>
      <c r="K5" s="370"/>
      <c r="L5" s="370"/>
      <c r="M5" s="370"/>
      <c r="N5" s="370"/>
      <c r="O5" s="370"/>
      <c r="P5" s="370"/>
      <c r="Q5" s="416"/>
      <c r="R5" s="281" t="s">
        <v>48</v>
      </c>
      <c r="S5" s="281" t="s">
        <v>7</v>
      </c>
      <c r="T5" s="377"/>
      <c r="U5" s="333" t="s">
        <v>48</v>
      </c>
      <c r="V5" s="333" t="s">
        <v>7</v>
      </c>
      <c r="W5" s="377"/>
      <c r="X5" s="333" t="s">
        <v>48</v>
      </c>
      <c r="Y5" s="333" t="s">
        <v>7</v>
      </c>
      <c r="Z5" s="377"/>
      <c r="AA5" s="333" t="s">
        <v>48</v>
      </c>
      <c r="AB5" s="333" t="s">
        <v>7</v>
      </c>
      <c r="AC5" s="391"/>
      <c r="AD5" s="399"/>
      <c r="AE5" s="335" t="s">
        <v>192</v>
      </c>
      <c r="AF5" s="334" t="s">
        <v>193</v>
      </c>
      <c r="AG5" s="397"/>
      <c r="AH5" s="397"/>
      <c r="AI5" s="398"/>
      <c r="AJ5" s="380"/>
      <c r="AK5" s="380"/>
      <c r="AL5" s="380"/>
      <c r="AM5" s="380"/>
      <c r="AN5" s="380"/>
      <c r="AO5" s="380"/>
      <c r="AP5" s="383"/>
      <c r="AQ5" s="383"/>
      <c r="AR5" s="383"/>
      <c r="AS5" s="383"/>
      <c r="AT5" s="383"/>
      <c r="AU5" s="434"/>
      <c r="AV5" s="434"/>
      <c r="AW5" s="434"/>
      <c r="AX5" s="383"/>
      <c r="AY5" s="383"/>
      <c r="AZ5" s="383"/>
      <c r="BA5" s="383"/>
      <c r="BB5" s="383"/>
      <c r="BC5" s="383"/>
      <c r="BD5" s="383"/>
      <c r="BE5" s="383"/>
      <c r="BF5" s="383"/>
      <c r="BG5" s="113" t="s">
        <v>74</v>
      </c>
      <c r="BH5" s="113" t="s">
        <v>8</v>
      </c>
      <c r="BI5" s="114" t="s">
        <v>9</v>
      </c>
      <c r="BJ5" s="405"/>
      <c r="BK5" s="406"/>
      <c r="BL5" s="406"/>
      <c r="BM5" s="405"/>
      <c r="BN5" s="406"/>
      <c r="BO5" s="406"/>
      <c r="BP5" s="419"/>
      <c r="BQ5" s="397"/>
      <c r="BR5" s="397"/>
      <c r="BS5" s="418"/>
      <c r="BT5" s="418"/>
      <c r="BU5" s="387"/>
      <c r="BV5" s="387"/>
      <c r="BW5" s="387"/>
      <c r="BX5" s="416"/>
      <c r="BY5" s="252" t="s">
        <v>341</v>
      </c>
      <c r="BZ5" s="252" t="s">
        <v>342</v>
      </c>
      <c r="CA5" s="466"/>
      <c r="CB5" s="466"/>
      <c r="CC5" s="466"/>
      <c r="CD5" s="466"/>
      <c r="CE5" s="466"/>
      <c r="CF5" s="466"/>
      <c r="CG5" s="466"/>
      <c r="CH5" s="466"/>
      <c r="CI5" s="463"/>
      <c r="CJ5" s="463"/>
      <c r="CK5" s="460"/>
      <c r="CL5" s="460"/>
      <c r="CM5" s="408"/>
      <c r="CN5" s="409"/>
      <c r="CO5" s="332" t="s">
        <v>188</v>
      </c>
      <c r="CP5" s="332" t="s">
        <v>189</v>
      </c>
      <c r="CQ5" s="332" t="s">
        <v>188</v>
      </c>
      <c r="CR5" s="332" t="s">
        <v>189</v>
      </c>
      <c r="CS5" s="332" t="s">
        <v>188</v>
      </c>
      <c r="CT5" s="332" t="s">
        <v>189</v>
      </c>
      <c r="CU5" s="369"/>
      <c r="CV5" s="309" t="s">
        <v>188</v>
      </c>
      <c r="CW5" s="309" t="s">
        <v>348</v>
      </c>
      <c r="CX5" s="242" t="s">
        <v>349</v>
      </c>
      <c r="CY5" s="336" t="s">
        <v>188</v>
      </c>
      <c r="CZ5" s="336" t="s">
        <v>350</v>
      </c>
      <c r="DA5" s="242" t="s">
        <v>351</v>
      </c>
      <c r="DB5" s="443"/>
      <c r="DC5" s="443"/>
      <c r="DD5" s="443"/>
      <c r="DE5" s="443"/>
      <c r="DF5" s="443"/>
      <c r="DG5" s="443"/>
      <c r="DH5" s="443"/>
      <c r="DI5" s="443"/>
      <c r="DJ5" s="443"/>
      <c r="DK5" s="445"/>
      <c r="DL5" s="443"/>
      <c r="DM5" s="443"/>
      <c r="DN5" s="338" t="s">
        <v>331</v>
      </c>
      <c r="DO5" s="338" t="s">
        <v>332</v>
      </c>
      <c r="DP5" s="337" t="s">
        <v>333</v>
      </c>
      <c r="DQ5" s="337" t="s">
        <v>334</v>
      </c>
      <c r="DR5" s="338" t="s">
        <v>335</v>
      </c>
      <c r="DS5" s="337" t="s">
        <v>333</v>
      </c>
      <c r="DT5" s="337" t="s">
        <v>334</v>
      </c>
      <c r="DU5" s="338" t="s">
        <v>331</v>
      </c>
      <c r="DV5" s="338" t="s">
        <v>332</v>
      </c>
      <c r="DW5" s="337" t="s">
        <v>333</v>
      </c>
      <c r="DX5" s="337" t="s">
        <v>334</v>
      </c>
      <c r="DY5" s="338" t="s">
        <v>335</v>
      </c>
      <c r="DZ5" s="337" t="s">
        <v>333</v>
      </c>
      <c r="EA5" s="337" t="s">
        <v>334</v>
      </c>
      <c r="EB5" s="337" t="s">
        <v>325</v>
      </c>
      <c r="EC5" s="337" t="s">
        <v>336</v>
      </c>
    </row>
    <row r="6" spans="1:135" s="148" customFormat="1" x14ac:dyDescent="0.2">
      <c r="A6" s="147"/>
      <c r="B6" s="168"/>
      <c r="C6" s="147">
        <v>1</v>
      </c>
      <c r="D6" s="147">
        <v>2</v>
      </c>
      <c r="E6" s="147"/>
      <c r="F6" s="168">
        <v>4</v>
      </c>
      <c r="G6" s="147">
        <v>5</v>
      </c>
      <c r="H6" s="147">
        <v>6</v>
      </c>
      <c r="I6" s="147">
        <v>7</v>
      </c>
      <c r="J6" s="147">
        <v>8</v>
      </c>
      <c r="K6" s="147">
        <v>9</v>
      </c>
      <c r="L6" s="147">
        <v>10</v>
      </c>
      <c r="M6" s="147">
        <v>11</v>
      </c>
      <c r="N6" s="147">
        <v>12</v>
      </c>
      <c r="O6" s="147">
        <v>13</v>
      </c>
      <c r="P6" s="147">
        <v>14</v>
      </c>
      <c r="Q6" s="320">
        <v>15</v>
      </c>
      <c r="R6" s="147">
        <v>16</v>
      </c>
      <c r="S6" s="147">
        <v>17</v>
      </c>
      <c r="T6" s="147">
        <v>18</v>
      </c>
      <c r="U6" s="147">
        <v>19</v>
      </c>
      <c r="V6" s="147">
        <v>20</v>
      </c>
      <c r="W6" s="147">
        <v>21</v>
      </c>
      <c r="X6" s="147">
        <v>22</v>
      </c>
      <c r="Y6" s="147">
        <v>23</v>
      </c>
      <c r="Z6" s="147">
        <v>24</v>
      </c>
      <c r="AA6" s="147">
        <v>25</v>
      </c>
      <c r="AB6" s="147">
        <v>26</v>
      </c>
      <c r="AC6" s="147">
        <v>27</v>
      </c>
      <c r="AD6" s="147">
        <v>28</v>
      </c>
      <c r="AE6" s="147">
        <v>29</v>
      </c>
      <c r="AF6" s="147">
        <v>30</v>
      </c>
      <c r="AG6" s="147">
        <v>31</v>
      </c>
      <c r="AH6" s="147">
        <v>32</v>
      </c>
      <c r="AI6" s="147">
        <v>33</v>
      </c>
      <c r="AJ6" s="147">
        <v>34</v>
      </c>
      <c r="AK6" s="147">
        <v>35</v>
      </c>
      <c r="AL6" s="147">
        <v>36</v>
      </c>
      <c r="AM6" s="147">
        <v>37</v>
      </c>
      <c r="AN6" s="147">
        <v>38</v>
      </c>
      <c r="AO6" s="147">
        <v>39</v>
      </c>
      <c r="AP6" s="147">
        <v>40</v>
      </c>
      <c r="AQ6" s="147">
        <v>41</v>
      </c>
      <c r="AR6" s="147">
        <v>42</v>
      </c>
      <c r="AS6" s="147">
        <v>43</v>
      </c>
      <c r="AT6" s="147">
        <v>44</v>
      </c>
      <c r="AU6" s="147">
        <v>45</v>
      </c>
      <c r="AV6" s="147">
        <v>46</v>
      </c>
      <c r="AW6" s="147">
        <v>47</v>
      </c>
      <c r="AX6" s="147">
        <v>48</v>
      </c>
      <c r="AY6" s="147">
        <v>49</v>
      </c>
      <c r="AZ6" s="147">
        <v>50</v>
      </c>
      <c r="BA6" s="147">
        <v>51</v>
      </c>
      <c r="BB6" s="147">
        <v>52</v>
      </c>
      <c r="BC6" s="147">
        <v>53</v>
      </c>
      <c r="BD6" s="147">
        <v>54</v>
      </c>
      <c r="BE6" s="147">
        <v>55</v>
      </c>
      <c r="BF6" s="147">
        <v>56</v>
      </c>
      <c r="BG6" s="147">
        <v>57</v>
      </c>
      <c r="BH6" s="147">
        <v>58</v>
      </c>
      <c r="BI6" s="147">
        <v>59</v>
      </c>
      <c r="BJ6" s="147">
        <v>60</v>
      </c>
      <c r="BK6" s="147">
        <v>61</v>
      </c>
      <c r="BL6" s="147">
        <v>62</v>
      </c>
      <c r="BM6" s="147">
        <v>63</v>
      </c>
      <c r="BN6" s="147">
        <v>64</v>
      </c>
      <c r="BO6" s="147">
        <v>65</v>
      </c>
      <c r="BP6" s="147">
        <v>66</v>
      </c>
      <c r="BQ6" s="147">
        <v>67</v>
      </c>
      <c r="BR6" s="147">
        <v>68</v>
      </c>
      <c r="BS6" s="147">
        <v>69</v>
      </c>
      <c r="BT6" s="147">
        <v>70</v>
      </c>
      <c r="BU6" s="147">
        <v>71</v>
      </c>
      <c r="BV6" s="147">
        <v>72</v>
      </c>
      <c r="BW6" s="147">
        <v>73</v>
      </c>
      <c r="BX6" s="147">
        <v>74</v>
      </c>
      <c r="BY6" s="147">
        <v>75</v>
      </c>
      <c r="BZ6" s="147">
        <v>76</v>
      </c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>
        <v>77</v>
      </c>
      <c r="CN6" s="147">
        <v>78</v>
      </c>
      <c r="CO6" s="147">
        <v>79</v>
      </c>
      <c r="CP6" s="147">
        <v>80</v>
      </c>
      <c r="CQ6" s="147">
        <v>81</v>
      </c>
      <c r="CR6" s="147">
        <v>82</v>
      </c>
      <c r="CS6" s="147">
        <v>83</v>
      </c>
      <c r="CT6" s="147">
        <v>84</v>
      </c>
      <c r="CU6" s="147">
        <v>85</v>
      </c>
      <c r="CV6" s="147">
        <v>86</v>
      </c>
      <c r="CW6" s="147">
        <v>87</v>
      </c>
      <c r="CX6" s="147">
        <v>88</v>
      </c>
      <c r="CY6" s="147">
        <v>89</v>
      </c>
      <c r="CZ6" s="147">
        <v>90</v>
      </c>
      <c r="DA6" s="147">
        <v>91</v>
      </c>
      <c r="DB6" s="147">
        <v>92</v>
      </c>
      <c r="DC6" s="147">
        <v>93</v>
      </c>
      <c r="DD6" s="147">
        <v>94</v>
      </c>
      <c r="DE6" s="147">
        <v>95</v>
      </c>
      <c r="DF6" s="147">
        <v>96</v>
      </c>
      <c r="DG6" s="147">
        <v>97</v>
      </c>
      <c r="DH6" s="147">
        <v>98</v>
      </c>
      <c r="DI6" s="147">
        <v>99</v>
      </c>
      <c r="DJ6" s="147">
        <v>100</v>
      </c>
      <c r="DK6" s="147">
        <v>101</v>
      </c>
      <c r="DL6" s="147">
        <v>102</v>
      </c>
      <c r="DM6" s="147">
        <v>103</v>
      </c>
      <c r="DN6" s="147">
        <v>104</v>
      </c>
      <c r="DO6" s="147">
        <v>105</v>
      </c>
      <c r="DP6" s="147">
        <v>106</v>
      </c>
      <c r="DQ6" s="147">
        <v>107</v>
      </c>
      <c r="DR6" s="147">
        <v>108</v>
      </c>
      <c r="DS6" s="147">
        <v>109</v>
      </c>
      <c r="DT6" s="147">
        <v>110</v>
      </c>
      <c r="DU6" s="147">
        <v>111</v>
      </c>
      <c r="DV6" s="147">
        <v>112</v>
      </c>
      <c r="DW6" s="147">
        <v>113</v>
      </c>
      <c r="DX6" s="147">
        <v>114</v>
      </c>
      <c r="DY6" s="147">
        <v>115</v>
      </c>
      <c r="DZ6" s="147">
        <v>116</v>
      </c>
      <c r="EA6" s="147">
        <v>117</v>
      </c>
      <c r="EB6" s="147">
        <v>118</v>
      </c>
      <c r="EC6" s="147">
        <v>119</v>
      </c>
    </row>
    <row r="7" spans="1:135" x14ac:dyDescent="0.2">
      <c r="A7" s="149" t="s">
        <v>197</v>
      </c>
      <c r="B7" s="169">
        <v>2</v>
      </c>
      <c r="C7" s="12" t="s">
        <v>199</v>
      </c>
      <c r="D7" s="200">
        <v>1992</v>
      </c>
      <c r="E7" s="11"/>
      <c r="F7" s="206" t="s">
        <v>24</v>
      </c>
      <c r="G7" s="35">
        <v>1</v>
      </c>
      <c r="H7" s="201">
        <v>9</v>
      </c>
      <c r="I7" s="201" t="s">
        <v>22</v>
      </c>
      <c r="J7" s="115">
        <v>19713</v>
      </c>
      <c r="K7" s="115">
        <v>763</v>
      </c>
      <c r="L7" s="157"/>
      <c r="M7" s="115">
        <v>720</v>
      </c>
      <c r="N7" s="115">
        <v>69</v>
      </c>
      <c r="O7" s="115">
        <v>191</v>
      </c>
      <c r="P7" s="115">
        <v>70</v>
      </c>
      <c r="Q7" s="115">
        <v>175</v>
      </c>
      <c r="R7" s="228">
        <f>4512.4+3.5+1.8</f>
        <v>4517.7</v>
      </c>
      <c r="S7" s="230">
        <v>2771</v>
      </c>
      <c r="T7" s="115">
        <f>N7-W7-Z7</f>
        <v>61</v>
      </c>
      <c r="U7" s="194">
        <f>R7-X7-AA7</f>
        <v>3995.7999999999997</v>
      </c>
      <c r="V7" s="180">
        <f>S7-Y7-AB7</f>
        <v>2447.42</v>
      </c>
      <c r="W7" s="115">
        <v>8</v>
      </c>
      <c r="X7" s="207">
        <v>521.9</v>
      </c>
      <c r="Y7" s="207">
        <v>323.58</v>
      </c>
      <c r="Z7" s="204"/>
      <c r="AA7" s="207"/>
      <c r="AB7" s="207"/>
      <c r="AC7" s="207">
        <f>AD7+AG7+AH7</f>
        <v>100.7</v>
      </c>
      <c r="AD7" s="248">
        <f>AE7+AF7</f>
        <v>0</v>
      </c>
      <c r="AE7" s="275"/>
      <c r="AF7" s="275"/>
      <c r="AG7" s="207"/>
      <c r="AH7" s="207">
        <v>100.7</v>
      </c>
      <c r="AI7" s="207">
        <f>R7+AC7</f>
        <v>4618.3999999999996</v>
      </c>
      <c r="AJ7" s="170"/>
      <c r="AK7" s="170">
        <v>2</v>
      </c>
      <c r="AL7" s="170">
        <v>2</v>
      </c>
      <c r="AM7" s="170">
        <v>2</v>
      </c>
      <c r="AN7" s="170"/>
      <c r="AO7" s="170">
        <v>2</v>
      </c>
      <c r="AP7" s="170">
        <v>1126</v>
      </c>
      <c r="AQ7" s="170"/>
      <c r="AR7" s="170">
        <v>450</v>
      </c>
      <c r="AS7" s="170">
        <v>264</v>
      </c>
      <c r="AT7" s="170">
        <v>150</v>
      </c>
      <c r="AU7" s="170">
        <f>AV7+AW7</f>
        <v>8050</v>
      </c>
      <c r="AV7" s="170"/>
      <c r="AW7" s="170">
        <v>8050</v>
      </c>
      <c r="AX7" s="170">
        <v>1680</v>
      </c>
      <c r="AY7" s="170">
        <v>223</v>
      </c>
      <c r="AZ7" s="170">
        <v>723</v>
      </c>
      <c r="BA7" s="170">
        <v>603</v>
      </c>
      <c r="BB7" s="170">
        <v>34</v>
      </c>
      <c r="BC7" s="170">
        <v>38</v>
      </c>
      <c r="BD7" s="170">
        <v>264</v>
      </c>
      <c r="BE7" s="170">
        <v>481</v>
      </c>
      <c r="BF7" s="170">
        <v>1</v>
      </c>
      <c r="BG7" s="170">
        <v>7600</v>
      </c>
      <c r="BH7" s="170">
        <v>3270</v>
      </c>
      <c r="BI7" s="170">
        <v>90</v>
      </c>
      <c r="BJ7" s="115" t="str">
        <f>IF((I7="кир"),G7,"0")</f>
        <v>0</v>
      </c>
      <c r="BK7" s="115" t="str">
        <f>IF((I7="кир"),R7,"0")</f>
        <v>0</v>
      </c>
      <c r="BL7" s="115" t="str">
        <f>IF((I7="кир"),S7,"0")</f>
        <v>0</v>
      </c>
      <c r="BM7" s="115">
        <f>IF((I7="пан"),G7,"0")</f>
        <v>1</v>
      </c>
      <c r="BN7" s="115">
        <f>IF((I7="пан"),R7,"0")</f>
        <v>4517.7</v>
      </c>
      <c r="BO7" s="115">
        <f>IF((I7="пан"),S7,"0")</f>
        <v>2771</v>
      </c>
      <c r="BP7" s="115" t="str">
        <f>IF((I7="смеш"),G7,"0")</f>
        <v>0</v>
      </c>
      <c r="BQ7" s="115" t="str">
        <f>IF((I7="смеш"),R7,"0")</f>
        <v>0</v>
      </c>
      <c r="BR7" s="115" t="str">
        <f>IF((I7="смеш"),S7,"0")</f>
        <v>0</v>
      </c>
      <c r="BS7" s="115"/>
      <c r="BT7" s="115">
        <v>2</v>
      </c>
      <c r="BU7" s="115"/>
      <c r="BV7" s="115"/>
      <c r="BW7" s="115"/>
      <c r="BX7" s="115"/>
      <c r="BY7" s="275">
        <v>1451.7</v>
      </c>
      <c r="BZ7" s="253">
        <v>770.3</v>
      </c>
      <c r="CA7" s="354">
        <f>312.6-3*2+463.7</f>
        <v>770.3</v>
      </c>
      <c r="CB7" s="354">
        <f>3*2+13</f>
        <v>19</v>
      </c>
      <c r="CC7" s="354"/>
      <c r="CD7" s="354">
        <v>602.70000000000005</v>
      </c>
      <c r="CE7" s="354">
        <f>1.7+10.5+19.2</f>
        <v>31.4</v>
      </c>
      <c r="CF7" s="354"/>
      <c r="CG7" s="354">
        <v>14</v>
      </c>
      <c r="CH7" s="355">
        <v>14.3</v>
      </c>
      <c r="CI7" s="356">
        <f>CH7+CG7+CF7+CE7+CD7+CC7+CB7+CA7</f>
        <v>1451.7</v>
      </c>
      <c r="CJ7" s="356">
        <f t="shared" ref="CJ7:CJ70" si="0">CA7+CC7</f>
        <v>770.3</v>
      </c>
      <c r="CK7" s="357">
        <v>723</v>
      </c>
      <c r="CL7" s="358">
        <f>CK7+CI7</f>
        <v>2174.6999999999998</v>
      </c>
      <c r="CM7" s="205">
        <v>1943</v>
      </c>
      <c r="CN7" s="282">
        <f>CM7-K7</f>
        <v>1180</v>
      </c>
      <c r="CO7" s="209" t="str">
        <f>IF(CP7&gt;0,G7,"0")</f>
        <v>0</v>
      </c>
      <c r="CP7" s="235">
        <f>AV7</f>
        <v>0</v>
      </c>
      <c r="CQ7" s="209">
        <f>IF(CR7&gt;0,G7,"0")</f>
        <v>1</v>
      </c>
      <c r="CR7" s="235">
        <f>AW7</f>
        <v>8050</v>
      </c>
      <c r="CS7" s="235">
        <f>CO7+CQ7</f>
        <v>1</v>
      </c>
      <c r="CT7" s="235">
        <f>CP7+CR7</f>
        <v>8050</v>
      </c>
      <c r="CU7" s="156">
        <v>62</v>
      </c>
      <c r="CV7" s="284" t="str">
        <f>IF((X7/R7*100&gt;=50), G7, "0")</f>
        <v>0</v>
      </c>
      <c r="CW7" s="284" t="str">
        <f>IF((X7/R7*100&gt;=50), R7, "0")</f>
        <v>0</v>
      </c>
      <c r="CX7" s="243">
        <f>X7/R7*100</f>
        <v>11.552338579365607</v>
      </c>
      <c r="CY7" s="216" t="str">
        <f>IF(((X7+AD7)/AI7*100&gt;=50), G7, "0")</f>
        <v>0</v>
      </c>
      <c r="CZ7" s="216" t="str">
        <f>IF(((X7+AD7)/AI7*100&gt;=50), AI7, "0")</f>
        <v>0</v>
      </c>
      <c r="DA7" s="243">
        <f>(X7+AD7)/AI7*100</f>
        <v>11.30045037242335</v>
      </c>
      <c r="DB7" s="306">
        <v>1</v>
      </c>
      <c r="DC7" s="306">
        <v>0</v>
      </c>
      <c r="DD7" s="306">
        <v>0</v>
      </c>
      <c r="DE7" s="306">
        <v>0</v>
      </c>
      <c r="DF7" s="306">
        <v>2</v>
      </c>
      <c r="DG7" s="306">
        <v>0</v>
      </c>
      <c r="DH7" s="306">
        <v>0</v>
      </c>
      <c r="DI7" s="306">
        <v>0</v>
      </c>
      <c r="DJ7" s="306">
        <v>0</v>
      </c>
      <c r="DK7" s="306">
        <v>69</v>
      </c>
      <c r="DL7" s="306">
        <f>DK7-DM7</f>
        <v>62</v>
      </c>
      <c r="DM7" s="306">
        <v>7</v>
      </c>
      <c r="DN7" s="306">
        <v>44</v>
      </c>
      <c r="DO7" s="306">
        <v>29</v>
      </c>
      <c r="DP7" s="306">
        <v>65</v>
      </c>
      <c r="DQ7" s="306">
        <v>39</v>
      </c>
      <c r="DR7" s="306">
        <v>37</v>
      </c>
      <c r="DS7" s="306">
        <v>55</v>
      </c>
      <c r="DT7" s="306">
        <v>49</v>
      </c>
      <c r="DU7" s="306">
        <v>2</v>
      </c>
      <c r="DV7" s="306">
        <v>0</v>
      </c>
      <c r="DW7" s="306">
        <v>4</v>
      </c>
      <c r="DX7" s="306">
        <v>0</v>
      </c>
      <c r="DY7" s="306">
        <v>0</v>
      </c>
      <c r="DZ7" s="306">
        <v>4</v>
      </c>
      <c r="EA7" s="306">
        <v>0</v>
      </c>
      <c r="EB7" s="306">
        <v>69</v>
      </c>
      <c r="EC7" s="306">
        <v>69</v>
      </c>
      <c r="ED7" s="342"/>
      <c r="EE7" s="342"/>
    </row>
    <row r="8" spans="1:135" x14ac:dyDescent="0.2">
      <c r="A8" s="149" t="s">
        <v>197</v>
      </c>
      <c r="B8" s="169">
        <v>3</v>
      </c>
      <c r="C8" s="12" t="s">
        <v>200</v>
      </c>
      <c r="D8" s="200">
        <v>1991</v>
      </c>
      <c r="E8" s="11"/>
      <c r="F8" s="206" t="s">
        <v>24</v>
      </c>
      <c r="G8" s="35">
        <v>1</v>
      </c>
      <c r="H8" s="201">
        <v>9</v>
      </c>
      <c r="I8" s="201" t="s">
        <v>22</v>
      </c>
      <c r="J8" s="115">
        <v>19886</v>
      </c>
      <c r="K8" s="115">
        <v>804</v>
      </c>
      <c r="L8" s="157"/>
      <c r="M8" s="115">
        <v>725</v>
      </c>
      <c r="N8" s="115">
        <v>66</v>
      </c>
      <c r="O8" s="115">
        <v>184</v>
      </c>
      <c r="P8" s="115">
        <v>67</v>
      </c>
      <c r="Q8" s="115">
        <v>165</v>
      </c>
      <c r="R8" s="228">
        <v>4310.5</v>
      </c>
      <c r="S8" s="121">
        <v>2694.7</v>
      </c>
      <c r="T8" s="115">
        <f>N8-W8-Z8</f>
        <v>61</v>
      </c>
      <c r="U8" s="203">
        <f>R8-X8-AA8</f>
        <v>3974.5</v>
      </c>
      <c r="V8" s="180">
        <f>S8-Y8-AB8</f>
        <v>2486.3799999999997</v>
      </c>
      <c r="W8" s="115">
        <v>5</v>
      </c>
      <c r="X8" s="207">
        <v>336</v>
      </c>
      <c r="Y8" s="207">
        <v>208.32</v>
      </c>
      <c r="Z8" s="204"/>
      <c r="AA8" s="207"/>
      <c r="AB8" s="207"/>
      <c r="AC8" s="207">
        <f>AD8+AG8+AH8</f>
        <v>195.8</v>
      </c>
      <c r="AD8" s="248">
        <f>AE8+AF8</f>
        <v>0</v>
      </c>
      <c r="AE8" s="275"/>
      <c r="AF8" s="248"/>
      <c r="AG8" s="207">
        <f>195.75+0.05</f>
        <v>195.8</v>
      </c>
      <c r="AH8" s="207"/>
      <c r="AI8" s="207">
        <f>R8+AC8</f>
        <v>4506.3</v>
      </c>
      <c r="AJ8" s="170"/>
      <c r="AK8" s="170">
        <v>2</v>
      </c>
      <c r="AL8" s="170">
        <v>2</v>
      </c>
      <c r="AM8" s="170">
        <v>2</v>
      </c>
      <c r="AN8" s="170"/>
      <c r="AO8" s="170">
        <v>2</v>
      </c>
      <c r="AP8" s="170">
        <v>1126</v>
      </c>
      <c r="AQ8" s="170">
        <v>45.92</v>
      </c>
      <c r="AR8" s="170">
        <v>405</v>
      </c>
      <c r="AS8" s="170">
        <v>264</v>
      </c>
      <c r="AT8" s="170">
        <v>150</v>
      </c>
      <c r="AU8" s="170">
        <f>AV8+AW8</f>
        <v>8050</v>
      </c>
      <c r="AV8" s="170"/>
      <c r="AW8" s="170">
        <v>8050</v>
      </c>
      <c r="AX8" s="170">
        <v>1680</v>
      </c>
      <c r="AY8" s="170">
        <v>223</v>
      </c>
      <c r="AZ8" s="170">
        <v>725</v>
      </c>
      <c r="BA8" s="170">
        <v>596</v>
      </c>
      <c r="BB8" s="170">
        <v>36</v>
      </c>
      <c r="BC8" s="170">
        <v>40</v>
      </c>
      <c r="BD8" s="170">
        <v>261</v>
      </c>
      <c r="BE8" s="170">
        <v>466</v>
      </c>
      <c r="BF8" s="170">
        <v>1</v>
      </c>
      <c r="BG8" s="170">
        <v>7600</v>
      </c>
      <c r="BH8" s="170">
        <v>3270</v>
      </c>
      <c r="BI8" s="170">
        <v>90</v>
      </c>
      <c r="BJ8" s="115" t="str">
        <f>IF((I8="кир"),G8,"0")</f>
        <v>0</v>
      </c>
      <c r="BK8" s="115" t="str">
        <f>IF((I8="кир"),R8,"0")</f>
        <v>0</v>
      </c>
      <c r="BL8" s="115" t="str">
        <f>IF((I8="кир"),S8,"0")</f>
        <v>0</v>
      </c>
      <c r="BM8" s="115">
        <f>IF((I8="пан"),G8,"0")</f>
        <v>1</v>
      </c>
      <c r="BN8" s="115">
        <f>IF((I8="пан"),R8,"0")</f>
        <v>4310.5</v>
      </c>
      <c r="BO8" s="115">
        <f>IF((I8="пан"),S8,"0")</f>
        <v>2694.7</v>
      </c>
      <c r="BP8" s="115" t="str">
        <f>IF((I8="смеш"),G8,"0")</f>
        <v>0</v>
      </c>
      <c r="BQ8" s="115" t="str">
        <f>IF((I8="смеш"),R8,"0")</f>
        <v>0</v>
      </c>
      <c r="BR8" s="115" t="str">
        <f>IF((I8="смеш"),S8,"0")</f>
        <v>0</v>
      </c>
      <c r="BS8" s="115"/>
      <c r="BT8" s="115">
        <v>2</v>
      </c>
      <c r="BU8" s="115"/>
      <c r="BV8" s="115"/>
      <c r="BW8" s="115"/>
      <c r="BX8" s="115"/>
      <c r="BY8" s="275">
        <v>1540</v>
      </c>
      <c r="BZ8" s="253">
        <v>807.6</v>
      </c>
      <c r="CA8" s="354">
        <f>250.2+444.1+118.7-2.7*2</f>
        <v>807.6</v>
      </c>
      <c r="CB8" s="354">
        <f>2.7*2+19.2</f>
        <v>24.6</v>
      </c>
      <c r="CC8" s="354"/>
      <c r="CD8" s="354">
        <v>596</v>
      </c>
      <c r="CE8" s="354">
        <f>17.4+17.4</f>
        <v>34.799999999999997</v>
      </c>
      <c r="CF8" s="354">
        <v>2.7</v>
      </c>
      <c r="CG8" s="354">
        <v>51.2</v>
      </c>
      <c r="CH8" s="354">
        <f>17.2+5.9</f>
        <v>23.1</v>
      </c>
      <c r="CI8" s="356">
        <f t="shared" ref="CI8:CI71" si="1">CH8+CG8+CF8+CE8+CD8+CC8+CB8+CA8</f>
        <v>1540</v>
      </c>
      <c r="CJ8" s="356">
        <f t="shared" si="0"/>
        <v>807.6</v>
      </c>
      <c r="CK8" s="357">
        <v>725</v>
      </c>
      <c r="CL8" s="358">
        <f t="shared" ref="CL8:CL71" si="2">CK8+CI8</f>
        <v>2265</v>
      </c>
      <c r="CM8" s="205">
        <v>1664</v>
      </c>
      <c r="CN8" s="282">
        <f>CM8-K8</f>
        <v>860</v>
      </c>
      <c r="CO8" s="209" t="str">
        <f>IF(CP8&gt;0,G8,"0")</f>
        <v>0</v>
      </c>
      <c r="CP8" s="235">
        <f>AV8</f>
        <v>0</v>
      </c>
      <c r="CQ8" s="209">
        <f>IF(CR8&gt;0,G8,"0")</f>
        <v>1</v>
      </c>
      <c r="CR8" s="235">
        <f>AW8</f>
        <v>8050</v>
      </c>
      <c r="CS8" s="235">
        <f>CO8+CQ8</f>
        <v>1</v>
      </c>
      <c r="CT8" s="235">
        <f>CP8+CR8</f>
        <v>8050</v>
      </c>
      <c r="CU8" s="156">
        <v>55</v>
      </c>
      <c r="CV8" s="284" t="str">
        <f>IF((X8/R8*100&gt;=50), G8, "0")</f>
        <v>0</v>
      </c>
      <c r="CW8" s="284" t="str">
        <f>IF((X8/R8*100&gt;=50), R8, "0")</f>
        <v>0</v>
      </c>
      <c r="CX8" s="243">
        <f>X8/R8*100</f>
        <v>7.7949193829022159</v>
      </c>
      <c r="CY8" s="216" t="str">
        <f>IF(((X8+AD8)/AI8*100&gt;=50), G8, "0")</f>
        <v>0</v>
      </c>
      <c r="CZ8" s="216" t="str">
        <f>IF(((X8+AD8)/AI8*100&gt;=50), AI8, "0")</f>
        <v>0</v>
      </c>
      <c r="DA8" s="243">
        <f>(X8+AD8)/AI8*100</f>
        <v>7.4562279475401105</v>
      </c>
      <c r="DB8" s="306">
        <v>1</v>
      </c>
      <c r="DC8" s="306">
        <v>0</v>
      </c>
      <c r="DD8" s="306">
        <v>0</v>
      </c>
      <c r="DE8" s="306">
        <v>0</v>
      </c>
      <c r="DF8" s="306">
        <v>2</v>
      </c>
      <c r="DG8" s="306">
        <v>0</v>
      </c>
      <c r="DH8" s="306">
        <v>0</v>
      </c>
      <c r="DI8" s="306">
        <v>0</v>
      </c>
      <c r="DJ8" s="306">
        <v>0</v>
      </c>
      <c r="DK8" s="306">
        <v>66</v>
      </c>
      <c r="DL8" s="306">
        <f>DK8-DM8</f>
        <v>63</v>
      </c>
      <c r="DM8" s="306">
        <v>3</v>
      </c>
      <c r="DN8" s="306">
        <v>44</v>
      </c>
      <c r="DO8" s="306">
        <v>34</v>
      </c>
      <c r="DP8" s="306">
        <v>47</v>
      </c>
      <c r="DQ8" s="306">
        <v>42</v>
      </c>
      <c r="DR8" s="306">
        <v>41</v>
      </c>
      <c r="DS8" s="306">
        <v>35</v>
      </c>
      <c r="DT8" s="306">
        <v>54</v>
      </c>
      <c r="DU8" s="306">
        <v>1</v>
      </c>
      <c r="DV8" s="306">
        <v>1</v>
      </c>
      <c r="DW8" s="306">
        <v>0</v>
      </c>
      <c r="DX8" s="306">
        <v>2</v>
      </c>
      <c r="DY8" s="306">
        <v>1</v>
      </c>
      <c r="DZ8" s="306">
        <v>0</v>
      </c>
      <c r="EA8" s="306">
        <v>2</v>
      </c>
      <c r="EB8" s="306">
        <v>66</v>
      </c>
      <c r="EC8" s="306">
        <v>66</v>
      </c>
      <c r="ED8" s="342"/>
      <c r="EE8" s="342"/>
    </row>
    <row r="9" spans="1:135" x14ac:dyDescent="0.2">
      <c r="A9" s="149" t="s">
        <v>197</v>
      </c>
      <c r="B9" s="169">
        <v>1</v>
      </c>
      <c r="C9" s="12" t="s">
        <v>198</v>
      </c>
      <c r="D9" s="200">
        <v>1982</v>
      </c>
      <c r="E9" s="11"/>
      <c r="F9" s="169">
        <v>84</v>
      </c>
      <c r="G9" s="35">
        <v>1</v>
      </c>
      <c r="H9" s="201">
        <v>9</v>
      </c>
      <c r="I9" s="201" t="s">
        <v>22</v>
      </c>
      <c r="J9" s="115">
        <v>23049</v>
      </c>
      <c r="K9" s="115">
        <v>973</v>
      </c>
      <c r="L9" s="157"/>
      <c r="M9" s="115">
        <v>900</v>
      </c>
      <c r="N9" s="115">
        <v>108</v>
      </c>
      <c r="O9" s="115">
        <v>231</v>
      </c>
      <c r="P9" s="115">
        <v>108</v>
      </c>
      <c r="Q9" s="115">
        <v>236</v>
      </c>
      <c r="R9" s="180">
        <v>5713.2</v>
      </c>
      <c r="S9" s="230">
        <v>3389.5</v>
      </c>
      <c r="T9" s="115">
        <f t="shared" ref="T9:T70" si="3">N9-W9-Z9</f>
        <v>100</v>
      </c>
      <c r="U9" s="203">
        <f t="shared" ref="U9:V42" si="4">R9-X9-AA9</f>
        <v>5284</v>
      </c>
      <c r="V9" s="180">
        <f t="shared" si="4"/>
        <v>3123.4</v>
      </c>
      <c r="W9" s="115">
        <v>8</v>
      </c>
      <c r="X9" s="207">
        <v>429.2</v>
      </c>
      <c r="Y9" s="207">
        <v>266.10000000000002</v>
      </c>
      <c r="Z9" s="204"/>
      <c r="AA9" s="207"/>
      <c r="AB9" s="207"/>
      <c r="AC9" s="207">
        <f t="shared" ref="AC9:AC70" si="5">AD9+AG9+AH9</f>
        <v>0</v>
      </c>
      <c r="AD9" s="275">
        <f t="shared" ref="AD9:AD70" si="6">AE9+AF9</f>
        <v>0</v>
      </c>
      <c r="AE9" s="275"/>
      <c r="AF9" s="275"/>
      <c r="AG9" s="207"/>
      <c r="AH9" s="207"/>
      <c r="AI9" s="207">
        <f t="shared" ref="AI9:AI70" si="7">R9+AC9</f>
        <v>5713.2</v>
      </c>
      <c r="AJ9" s="170"/>
      <c r="AK9" s="170">
        <v>3</v>
      </c>
      <c r="AL9" s="170">
        <v>3</v>
      </c>
      <c r="AM9" s="170">
        <v>3</v>
      </c>
      <c r="AN9" s="170"/>
      <c r="AO9" s="170">
        <v>3</v>
      </c>
      <c r="AP9" s="170">
        <v>2199</v>
      </c>
      <c r="AQ9" s="170">
        <v>228.25</v>
      </c>
      <c r="AR9" s="170">
        <v>450</v>
      </c>
      <c r="AS9" s="170">
        <v>348</v>
      </c>
      <c r="AT9" s="170">
        <v>108</v>
      </c>
      <c r="AU9" s="170">
        <f t="shared" ref="AU9:AU52" si="8">AV9+AW9</f>
        <v>12500</v>
      </c>
      <c r="AV9" s="170">
        <v>12500</v>
      </c>
      <c r="AW9" s="170"/>
      <c r="AX9" s="170">
        <v>2520</v>
      </c>
      <c r="AY9" s="170">
        <v>290</v>
      </c>
      <c r="AZ9" s="170">
        <v>899</v>
      </c>
      <c r="BA9" s="170">
        <v>760</v>
      </c>
      <c r="BB9" s="170">
        <v>54</v>
      </c>
      <c r="BC9" s="170">
        <v>8</v>
      </c>
      <c r="BD9" s="170">
        <v>375</v>
      </c>
      <c r="BE9" s="170">
        <v>645</v>
      </c>
      <c r="BF9" s="170">
        <v>1</v>
      </c>
      <c r="BG9" s="170">
        <v>10710</v>
      </c>
      <c r="BH9" s="170">
        <v>4905</v>
      </c>
      <c r="BI9" s="170">
        <v>135</v>
      </c>
      <c r="BJ9" s="115" t="str">
        <f t="shared" ref="BJ9:BJ70" si="9">IF((I9="кир"),G9,"0")</f>
        <v>0</v>
      </c>
      <c r="BK9" s="115" t="str">
        <f t="shared" ref="BK9:BK70" si="10">IF((I9="кир"),R9,"0")</f>
        <v>0</v>
      </c>
      <c r="BL9" s="115" t="str">
        <f t="shared" ref="BL9:BL70" si="11">IF((I9="кир"),S9,"0")</f>
        <v>0</v>
      </c>
      <c r="BM9" s="115">
        <f t="shared" ref="BM9:BM70" si="12">IF((I9="пан"),G9,"0")</f>
        <v>1</v>
      </c>
      <c r="BN9" s="115">
        <f t="shared" ref="BN9:BN70" si="13">IF((I9="пан"),R9,"0")</f>
        <v>5713.2</v>
      </c>
      <c r="BO9" s="115">
        <f t="shared" ref="BO9:BO70" si="14">IF((I9="пан"),S9,"0")</f>
        <v>3389.5</v>
      </c>
      <c r="BP9" s="115" t="str">
        <f t="shared" ref="BP9:BP70" si="15">IF((I9="смеш"),G9,"0")</f>
        <v>0</v>
      </c>
      <c r="BQ9" s="115" t="str">
        <f t="shared" ref="BQ9:BQ70" si="16">IF((I9="смеш"),R9,"0")</f>
        <v>0</v>
      </c>
      <c r="BR9" s="115" t="str">
        <f t="shared" ref="BR9:BR70" si="17">IF((I9="смеш"),S9,"0")</f>
        <v>0</v>
      </c>
      <c r="BS9" s="115"/>
      <c r="BT9" s="115">
        <v>1</v>
      </c>
      <c r="BU9" s="115">
        <f>BA9</f>
        <v>760</v>
      </c>
      <c r="BV9" s="115">
        <v>5010</v>
      </c>
      <c r="BW9" s="115"/>
      <c r="BX9" s="115"/>
      <c r="BY9" s="275">
        <v>1601.8</v>
      </c>
      <c r="BZ9" s="253">
        <v>800.2</v>
      </c>
      <c r="CA9" s="354">
        <f>809.4-(3.2+3+3)</f>
        <v>800.19999999999993</v>
      </c>
      <c r="CB9" s="354">
        <f>(3.2+3+3)</f>
        <v>9.1999999999999993</v>
      </c>
      <c r="CC9" s="354"/>
      <c r="CD9" s="354">
        <v>760.1</v>
      </c>
      <c r="CE9" s="354">
        <v>18.5</v>
      </c>
      <c r="CF9" s="354"/>
      <c r="CG9" s="354">
        <v>13.8</v>
      </c>
      <c r="CH9" s="355"/>
      <c r="CI9" s="356">
        <f t="shared" si="1"/>
        <v>1601.8</v>
      </c>
      <c r="CJ9" s="356">
        <f t="shared" si="0"/>
        <v>800.19999999999993</v>
      </c>
      <c r="CK9" s="357">
        <v>899</v>
      </c>
      <c r="CL9" s="358">
        <f>CK9+CI9</f>
        <v>2500.8000000000002</v>
      </c>
      <c r="CM9" s="205">
        <v>2548</v>
      </c>
      <c r="CN9" s="282">
        <f t="shared" ref="CN9:CN70" si="18">CM9-K9</f>
        <v>1575</v>
      </c>
      <c r="CO9" s="209">
        <f t="shared" ref="CO9:CO42" si="19">IF(CP9&gt;0,G9,"0")</f>
        <v>1</v>
      </c>
      <c r="CP9" s="235">
        <f t="shared" ref="CP9:CP52" si="20">AV9</f>
        <v>12500</v>
      </c>
      <c r="CQ9" s="209" t="str">
        <f t="shared" ref="CQ9:CQ52" si="21">IF(CR9&gt;0,G9,"0")</f>
        <v>0</v>
      </c>
      <c r="CR9" s="235">
        <f t="shared" ref="CR9:CR52" si="22">AW9</f>
        <v>0</v>
      </c>
      <c r="CS9" s="235">
        <f t="shared" ref="CS9:CT52" si="23">CO9+CQ9</f>
        <v>1</v>
      </c>
      <c r="CT9" s="235">
        <f t="shared" si="23"/>
        <v>12500</v>
      </c>
      <c r="CU9" s="156">
        <v>60</v>
      </c>
      <c r="CV9" s="284" t="str">
        <f t="shared" ref="CV9:CV70" si="24">IF((X9/R9*100&gt;=50), G9, "0")</f>
        <v>0</v>
      </c>
      <c r="CW9" s="284" t="str">
        <f t="shared" ref="CW9:CW70" si="25">IF((X9/R9*100&gt;=50), R9, "0")</f>
        <v>0</v>
      </c>
      <c r="CX9" s="243">
        <f t="shared" ref="CX9:CX70" si="26">X9/R9*100</f>
        <v>7.5124273611986272</v>
      </c>
      <c r="CY9" s="216" t="str">
        <f t="shared" ref="CY9:CY70" si="27">IF(((X9+AD9)/AI9*100&gt;=50), G9, "0")</f>
        <v>0</v>
      </c>
      <c r="CZ9" s="216" t="str">
        <f t="shared" ref="CZ9:CZ70" si="28">IF(((X9+AD9)/AI9*100&gt;=50), AI9, "0")</f>
        <v>0</v>
      </c>
      <c r="DA9" s="243">
        <f t="shared" ref="DA9:DA70" si="29">(X9+AD9)/AI9*100</f>
        <v>7.5124273611986272</v>
      </c>
      <c r="DB9" s="306">
        <v>1</v>
      </c>
      <c r="DC9" s="306">
        <v>0</v>
      </c>
      <c r="DD9" s="306">
        <v>0</v>
      </c>
      <c r="DE9" s="306">
        <v>0</v>
      </c>
      <c r="DF9" s="306">
        <v>2</v>
      </c>
      <c r="DG9" s="306">
        <v>0</v>
      </c>
      <c r="DH9" s="306">
        <v>0</v>
      </c>
      <c r="DI9" s="306">
        <v>0</v>
      </c>
      <c r="DJ9" s="306">
        <v>0</v>
      </c>
      <c r="DK9" s="306">
        <v>108</v>
      </c>
      <c r="DL9" s="306">
        <f t="shared" ref="DL9:DL52" si="30">DK9-DM9</f>
        <v>100</v>
      </c>
      <c r="DM9" s="306">
        <v>8</v>
      </c>
      <c r="DN9" s="306">
        <v>74</v>
      </c>
      <c r="DO9" s="306">
        <v>48</v>
      </c>
      <c r="DP9" s="306">
        <v>81</v>
      </c>
      <c r="DQ9" s="306">
        <v>60</v>
      </c>
      <c r="DR9" s="306">
        <v>53</v>
      </c>
      <c r="DS9" s="306">
        <v>74</v>
      </c>
      <c r="DT9" s="306">
        <v>67</v>
      </c>
      <c r="DU9" s="306">
        <v>3</v>
      </c>
      <c r="DV9" s="306">
        <v>1</v>
      </c>
      <c r="DW9" s="306">
        <v>16</v>
      </c>
      <c r="DX9" s="306">
        <v>2</v>
      </c>
      <c r="DY9" s="306">
        <v>2</v>
      </c>
      <c r="DZ9" s="306">
        <v>15</v>
      </c>
      <c r="EA9" s="306">
        <v>3</v>
      </c>
      <c r="EB9" s="306">
        <v>108</v>
      </c>
      <c r="EC9" s="306">
        <v>108</v>
      </c>
      <c r="ED9" s="342"/>
      <c r="EE9" s="342"/>
    </row>
    <row r="10" spans="1:135" x14ac:dyDescent="0.2">
      <c r="A10" s="149" t="s">
        <v>197</v>
      </c>
      <c r="B10" s="169">
        <v>4</v>
      </c>
      <c r="C10" s="12" t="s">
        <v>201</v>
      </c>
      <c r="D10" s="200">
        <v>1977</v>
      </c>
      <c r="E10" s="11"/>
      <c r="F10" s="169">
        <v>84</v>
      </c>
      <c r="G10" s="35">
        <v>1</v>
      </c>
      <c r="H10" s="201">
        <v>9</v>
      </c>
      <c r="I10" s="201" t="s">
        <v>22</v>
      </c>
      <c r="J10" s="115">
        <v>23226</v>
      </c>
      <c r="K10" s="115">
        <v>928</v>
      </c>
      <c r="L10" s="157"/>
      <c r="M10" s="115">
        <v>884</v>
      </c>
      <c r="N10" s="115">
        <v>108</v>
      </c>
      <c r="O10" s="115">
        <v>231</v>
      </c>
      <c r="P10" s="115">
        <v>108</v>
      </c>
      <c r="Q10" s="115">
        <v>245</v>
      </c>
      <c r="R10" s="228">
        <f>5651.6-1.3+0.2+2.1+0.2</f>
        <v>5652.8</v>
      </c>
      <c r="S10" s="230">
        <v>3346.7</v>
      </c>
      <c r="T10" s="115">
        <f t="shared" si="3"/>
        <v>102</v>
      </c>
      <c r="U10" s="203">
        <f t="shared" si="4"/>
        <v>5348.6</v>
      </c>
      <c r="V10" s="180">
        <f t="shared" si="4"/>
        <v>3158.1</v>
      </c>
      <c r="W10" s="115">
        <v>6</v>
      </c>
      <c r="X10" s="207">
        <v>304.2</v>
      </c>
      <c r="Y10" s="207">
        <v>188.6</v>
      </c>
      <c r="Z10" s="204"/>
      <c r="AA10" s="207"/>
      <c r="AB10" s="207"/>
      <c r="AC10" s="207">
        <f t="shared" si="5"/>
        <v>0</v>
      </c>
      <c r="AD10" s="228">
        <f t="shared" si="6"/>
        <v>0</v>
      </c>
      <c r="AE10" s="207"/>
      <c r="AF10" s="228"/>
      <c r="AG10" s="207"/>
      <c r="AH10" s="207"/>
      <c r="AI10" s="207">
        <f t="shared" si="7"/>
        <v>5652.8</v>
      </c>
      <c r="AJ10" s="170"/>
      <c r="AK10" s="170">
        <v>3</v>
      </c>
      <c r="AL10" s="170">
        <v>3</v>
      </c>
      <c r="AM10" s="170">
        <v>3</v>
      </c>
      <c r="AN10" s="170"/>
      <c r="AO10" s="170">
        <v>3</v>
      </c>
      <c r="AP10" s="170">
        <v>4445</v>
      </c>
      <c r="AQ10" s="170">
        <v>485.125</v>
      </c>
      <c r="AR10" s="170">
        <v>557</v>
      </c>
      <c r="AS10" s="170">
        <v>261</v>
      </c>
      <c r="AT10" s="170">
        <v>60</v>
      </c>
      <c r="AU10" s="170">
        <f t="shared" si="8"/>
        <v>6835</v>
      </c>
      <c r="AV10" s="170">
        <v>6835</v>
      </c>
      <c r="AW10" s="170"/>
      <c r="AX10" s="170">
        <v>2613</v>
      </c>
      <c r="AY10" s="170">
        <v>227</v>
      </c>
      <c r="AZ10" s="170">
        <v>911</v>
      </c>
      <c r="BA10" s="170">
        <v>890</v>
      </c>
      <c r="BB10" s="170">
        <v>48</v>
      </c>
      <c r="BC10" s="170">
        <v>9</v>
      </c>
      <c r="BD10" s="170">
        <v>267</v>
      </c>
      <c r="BE10" s="170">
        <v>108</v>
      </c>
      <c r="BF10" s="170"/>
      <c r="BG10" s="170">
        <v>10710</v>
      </c>
      <c r="BH10" s="170">
        <v>4905</v>
      </c>
      <c r="BI10" s="170">
        <v>135</v>
      </c>
      <c r="BJ10" s="115" t="str">
        <f t="shared" si="9"/>
        <v>0</v>
      </c>
      <c r="BK10" s="115" t="str">
        <f t="shared" si="10"/>
        <v>0</v>
      </c>
      <c r="BL10" s="115" t="str">
        <f t="shared" si="11"/>
        <v>0</v>
      </c>
      <c r="BM10" s="115">
        <f t="shared" si="12"/>
        <v>1</v>
      </c>
      <c r="BN10" s="115">
        <f t="shared" si="13"/>
        <v>5652.8</v>
      </c>
      <c r="BO10" s="115">
        <f t="shared" si="14"/>
        <v>3346.7</v>
      </c>
      <c r="BP10" s="115" t="str">
        <f t="shared" si="15"/>
        <v>0</v>
      </c>
      <c r="BQ10" s="115" t="str">
        <f t="shared" si="16"/>
        <v>0</v>
      </c>
      <c r="BR10" s="115" t="str">
        <f t="shared" si="17"/>
        <v>0</v>
      </c>
      <c r="BS10" s="115"/>
      <c r="BT10" s="115">
        <v>2</v>
      </c>
      <c r="BU10" s="115">
        <f t="shared" ref="BU10:BU26" si="31">BA10</f>
        <v>890</v>
      </c>
      <c r="BV10" s="115">
        <v>3804</v>
      </c>
      <c r="BW10" s="115"/>
      <c r="BX10" s="115"/>
      <c r="BY10" s="275">
        <v>1731.4</v>
      </c>
      <c r="BZ10" s="253">
        <v>774.3</v>
      </c>
      <c r="CA10" s="354">
        <f>782.7-2.8*3</f>
        <v>774.30000000000007</v>
      </c>
      <c r="CB10" s="354">
        <f>2.8*3+32.3</f>
        <v>40.699999999999996</v>
      </c>
      <c r="CC10" s="354"/>
      <c r="CD10" s="354">
        <v>889.9</v>
      </c>
      <c r="CE10" s="354">
        <v>10.199999999999999</v>
      </c>
      <c r="CF10" s="354"/>
      <c r="CG10" s="354">
        <v>16.3</v>
      </c>
      <c r="CH10" s="355"/>
      <c r="CI10" s="356">
        <f t="shared" si="1"/>
        <v>1731.4</v>
      </c>
      <c r="CJ10" s="356">
        <f t="shared" si="0"/>
        <v>774.30000000000007</v>
      </c>
      <c r="CK10" s="357">
        <v>911</v>
      </c>
      <c r="CL10" s="358">
        <f t="shared" si="2"/>
        <v>2642.4</v>
      </c>
      <c r="CM10" s="205">
        <v>2513</v>
      </c>
      <c r="CN10" s="282">
        <f t="shared" si="18"/>
        <v>1585</v>
      </c>
      <c r="CO10" s="209">
        <f t="shared" si="19"/>
        <v>1</v>
      </c>
      <c r="CP10" s="235">
        <f t="shared" si="20"/>
        <v>6835</v>
      </c>
      <c r="CQ10" s="209" t="str">
        <f t="shared" si="21"/>
        <v>0</v>
      </c>
      <c r="CR10" s="235">
        <f t="shared" si="22"/>
        <v>0</v>
      </c>
      <c r="CS10" s="235">
        <f t="shared" si="23"/>
        <v>1</v>
      </c>
      <c r="CT10" s="235">
        <f t="shared" si="23"/>
        <v>6835</v>
      </c>
      <c r="CU10" s="156">
        <v>46</v>
      </c>
      <c r="CV10" s="284" t="str">
        <f t="shared" si="24"/>
        <v>0</v>
      </c>
      <c r="CW10" s="284" t="str">
        <f t="shared" si="25"/>
        <v>0</v>
      </c>
      <c r="CX10" s="243">
        <f t="shared" si="26"/>
        <v>5.3814039060288703</v>
      </c>
      <c r="CY10" s="216" t="str">
        <f t="shared" si="27"/>
        <v>0</v>
      </c>
      <c r="CZ10" s="216" t="str">
        <f t="shared" si="28"/>
        <v>0</v>
      </c>
      <c r="DA10" s="243">
        <f t="shared" si="29"/>
        <v>5.3814039060288703</v>
      </c>
      <c r="DB10" s="306">
        <v>1</v>
      </c>
      <c r="DC10" s="306">
        <v>0</v>
      </c>
      <c r="DD10" s="306">
        <v>0</v>
      </c>
      <c r="DE10" s="306">
        <v>0</v>
      </c>
      <c r="DF10" s="306">
        <v>1</v>
      </c>
      <c r="DG10" s="306">
        <v>0</v>
      </c>
      <c r="DH10" s="306">
        <v>0</v>
      </c>
      <c r="DI10" s="306">
        <v>0</v>
      </c>
      <c r="DJ10" s="306">
        <v>0</v>
      </c>
      <c r="DK10" s="306">
        <v>108</v>
      </c>
      <c r="DL10" s="306">
        <f t="shared" si="30"/>
        <v>101</v>
      </c>
      <c r="DM10" s="306">
        <v>7</v>
      </c>
      <c r="DN10" s="306">
        <v>72</v>
      </c>
      <c r="DO10" s="306">
        <v>58</v>
      </c>
      <c r="DP10" s="306">
        <v>66</v>
      </c>
      <c r="DQ10" s="306">
        <v>75</v>
      </c>
      <c r="DR10" s="306">
        <v>61</v>
      </c>
      <c r="DS10" s="306">
        <v>62</v>
      </c>
      <c r="DT10" s="306">
        <v>79</v>
      </c>
      <c r="DU10" s="306">
        <v>3</v>
      </c>
      <c r="DV10" s="306">
        <v>2</v>
      </c>
      <c r="DW10" s="306">
        <v>5</v>
      </c>
      <c r="DX10" s="306">
        <v>3</v>
      </c>
      <c r="DY10" s="306">
        <v>2</v>
      </c>
      <c r="DZ10" s="306">
        <v>5</v>
      </c>
      <c r="EA10" s="306">
        <v>3</v>
      </c>
      <c r="EB10" s="306">
        <v>108</v>
      </c>
      <c r="EC10" s="306">
        <v>108</v>
      </c>
      <c r="ED10" s="342"/>
      <c r="EE10" s="342"/>
    </row>
    <row r="11" spans="1:135" x14ac:dyDescent="0.2">
      <c r="A11" s="149" t="s">
        <v>197</v>
      </c>
      <c r="B11" s="169">
        <v>5</v>
      </c>
      <c r="C11" s="12" t="s">
        <v>202</v>
      </c>
      <c r="D11" s="200">
        <v>1977</v>
      </c>
      <c r="E11" s="11"/>
      <c r="F11" s="169">
        <v>84</v>
      </c>
      <c r="G11" s="35">
        <v>1</v>
      </c>
      <c r="H11" s="201">
        <v>9</v>
      </c>
      <c r="I11" s="201" t="s">
        <v>22</v>
      </c>
      <c r="J11" s="115">
        <v>22436</v>
      </c>
      <c r="K11" s="115">
        <v>932</v>
      </c>
      <c r="L11" s="157"/>
      <c r="M11" s="115">
        <v>878</v>
      </c>
      <c r="N11" s="115">
        <v>108</v>
      </c>
      <c r="O11" s="115">
        <v>231</v>
      </c>
      <c r="P11" s="115">
        <v>109</v>
      </c>
      <c r="Q11" s="115">
        <v>203</v>
      </c>
      <c r="R11" s="228">
        <f>5623.39-0.7-1.5+2.2</f>
        <v>5623.39</v>
      </c>
      <c r="S11" s="230">
        <v>3349.4</v>
      </c>
      <c r="T11" s="115">
        <f t="shared" si="3"/>
        <v>100</v>
      </c>
      <c r="U11" s="203">
        <f t="shared" si="4"/>
        <v>5194.1900000000005</v>
      </c>
      <c r="V11" s="180">
        <f t="shared" si="4"/>
        <v>3083.3</v>
      </c>
      <c r="W11" s="115">
        <v>8</v>
      </c>
      <c r="X11" s="207">
        <v>429.2</v>
      </c>
      <c r="Y11" s="207">
        <v>266.10000000000002</v>
      </c>
      <c r="Z11" s="204"/>
      <c r="AA11" s="207"/>
      <c r="AB11" s="207"/>
      <c r="AC11" s="207">
        <f t="shared" si="5"/>
        <v>0</v>
      </c>
      <c r="AD11" s="248">
        <f t="shared" si="6"/>
        <v>0</v>
      </c>
      <c r="AE11" s="275"/>
      <c r="AF11" s="248"/>
      <c r="AG11" s="207"/>
      <c r="AH11" s="207"/>
      <c r="AI11" s="207">
        <f t="shared" si="7"/>
        <v>5623.39</v>
      </c>
      <c r="AJ11" s="170"/>
      <c r="AK11" s="170">
        <v>3</v>
      </c>
      <c r="AL11" s="170">
        <v>3</v>
      </c>
      <c r="AM11" s="170">
        <v>3</v>
      </c>
      <c r="AN11" s="170"/>
      <c r="AO11" s="170">
        <v>3</v>
      </c>
      <c r="AP11" s="170">
        <v>4445</v>
      </c>
      <c r="AQ11" s="170"/>
      <c r="AR11" s="170">
        <v>350</v>
      </c>
      <c r="AS11" s="170">
        <v>251</v>
      </c>
      <c r="AT11" s="170">
        <v>60</v>
      </c>
      <c r="AU11" s="170">
        <f t="shared" si="8"/>
        <v>6835</v>
      </c>
      <c r="AV11" s="170">
        <v>6835</v>
      </c>
      <c r="AW11" s="170"/>
      <c r="AX11" s="170">
        <v>2613</v>
      </c>
      <c r="AY11" s="170">
        <v>224</v>
      </c>
      <c r="AZ11" s="170">
        <v>905</v>
      </c>
      <c r="BA11" s="170">
        <v>878</v>
      </c>
      <c r="BB11" s="170">
        <v>48</v>
      </c>
      <c r="BC11" s="170">
        <v>9</v>
      </c>
      <c r="BD11" s="170">
        <v>267</v>
      </c>
      <c r="BE11" s="170">
        <v>108</v>
      </c>
      <c r="BF11" s="170"/>
      <c r="BG11" s="170">
        <v>10710</v>
      </c>
      <c r="BH11" s="170">
        <v>4905</v>
      </c>
      <c r="BI11" s="170">
        <v>135</v>
      </c>
      <c r="BJ11" s="115" t="str">
        <f t="shared" si="9"/>
        <v>0</v>
      </c>
      <c r="BK11" s="115" t="str">
        <f t="shared" si="10"/>
        <v>0</v>
      </c>
      <c r="BL11" s="115" t="str">
        <f t="shared" si="11"/>
        <v>0</v>
      </c>
      <c r="BM11" s="115">
        <f t="shared" si="12"/>
        <v>1</v>
      </c>
      <c r="BN11" s="115">
        <f t="shared" si="13"/>
        <v>5623.39</v>
      </c>
      <c r="BO11" s="115">
        <f t="shared" si="14"/>
        <v>3349.4</v>
      </c>
      <c r="BP11" s="115" t="str">
        <f t="shared" si="15"/>
        <v>0</v>
      </c>
      <c r="BQ11" s="115" t="str">
        <f t="shared" si="16"/>
        <v>0</v>
      </c>
      <c r="BR11" s="115" t="str">
        <f t="shared" si="17"/>
        <v>0</v>
      </c>
      <c r="BS11" s="115"/>
      <c r="BT11" s="115">
        <v>2</v>
      </c>
      <c r="BU11" s="115">
        <f t="shared" si="31"/>
        <v>878</v>
      </c>
      <c r="BV11" s="115">
        <v>3804</v>
      </c>
      <c r="BW11" s="115"/>
      <c r="BX11" s="115"/>
      <c r="BY11" s="275">
        <v>1668.6</v>
      </c>
      <c r="BZ11" s="253">
        <v>742.9</v>
      </c>
      <c r="CA11" s="354">
        <v>742.9</v>
      </c>
      <c r="CB11" s="354">
        <v>6.6</v>
      </c>
      <c r="CC11" s="354"/>
      <c r="CD11" s="354">
        <v>877.8</v>
      </c>
      <c r="CE11" s="354">
        <v>26.6</v>
      </c>
      <c r="CF11" s="354"/>
      <c r="CG11" s="354">
        <v>14.7</v>
      </c>
      <c r="CH11" s="355"/>
      <c r="CI11" s="356">
        <f t="shared" si="1"/>
        <v>1668.6</v>
      </c>
      <c r="CJ11" s="356">
        <f t="shared" si="0"/>
        <v>742.9</v>
      </c>
      <c r="CK11" s="357">
        <v>905</v>
      </c>
      <c r="CL11" s="358">
        <f t="shared" si="2"/>
        <v>2573.6</v>
      </c>
      <c r="CM11" s="205">
        <v>2504</v>
      </c>
      <c r="CN11" s="282">
        <f t="shared" si="18"/>
        <v>1572</v>
      </c>
      <c r="CO11" s="209">
        <f t="shared" si="19"/>
        <v>1</v>
      </c>
      <c r="CP11" s="235">
        <f t="shared" si="20"/>
        <v>6835</v>
      </c>
      <c r="CQ11" s="209" t="str">
        <f t="shared" si="21"/>
        <v>0</v>
      </c>
      <c r="CR11" s="235">
        <f t="shared" si="22"/>
        <v>0</v>
      </c>
      <c r="CS11" s="235">
        <f t="shared" si="23"/>
        <v>1</v>
      </c>
      <c r="CT11" s="235">
        <f t="shared" si="23"/>
        <v>6835</v>
      </c>
      <c r="CU11" s="156">
        <v>47</v>
      </c>
      <c r="CV11" s="284" t="str">
        <f t="shared" si="24"/>
        <v>0</v>
      </c>
      <c r="CW11" s="284" t="str">
        <f t="shared" si="25"/>
        <v>0</v>
      </c>
      <c r="CX11" s="243">
        <f t="shared" si="26"/>
        <v>7.6324067866536023</v>
      </c>
      <c r="CY11" s="216" t="str">
        <f t="shared" si="27"/>
        <v>0</v>
      </c>
      <c r="CZ11" s="216" t="str">
        <f t="shared" si="28"/>
        <v>0</v>
      </c>
      <c r="DA11" s="243">
        <f t="shared" si="29"/>
        <v>7.6324067866536023</v>
      </c>
      <c r="DB11" s="306">
        <v>1</v>
      </c>
      <c r="DC11" s="306">
        <v>0</v>
      </c>
      <c r="DD11" s="306">
        <v>0</v>
      </c>
      <c r="DE11" s="306">
        <v>0</v>
      </c>
      <c r="DF11" s="306">
        <v>2</v>
      </c>
      <c r="DG11" s="306">
        <v>0</v>
      </c>
      <c r="DH11" s="306">
        <v>0</v>
      </c>
      <c r="DI11" s="306">
        <v>0</v>
      </c>
      <c r="DJ11" s="306">
        <v>0</v>
      </c>
      <c r="DK11" s="306">
        <v>108</v>
      </c>
      <c r="DL11" s="306">
        <f t="shared" si="30"/>
        <v>98</v>
      </c>
      <c r="DM11" s="306">
        <v>10</v>
      </c>
      <c r="DN11" s="306">
        <v>71</v>
      </c>
      <c r="DO11" s="306">
        <v>48</v>
      </c>
      <c r="DP11" s="306">
        <v>78</v>
      </c>
      <c r="DQ11" s="306">
        <v>63</v>
      </c>
      <c r="DR11" s="306">
        <v>54</v>
      </c>
      <c r="DS11" s="306">
        <v>71</v>
      </c>
      <c r="DT11" s="306">
        <v>70</v>
      </c>
      <c r="DU11" s="306">
        <v>6</v>
      </c>
      <c r="DV11" s="306">
        <v>5</v>
      </c>
      <c r="DW11" s="306">
        <v>10</v>
      </c>
      <c r="DX11" s="306">
        <v>6</v>
      </c>
      <c r="DY11" s="306">
        <v>5</v>
      </c>
      <c r="DZ11" s="306">
        <v>10</v>
      </c>
      <c r="EA11" s="306">
        <v>6</v>
      </c>
      <c r="EB11" s="306">
        <v>108</v>
      </c>
      <c r="EC11" s="306">
        <v>108</v>
      </c>
      <c r="ED11" s="342"/>
      <c r="EE11" s="342"/>
    </row>
    <row r="12" spans="1:135" x14ac:dyDescent="0.2">
      <c r="A12" s="359" t="s">
        <v>203</v>
      </c>
      <c r="B12" s="169">
        <v>6</v>
      </c>
      <c r="C12" s="12" t="s">
        <v>204</v>
      </c>
      <c r="D12" s="200">
        <v>1974</v>
      </c>
      <c r="E12" s="11"/>
      <c r="F12" s="169" t="s">
        <v>205</v>
      </c>
      <c r="G12" s="35">
        <v>1</v>
      </c>
      <c r="H12" s="201">
        <v>5</v>
      </c>
      <c r="I12" s="201" t="s">
        <v>22</v>
      </c>
      <c r="J12" s="115">
        <v>15507</v>
      </c>
      <c r="K12" s="115">
        <v>1155</v>
      </c>
      <c r="L12" s="157">
        <v>1294</v>
      </c>
      <c r="M12" s="115"/>
      <c r="N12" s="115">
        <v>89</v>
      </c>
      <c r="O12" s="115">
        <v>219</v>
      </c>
      <c r="P12" s="115">
        <v>89</v>
      </c>
      <c r="Q12" s="115">
        <v>184</v>
      </c>
      <c r="R12" s="228">
        <v>4393.6000000000004</v>
      </c>
      <c r="S12" s="230">
        <v>3026.9</v>
      </c>
      <c r="T12" s="115">
        <f t="shared" si="3"/>
        <v>78</v>
      </c>
      <c r="U12" s="203">
        <f t="shared" si="4"/>
        <v>3834.8</v>
      </c>
      <c r="V12" s="180">
        <f t="shared" si="4"/>
        <v>2680.44</v>
      </c>
      <c r="W12" s="115">
        <v>11</v>
      </c>
      <c r="X12" s="207">
        <v>558.79999999999995</v>
      </c>
      <c r="Y12" s="207">
        <v>346.46</v>
      </c>
      <c r="Z12" s="204"/>
      <c r="AA12" s="207"/>
      <c r="AB12" s="207"/>
      <c r="AC12" s="207">
        <f t="shared" si="5"/>
        <v>0</v>
      </c>
      <c r="AD12" s="248">
        <f t="shared" si="6"/>
        <v>0</v>
      </c>
      <c r="AE12" s="275"/>
      <c r="AF12" s="248"/>
      <c r="AG12" s="207"/>
      <c r="AH12" s="207"/>
      <c r="AI12" s="207">
        <f t="shared" si="7"/>
        <v>4393.6000000000004</v>
      </c>
      <c r="AJ12" s="170"/>
      <c r="AK12" s="170"/>
      <c r="AL12" s="170">
        <v>6</v>
      </c>
      <c r="AM12" s="170"/>
      <c r="AN12" s="170">
        <v>1</v>
      </c>
      <c r="AO12" s="170">
        <v>1</v>
      </c>
      <c r="AP12" s="170">
        <v>2621</v>
      </c>
      <c r="AQ12" s="170"/>
      <c r="AR12" s="170">
        <v>438</v>
      </c>
      <c r="AS12" s="170">
        <v>313</v>
      </c>
      <c r="AT12" s="170">
        <v>108</v>
      </c>
      <c r="AU12" s="170">
        <f t="shared" si="8"/>
        <v>5310</v>
      </c>
      <c r="AV12" s="170"/>
      <c r="AW12" s="170">
        <v>5310</v>
      </c>
      <c r="AX12" s="170">
        <v>2904</v>
      </c>
      <c r="AY12" s="170">
        <v>186</v>
      </c>
      <c r="AZ12" s="170">
        <v>1116</v>
      </c>
      <c r="BA12" s="170">
        <v>1116</v>
      </c>
      <c r="BB12" s="170">
        <v>24</v>
      </c>
      <c r="BC12" s="170">
        <v>12</v>
      </c>
      <c r="BD12" s="170">
        <v>223</v>
      </c>
      <c r="BE12" s="170">
        <v>89</v>
      </c>
      <c r="BF12" s="170"/>
      <c r="BG12" s="170">
        <v>600</v>
      </c>
      <c r="BH12" s="170">
        <v>120</v>
      </c>
      <c r="BI12" s="170"/>
      <c r="BJ12" s="115" t="str">
        <f t="shared" si="9"/>
        <v>0</v>
      </c>
      <c r="BK12" s="115" t="str">
        <f t="shared" si="10"/>
        <v>0</v>
      </c>
      <c r="BL12" s="115" t="str">
        <f t="shared" si="11"/>
        <v>0</v>
      </c>
      <c r="BM12" s="115">
        <f t="shared" si="12"/>
        <v>1</v>
      </c>
      <c r="BN12" s="115">
        <f t="shared" si="13"/>
        <v>4393.6000000000004</v>
      </c>
      <c r="BO12" s="115">
        <f t="shared" si="14"/>
        <v>3026.9</v>
      </c>
      <c r="BP12" s="115" t="str">
        <f t="shared" si="15"/>
        <v>0</v>
      </c>
      <c r="BQ12" s="115" t="str">
        <f t="shared" si="16"/>
        <v>0</v>
      </c>
      <c r="BR12" s="115" t="str">
        <f t="shared" si="17"/>
        <v>0</v>
      </c>
      <c r="BS12" s="115"/>
      <c r="BT12" s="115">
        <v>3</v>
      </c>
      <c r="BU12" s="115">
        <f t="shared" si="31"/>
        <v>1116</v>
      </c>
      <c r="BV12" s="115">
        <v>3422</v>
      </c>
      <c r="BW12" s="115"/>
      <c r="BX12" s="115"/>
      <c r="BY12" s="275">
        <v>1535.4</v>
      </c>
      <c r="BZ12" s="254">
        <v>408.5</v>
      </c>
      <c r="CA12" s="354">
        <v>408.5</v>
      </c>
      <c r="CB12" s="354"/>
      <c r="CC12" s="354"/>
      <c r="CD12" s="354">
        <f>1116*0+1115.6</f>
        <v>1115.5999999999999</v>
      </c>
      <c r="CE12" s="354">
        <v>11.3</v>
      </c>
      <c r="CF12" s="354"/>
      <c r="CG12" s="354"/>
      <c r="CH12" s="355"/>
      <c r="CI12" s="356">
        <f t="shared" si="1"/>
        <v>1535.3999999999999</v>
      </c>
      <c r="CJ12" s="356">
        <f t="shared" si="0"/>
        <v>408.5</v>
      </c>
      <c r="CK12" s="357">
        <v>1116</v>
      </c>
      <c r="CL12" s="358">
        <f t="shared" si="2"/>
        <v>2651.3999999999996</v>
      </c>
      <c r="CM12" s="205">
        <v>2753</v>
      </c>
      <c r="CN12" s="282">
        <f t="shared" si="18"/>
        <v>1598</v>
      </c>
      <c r="CO12" s="209" t="str">
        <f t="shared" si="19"/>
        <v>0</v>
      </c>
      <c r="CP12" s="235">
        <f t="shared" si="20"/>
        <v>0</v>
      </c>
      <c r="CQ12" s="209">
        <f t="shared" si="21"/>
        <v>1</v>
      </c>
      <c r="CR12" s="235">
        <f t="shared" si="22"/>
        <v>5310</v>
      </c>
      <c r="CS12" s="235">
        <f t="shared" si="23"/>
        <v>1</v>
      </c>
      <c r="CT12" s="235">
        <f t="shared" si="23"/>
        <v>5310</v>
      </c>
      <c r="CU12" s="156">
        <v>52</v>
      </c>
      <c r="CV12" s="284" t="str">
        <f t="shared" si="24"/>
        <v>0</v>
      </c>
      <c r="CW12" s="284" t="str">
        <f t="shared" si="25"/>
        <v>0</v>
      </c>
      <c r="CX12" s="243">
        <f t="shared" si="26"/>
        <v>12.718499635833938</v>
      </c>
      <c r="CY12" s="216" t="str">
        <f t="shared" si="27"/>
        <v>0</v>
      </c>
      <c r="CZ12" s="216" t="str">
        <f t="shared" si="28"/>
        <v>0</v>
      </c>
      <c r="DA12" s="243">
        <f t="shared" si="29"/>
        <v>12.718499635833938</v>
      </c>
      <c r="DB12" s="306">
        <v>1</v>
      </c>
      <c r="DC12" s="306">
        <v>0</v>
      </c>
      <c r="DD12" s="306">
        <v>0</v>
      </c>
      <c r="DE12" s="306">
        <v>0</v>
      </c>
      <c r="DF12" s="306">
        <v>2</v>
      </c>
      <c r="DG12" s="306">
        <v>0</v>
      </c>
      <c r="DH12" s="306">
        <v>0</v>
      </c>
      <c r="DI12" s="306">
        <v>0</v>
      </c>
      <c r="DJ12" s="306">
        <v>0</v>
      </c>
      <c r="DK12" s="306">
        <v>89</v>
      </c>
      <c r="DL12" s="306">
        <f t="shared" si="30"/>
        <v>81</v>
      </c>
      <c r="DM12" s="306">
        <v>8</v>
      </c>
      <c r="DN12" s="306">
        <v>51</v>
      </c>
      <c r="DO12" s="306">
        <v>33</v>
      </c>
      <c r="DP12" s="306">
        <v>56</v>
      </c>
      <c r="DQ12" s="306">
        <v>33</v>
      </c>
      <c r="DR12" s="306">
        <v>39</v>
      </c>
      <c r="DS12" s="306">
        <v>50</v>
      </c>
      <c r="DT12" s="306">
        <v>39</v>
      </c>
      <c r="DU12" s="306">
        <v>2</v>
      </c>
      <c r="DV12" s="306">
        <v>2</v>
      </c>
      <c r="DW12" s="306">
        <v>5</v>
      </c>
      <c r="DX12" s="306">
        <v>2</v>
      </c>
      <c r="DY12" s="306">
        <v>2</v>
      </c>
      <c r="DZ12" s="306">
        <v>5</v>
      </c>
      <c r="EA12" s="306">
        <v>2</v>
      </c>
      <c r="EB12" s="306">
        <v>89</v>
      </c>
      <c r="EC12" s="306">
        <v>89</v>
      </c>
      <c r="ED12" s="342"/>
      <c r="EE12" s="342"/>
    </row>
    <row r="13" spans="1:135" x14ac:dyDescent="0.2">
      <c r="A13" s="359" t="s">
        <v>203</v>
      </c>
      <c r="B13" s="169">
        <v>7</v>
      </c>
      <c r="C13" s="12" t="s">
        <v>206</v>
      </c>
      <c r="D13" s="200">
        <v>1947</v>
      </c>
      <c r="E13" s="11"/>
      <c r="F13" s="169" t="s">
        <v>207</v>
      </c>
      <c r="G13" s="35">
        <v>1</v>
      </c>
      <c r="H13" s="201">
        <v>5</v>
      </c>
      <c r="I13" s="201" t="s">
        <v>19</v>
      </c>
      <c r="J13" s="115">
        <v>20244</v>
      </c>
      <c r="K13" s="115">
        <v>2505</v>
      </c>
      <c r="L13" s="157">
        <f>2173.44+554.09</f>
        <v>2727.53</v>
      </c>
      <c r="M13" s="115"/>
      <c r="N13" s="115">
        <v>80</v>
      </c>
      <c r="O13" s="115">
        <v>229</v>
      </c>
      <c r="P13" s="115">
        <v>82</v>
      </c>
      <c r="Q13" s="115">
        <v>140</v>
      </c>
      <c r="R13" s="228">
        <v>7381.15</v>
      </c>
      <c r="S13" s="230">
        <v>4424.7</v>
      </c>
      <c r="T13" s="115">
        <f t="shared" si="3"/>
        <v>59</v>
      </c>
      <c r="U13" s="203">
        <f t="shared" si="4"/>
        <v>5300.95</v>
      </c>
      <c r="V13" s="180">
        <f t="shared" si="4"/>
        <v>3134.97</v>
      </c>
      <c r="W13" s="115">
        <v>21</v>
      </c>
      <c r="X13" s="207">
        <v>2080.1999999999998</v>
      </c>
      <c r="Y13" s="207">
        <v>1289.73</v>
      </c>
      <c r="Z13" s="204"/>
      <c r="AA13" s="207"/>
      <c r="AB13" s="207"/>
      <c r="AC13" s="207">
        <f t="shared" si="5"/>
        <v>787</v>
      </c>
      <c r="AD13" s="248">
        <f t="shared" si="6"/>
        <v>423.6</v>
      </c>
      <c r="AE13" s="275"/>
      <c r="AF13" s="248">
        <v>423.6</v>
      </c>
      <c r="AG13" s="207">
        <v>363.4</v>
      </c>
      <c r="AH13" s="207"/>
      <c r="AI13" s="207">
        <f t="shared" si="7"/>
        <v>8168.15</v>
      </c>
      <c r="AJ13" s="170"/>
      <c r="AK13" s="170"/>
      <c r="AL13" s="170">
        <v>4</v>
      </c>
      <c r="AM13" s="170"/>
      <c r="AN13" s="170"/>
      <c r="AO13" s="170">
        <v>3</v>
      </c>
      <c r="AP13" s="170">
        <v>6223.76</v>
      </c>
      <c r="AQ13" s="170"/>
      <c r="AR13" s="170">
        <v>592</v>
      </c>
      <c r="AS13" s="170">
        <f>152.5+97.84</f>
        <v>250.34</v>
      </c>
      <c r="AT13" s="170">
        <v>95</v>
      </c>
      <c r="AU13" s="170">
        <f t="shared" si="8"/>
        <v>5757</v>
      </c>
      <c r="AV13" s="170"/>
      <c r="AW13" s="170">
        <v>5757</v>
      </c>
      <c r="AX13" s="170"/>
      <c r="AY13" s="170">
        <f>115+32</f>
        <v>147</v>
      </c>
      <c r="AZ13" s="170">
        <v>2304</v>
      </c>
      <c r="BA13" s="170">
        <v>2304</v>
      </c>
      <c r="BB13" s="170">
        <v>15</v>
      </c>
      <c r="BC13" s="170">
        <v>8</v>
      </c>
      <c r="BD13" s="170">
        <f>245+82</f>
        <v>327</v>
      </c>
      <c r="BE13" s="170">
        <v>678</v>
      </c>
      <c r="BF13" s="170">
        <v>1</v>
      </c>
      <c r="BG13" s="170">
        <f>4013+5496</f>
        <v>9509</v>
      </c>
      <c r="BH13" s="170">
        <f>114+3583</f>
        <v>3697</v>
      </c>
      <c r="BI13" s="170"/>
      <c r="BJ13" s="115">
        <f t="shared" si="9"/>
        <v>1</v>
      </c>
      <c r="BK13" s="115">
        <f t="shared" si="10"/>
        <v>7381.15</v>
      </c>
      <c r="BL13" s="115">
        <f t="shared" si="11"/>
        <v>4424.7</v>
      </c>
      <c r="BM13" s="115" t="str">
        <f t="shared" si="12"/>
        <v>0</v>
      </c>
      <c r="BN13" s="115" t="str">
        <f t="shared" si="13"/>
        <v>0</v>
      </c>
      <c r="BO13" s="115" t="str">
        <f t="shared" si="14"/>
        <v>0</v>
      </c>
      <c r="BP13" s="115" t="str">
        <f t="shared" si="15"/>
        <v>0</v>
      </c>
      <c r="BQ13" s="115" t="str">
        <f t="shared" si="16"/>
        <v>0</v>
      </c>
      <c r="BR13" s="115" t="str">
        <f t="shared" si="17"/>
        <v>0</v>
      </c>
      <c r="BS13" s="115"/>
      <c r="BT13" s="115">
        <f>2+1</f>
        <v>3</v>
      </c>
      <c r="BU13" s="115">
        <f t="shared" si="31"/>
        <v>2304</v>
      </c>
      <c r="BV13" s="115">
        <v>3147</v>
      </c>
      <c r="BW13" s="115"/>
      <c r="BX13" s="115">
        <f t="shared" ref="BX13:BX22" si="32">AP13</f>
        <v>6223.76</v>
      </c>
      <c r="BY13" s="275">
        <v>2923.2000000000003</v>
      </c>
      <c r="BZ13" s="253">
        <v>615.4</v>
      </c>
      <c r="CA13" s="354">
        <f>619.2-3.8</f>
        <v>615.40000000000009</v>
      </c>
      <c r="CB13" s="354"/>
      <c r="CC13" s="354"/>
      <c r="CD13" s="354">
        <v>2304</v>
      </c>
      <c r="CE13" s="354"/>
      <c r="CF13" s="354">
        <v>3.8</v>
      </c>
      <c r="CG13" s="354"/>
      <c r="CH13" s="355"/>
      <c r="CI13" s="356">
        <f t="shared" si="1"/>
        <v>2923.2000000000003</v>
      </c>
      <c r="CJ13" s="356">
        <f t="shared" si="0"/>
        <v>615.40000000000009</v>
      </c>
      <c r="CK13" s="357">
        <v>2304</v>
      </c>
      <c r="CL13" s="358">
        <f t="shared" si="2"/>
        <v>5227.2000000000007</v>
      </c>
      <c r="CM13" s="205">
        <v>4014</v>
      </c>
      <c r="CN13" s="282">
        <f t="shared" si="18"/>
        <v>1509</v>
      </c>
      <c r="CO13" s="209" t="str">
        <f t="shared" si="19"/>
        <v>0</v>
      </c>
      <c r="CP13" s="235">
        <f t="shared" si="20"/>
        <v>0</v>
      </c>
      <c r="CQ13" s="209">
        <f t="shared" si="21"/>
        <v>1</v>
      </c>
      <c r="CR13" s="235">
        <f t="shared" si="22"/>
        <v>5757</v>
      </c>
      <c r="CS13" s="235">
        <f t="shared" si="23"/>
        <v>1</v>
      </c>
      <c r="CT13" s="235">
        <f t="shared" si="23"/>
        <v>5757</v>
      </c>
      <c r="CU13" s="156">
        <v>66</v>
      </c>
      <c r="CV13" s="284" t="str">
        <f t="shared" si="24"/>
        <v>0</v>
      </c>
      <c r="CW13" s="284" t="str">
        <f t="shared" si="25"/>
        <v>0</v>
      </c>
      <c r="CX13" s="243">
        <f t="shared" si="26"/>
        <v>28.182600272315288</v>
      </c>
      <c r="CY13" s="216" t="str">
        <f t="shared" si="27"/>
        <v>0</v>
      </c>
      <c r="CZ13" s="216" t="str">
        <f t="shared" si="28"/>
        <v>0</v>
      </c>
      <c r="DA13" s="243">
        <f t="shared" si="29"/>
        <v>30.653207886730776</v>
      </c>
      <c r="DB13" s="306">
        <v>1</v>
      </c>
      <c r="DC13" s="306">
        <v>0</v>
      </c>
      <c r="DD13" s="306">
        <v>0</v>
      </c>
      <c r="DE13" s="306">
        <v>0</v>
      </c>
      <c r="DF13" s="306">
        <v>1</v>
      </c>
      <c r="DG13" s="306">
        <v>0</v>
      </c>
      <c r="DH13" s="306">
        <v>0</v>
      </c>
      <c r="DI13" s="306">
        <v>0</v>
      </c>
      <c r="DJ13" s="306">
        <v>0</v>
      </c>
      <c r="DK13" s="306">
        <v>80</v>
      </c>
      <c r="DL13" s="306">
        <f t="shared" si="30"/>
        <v>63</v>
      </c>
      <c r="DM13" s="306">
        <v>17</v>
      </c>
      <c r="DN13" s="306">
        <v>42</v>
      </c>
      <c r="DO13" s="306">
        <v>15</v>
      </c>
      <c r="DP13" s="306">
        <v>74</v>
      </c>
      <c r="DQ13" s="306">
        <v>20</v>
      </c>
      <c r="DR13" s="306">
        <v>16</v>
      </c>
      <c r="DS13" s="306">
        <v>59</v>
      </c>
      <c r="DT13" s="306">
        <v>35</v>
      </c>
      <c r="DU13" s="306">
        <v>10</v>
      </c>
      <c r="DV13" s="306">
        <v>10</v>
      </c>
      <c r="DW13" s="306">
        <v>1</v>
      </c>
      <c r="DX13" s="306">
        <v>10</v>
      </c>
      <c r="DY13" s="306">
        <v>11</v>
      </c>
      <c r="DZ13" s="306">
        <v>0</v>
      </c>
      <c r="EA13" s="306">
        <v>11</v>
      </c>
      <c r="EB13" s="306">
        <v>80</v>
      </c>
      <c r="EC13" s="306">
        <f>80-8</f>
        <v>72</v>
      </c>
      <c r="ED13" s="342"/>
      <c r="EE13" s="342"/>
    </row>
    <row r="14" spans="1:135" x14ac:dyDescent="0.2">
      <c r="A14" s="359" t="s">
        <v>203</v>
      </c>
      <c r="B14" s="169">
        <v>13</v>
      </c>
      <c r="C14" s="12" t="s">
        <v>208</v>
      </c>
      <c r="D14" s="200">
        <v>1948</v>
      </c>
      <c r="E14" s="11"/>
      <c r="F14" s="169" t="s">
        <v>207</v>
      </c>
      <c r="G14" s="35">
        <v>1</v>
      </c>
      <c r="H14" s="201">
        <v>5</v>
      </c>
      <c r="I14" s="201" t="s">
        <v>19</v>
      </c>
      <c r="J14" s="115">
        <v>34759</v>
      </c>
      <c r="K14" s="115">
        <v>1895</v>
      </c>
      <c r="L14" s="157">
        <v>2269</v>
      </c>
      <c r="M14" s="115"/>
      <c r="N14" s="115">
        <f>84+1+1+1</f>
        <v>87</v>
      </c>
      <c r="O14" s="115">
        <f>194</f>
        <v>194</v>
      </c>
      <c r="P14" s="115">
        <v>87</v>
      </c>
      <c r="Q14" s="115">
        <v>128</v>
      </c>
      <c r="R14" s="228">
        <f>5895.8+75.5+98.2+57</f>
        <v>6126.5</v>
      </c>
      <c r="S14" s="230">
        <f>3615.9+49.8+72</f>
        <v>3737.7000000000003</v>
      </c>
      <c r="T14" s="115">
        <f>N14-W14-Z14</f>
        <v>69</v>
      </c>
      <c r="U14" s="203">
        <f t="shared" ref="U14:V16" si="33">R14-X14-AA14</f>
        <v>4882.7</v>
      </c>
      <c r="V14" s="180">
        <f t="shared" si="33"/>
        <v>2966.5400000000004</v>
      </c>
      <c r="W14" s="115">
        <v>18</v>
      </c>
      <c r="X14" s="207">
        <v>1243.8</v>
      </c>
      <c r="Y14" s="207">
        <v>771.16</v>
      </c>
      <c r="Z14" s="204"/>
      <c r="AA14" s="207"/>
      <c r="AB14" s="207"/>
      <c r="AC14" s="207">
        <f>AD14+AG14+AH14</f>
        <v>1391.8999999999999</v>
      </c>
      <c r="AD14" s="248">
        <f>AE14+AF14</f>
        <v>1391.8999999999999</v>
      </c>
      <c r="AE14" s="275"/>
      <c r="AF14" s="275">
        <f>1362.1+29.8</f>
        <v>1391.8999999999999</v>
      </c>
      <c r="AG14" s="207">
        <f>173.7-75.5-98.2</f>
        <v>0</v>
      </c>
      <c r="AH14" s="207"/>
      <c r="AI14" s="207">
        <f>R14+AC14</f>
        <v>7518.4</v>
      </c>
      <c r="AJ14" s="170"/>
      <c r="AK14" s="170">
        <v>0</v>
      </c>
      <c r="AL14" s="170">
        <v>5</v>
      </c>
      <c r="AM14" s="170"/>
      <c r="AN14" s="170"/>
      <c r="AO14" s="170">
        <v>1</v>
      </c>
      <c r="AP14" s="170">
        <v>5228</v>
      </c>
      <c r="AQ14" s="170">
        <v>296.375</v>
      </c>
      <c r="AR14" s="170">
        <v>333</v>
      </c>
      <c r="AS14" s="170">
        <v>498</v>
      </c>
      <c r="AT14" s="170">
        <v>75</v>
      </c>
      <c r="AU14" s="170">
        <f>AV14+AW14</f>
        <v>4250</v>
      </c>
      <c r="AV14" s="170"/>
      <c r="AW14" s="170">
        <v>4250</v>
      </c>
      <c r="AX14" s="170">
        <v>0</v>
      </c>
      <c r="AY14" s="170">
        <v>166</v>
      </c>
      <c r="AZ14" s="170">
        <v>2231</v>
      </c>
      <c r="BA14" s="170">
        <v>2231</v>
      </c>
      <c r="BB14" s="170">
        <v>20</v>
      </c>
      <c r="BC14" s="170">
        <v>10</v>
      </c>
      <c r="BD14" s="170">
        <v>290</v>
      </c>
      <c r="BE14" s="170">
        <v>150</v>
      </c>
      <c r="BF14" s="170">
        <v>1</v>
      </c>
      <c r="BG14" s="170">
        <v>4868</v>
      </c>
      <c r="BH14" s="170">
        <v>190</v>
      </c>
      <c r="BI14" s="170">
        <v>0</v>
      </c>
      <c r="BJ14" s="115">
        <f>IF((I14="кир"),G14,"0")</f>
        <v>1</v>
      </c>
      <c r="BK14" s="115">
        <f>IF((I14="кир"),R14,"0")</f>
        <v>6126.5</v>
      </c>
      <c r="BL14" s="115">
        <f>IF((I14="кир"),S14,"0")</f>
        <v>3737.7000000000003</v>
      </c>
      <c r="BM14" s="115" t="str">
        <f>IF((I14="пан"),G14,"0")</f>
        <v>0</v>
      </c>
      <c r="BN14" s="115" t="str">
        <f>IF((I14="пан"),R14,"0")</f>
        <v>0</v>
      </c>
      <c r="BO14" s="115" t="str">
        <f>IF((I14="пан"),S14,"0")</f>
        <v>0</v>
      </c>
      <c r="BP14" s="115" t="str">
        <f>IF((I14="смеш"),G14,"0")</f>
        <v>0</v>
      </c>
      <c r="BQ14" s="115" t="str">
        <f>IF((I14="смеш"),R14,"0")</f>
        <v>0</v>
      </c>
      <c r="BR14" s="115" t="str">
        <f>IF((I14="смеш"),S14,"0")</f>
        <v>0</v>
      </c>
      <c r="BS14" s="209"/>
      <c r="BT14" s="209">
        <v>3</v>
      </c>
      <c r="BU14" s="115">
        <f>BA14</f>
        <v>2231</v>
      </c>
      <c r="BV14" s="209">
        <v>2811</v>
      </c>
      <c r="BW14" s="115"/>
      <c r="BX14" s="115">
        <f>AP14</f>
        <v>5228</v>
      </c>
      <c r="BY14" s="275">
        <v>2654.7</v>
      </c>
      <c r="BZ14" s="253">
        <v>758.9</v>
      </c>
      <c r="CA14" s="360">
        <f>767-8.1</f>
        <v>758.9</v>
      </c>
      <c r="CB14" s="354"/>
      <c r="CC14" s="354"/>
      <c r="CD14" s="360">
        <f>873.6+1001.8</f>
        <v>1875.4</v>
      </c>
      <c r="CE14" s="354">
        <v>12.3</v>
      </c>
      <c r="CF14" s="354">
        <v>8.1</v>
      </c>
      <c r="CG14" s="354"/>
      <c r="CH14" s="355"/>
      <c r="CI14" s="356">
        <f t="shared" si="1"/>
        <v>2654.7000000000003</v>
      </c>
      <c r="CJ14" s="356">
        <f t="shared" si="0"/>
        <v>758.9</v>
      </c>
      <c r="CK14" s="357">
        <v>2231</v>
      </c>
      <c r="CL14" s="358">
        <f>CK14+CI14</f>
        <v>4885.7000000000007</v>
      </c>
      <c r="CM14" s="205">
        <v>3440</v>
      </c>
      <c r="CN14" s="282">
        <f>CM14-K14</f>
        <v>1545</v>
      </c>
      <c r="CO14" s="209" t="str">
        <f>IF(CP14&gt;0,G14,"0")</f>
        <v>0</v>
      </c>
      <c r="CP14" s="235">
        <f>AV14</f>
        <v>0</v>
      </c>
      <c r="CQ14" s="209">
        <f>IF(CR14&gt;0,G14,"0")</f>
        <v>1</v>
      </c>
      <c r="CR14" s="235">
        <f>AW14</f>
        <v>4250</v>
      </c>
      <c r="CS14" s="235">
        <f t="shared" ref="CS14:CT16" si="34">CO14+CQ14</f>
        <v>1</v>
      </c>
      <c r="CT14" s="235">
        <f t="shared" si="34"/>
        <v>4250</v>
      </c>
      <c r="CU14" s="156">
        <v>48</v>
      </c>
      <c r="CV14" s="284" t="str">
        <f>IF((X14/R14*100&gt;=50), G14, "0")</f>
        <v>0</v>
      </c>
      <c r="CW14" s="284" t="str">
        <f>IF((X14/R14*100&gt;=50), R14, "0")</f>
        <v>0</v>
      </c>
      <c r="CX14" s="243">
        <f>X14/R14*100</f>
        <v>20.301966865257487</v>
      </c>
      <c r="CY14" s="216" t="str">
        <f>IF(((X14+AD14)/AI14*100&gt;=50), G14, "0")</f>
        <v>0</v>
      </c>
      <c r="CZ14" s="216" t="str">
        <f>IF(((X14+AD14)/AI14*100&gt;=50), AI14, "0")</f>
        <v>0</v>
      </c>
      <c r="DA14" s="243">
        <f>(X14+AD14)/AI14*100</f>
        <v>35.056660991700362</v>
      </c>
      <c r="DB14" s="306">
        <v>1</v>
      </c>
      <c r="DC14" s="306">
        <v>0</v>
      </c>
      <c r="DD14" s="306">
        <v>0</v>
      </c>
      <c r="DE14" s="306">
        <v>0</v>
      </c>
      <c r="DF14" s="306">
        <v>1</v>
      </c>
      <c r="DG14" s="306">
        <v>0</v>
      </c>
      <c r="DH14" s="306">
        <v>0</v>
      </c>
      <c r="DI14" s="306">
        <v>0</v>
      </c>
      <c r="DJ14" s="306">
        <v>0</v>
      </c>
      <c r="DK14" s="306">
        <v>86</v>
      </c>
      <c r="DL14" s="306">
        <f>DK14-DM14</f>
        <v>76</v>
      </c>
      <c r="DM14" s="306">
        <v>10</v>
      </c>
      <c r="DN14" s="306">
        <v>52</v>
      </c>
      <c r="DO14" s="306">
        <v>25</v>
      </c>
      <c r="DP14" s="306">
        <v>59</v>
      </c>
      <c r="DQ14" s="306">
        <v>38</v>
      </c>
      <c r="DR14" s="306">
        <v>27</v>
      </c>
      <c r="DS14" s="306">
        <v>55</v>
      </c>
      <c r="DT14" s="306">
        <v>44</v>
      </c>
      <c r="DU14" s="306">
        <v>2</v>
      </c>
      <c r="DV14" s="306">
        <v>2</v>
      </c>
      <c r="DW14" s="306">
        <v>7</v>
      </c>
      <c r="DX14" s="306">
        <v>4</v>
      </c>
      <c r="DY14" s="306">
        <v>2</v>
      </c>
      <c r="DZ14" s="306">
        <v>6</v>
      </c>
      <c r="EA14" s="306">
        <v>5</v>
      </c>
      <c r="EB14" s="306">
        <v>86</v>
      </c>
      <c r="EC14" s="306">
        <f>86-3</f>
        <v>83</v>
      </c>
      <c r="ED14" s="342"/>
      <c r="EE14" s="342"/>
    </row>
    <row r="15" spans="1:135" x14ac:dyDescent="0.2">
      <c r="A15" s="149" t="s">
        <v>197</v>
      </c>
      <c r="B15" s="169">
        <v>19</v>
      </c>
      <c r="C15" s="12" t="s">
        <v>209</v>
      </c>
      <c r="D15" s="200">
        <v>1986</v>
      </c>
      <c r="E15" s="11"/>
      <c r="F15" s="206" t="s">
        <v>24</v>
      </c>
      <c r="G15" s="35">
        <v>1</v>
      </c>
      <c r="H15" s="201">
        <v>9</v>
      </c>
      <c r="I15" s="201" t="s">
        <v>22</v>
      </c>
      <c r="J15" s="115">
        <v>19807</v>
      </c>
      <c r="K15" s="115">
        <v>761</v>
      </c>
      <c r="L15" s="157"/>
      <c r="M15" s="115">
        <v>733</v>
      </c>
      <c r="N15" s="115">
        <v>69</v>
      </c>
      <c r="O15" s="115">
        <v>191</v>
      </c>
      <c r="P15" s="115">
        <v>69</v>
      </c>
      <c r="Q15" s="115">
        <v>149</v>
      </c>
      <c r="R15" s="228">
        <v>4475.1000000000004</v>
      </c>
      <c r="S15" s="230">
        <v>2788.5</v>
      </c>
      <c r="T15" s="115">
        <f>N15-W15-Z15</f>
        <v>64</v>
      </c>
      <c r="U15" s="203">
        <f t="shared" si="33"/>
        <v>4172.9000000000005</v>
      </c>
      <c r="V15" s="180">
        <f t="shared" si="33"/>
        <v>2598.11</v>
      </c>
      <c r="W15" s="115">
        <v>5</v>
      </c>
      <c r="X15" s="207">
        <v>302.2</v>
      </c>
      <c r="Y15" s="207">
        <v>190.39</v>
      </c>
      <c r="Z15" s="204"/>
      <c r="AA15" s="207"/>
      <c r="AB15" s="207"/>
      <c r="AC15" s="207">
        <f>AD15+AG15+AH15</f>
        <v>100.7</v>
      </c>
      <c r="AD15" s="248">
        <f>AE15+AF15</f>
        <v>0</v>
      </c>
      <c r="AE15" s="275"/>
      <c r="AF15" s="275"/>
      <c r="AG15" s="207">
        <v>100.7</v>
      </c>
      <c r="AH15" s="207"/>
      <c r="AI15" s="207">
        <f>R15+AC15</f>
        <v>4575.8</v>
      </c>
      <c r="AJ15" s="170"/>
      <c r="AK15" s="170">
        <v>2</v>
      </c>
      <c r="AL15" s="170">
        <v>2</v>
      </c>
      <c r="AM15" s="170">
        <v>2</v>
      </c>
      <c r="AN15" s="170"/>
      <c r="AO15" s="170">
        <v>2</v>
      </c>
      <c r="AP15" s="170">
        <v>3800</v>
      </c>
      <c r="AQ15" s="170">
        <v>314.75</v>
      </c>
      <c r="AR15" s="170">
        <v>396</v>
      </c>
      <c r="AS15" s="170">
        <v>240</v>
      </c>
      <c r="AT15" s="170">
        <v>150</v>
      </c>
      <c r="AU15" s="170">
        <f>AV15+AW15</f>
        <v>8280</v>
      </c>
      <c r="AV15" s="170"/>
      <c r="AW15" s="170">
        <v>8280</v>
      </c>
      <c r="AX15" s="170">
        <v>1752</v>
      </c>
      <c r="AY15" s="170">
        <v>220</v>
      </c>
      <c r="AZ15" s="170">
        <v>654</v>
      </c>
      <c r="BA15" s="170">
        <v>654</v>
      </c>
      <c r="BB15" s="170">
        <v>36</v>
      </c>
      <c r="BC15" s="170">
        <v>42</v>
      </c>
      <c r="BD15" s="170">
        <v>232</v>
      </c>
      <c r="BE15" s="170">
        <v>424</v>
      </c>
      <c r="BF15" s="170">
        <v>1</v>
      </c>
      <c r="BG15" s="170">
        <v>7600</v>
      </c>
      <c r="BH15" s="170">
        <v>3270</v>
      </c>
      <c r="BI15" s="170">
        <v>90</v>
      </c>
      <c r="BJ15" s="115" t="str">
        <f>IF((I15="кир"),G15,"0")</f>
        <v>0</v>
      </c>
      <c r="BK15" s="115" t="str">
        <f>IF((I15="кир"),R15,"0")</f>
        <v>0</v>
      </c>
      <c r="BL15" s="115" t="str">
        <f>IF((I15="кир"),S15,"0")</f>
        <v>0</v>
      </c>
      <c r="BM15" s="115">
        <f>IF((I15="пан"),G15,"0")</f>
        <v>1</v>
      </c>
      <c r="BN15" s="115">
        <f>IF((I15="пан"),R15,"0")</f>
        <v>4475.1000000000004</v>
      </c>
      <c r="BO15" s="115">
        <f>IF((I15="пан"),S15,"0")</f>
        <v>2788.5</v>
      </c>
      <c r="BP15" s="115" t="str">
        <f>IF((I15="смеш"),G15,"0")</f>
        <v>0</v>
      </c>
      <c r="BQ15" s="115" t="str">
        <f>IF((I15="смеш"),R15,"0")</f>
        <v>0</v>
      </c>
      <c r="BR15" s="115" t="str">
        <f>IF((I15="смеш"),S15,"0")</f>
        <v>0</v>
      </c>
      <c r="BS15" s="209"/>
      <c r="BT15" s="209">
        <v>2</v>
      </c>
      <c r="BU15" s="115"/>
      <c r="BV15" s="209"/>
      <c r="BW15" s="115">
        <v>5</v>
      </c>
      <c r="BX15" s="115"/>
      <c r="BY15" s="275">
        <v>1537.14</v>
      </c>
      <c r="BZ15" s="253">
        <v>769.2</v>
      </c>
      <c r="CA15" s="354">
        <f>303.6+465.6</f>
        <v>769.2</v>
      </c>
      <c r="CB15" s="354">
        <f>2.9*2+32.4</f>
        <v>38.199999999999996</v>
      </c>
      <c r="CC15" s="354"/>
      <c r="CD15" s="354">
        <v>720.24</v>
      </c>
      <c r="CE15" s="354"/>
      <c r="CF15" s="354"/>
      <c r="CG15" s="354">
        <v>9.5</v>
      </c>
      <c r="CH15" s="355"/>
      <c r="CI15" s="356">
        <f t="shared" si="1"/>
        <v>1537.14</v>
      </c>
      <c r="CJ15" s="356">
        <f t="shared" si="0"/>
        <v>769.2</v>
      </c>
      <c r="CK15" s="357">
        <v>654</v>
      </c>
      <c r="CL15" s="358">
        <f t="shared" si="2"/>
        <v>2191.1400000000003</v>
      </c>
      <c r="CM15" s="205">
        <v>2645</v>
      </c>
      <c r="CN15" s="282">
        <f>CM15-K15</f>
        <v>1884</v>
      </c>
      <c r="CO15" s="209" t="str">
        <f>IF(CP15&gt;0,G15,"0")</f>
        <v>0</v>
      </c>
      <c r="CP15" s="235">
        <f>AV15</f>
        <v>0</v>
      </c>
      <c r="CQ15" s="209">
        <f>IF(CR15&gt;0,G15,"0")</f>
        <v>1</v>
      </c>
      <c r="CR15" s="235">
        <f>AW15</f>
        <v>8280</v>
      </c>
      <c r="CS15" s="235">
        <f t="shared" si="34"/>
        <v>1</v>
      </c>
      <c r="CT15" s="235">
        <f t="shared" si="34"/>
        <v>8280</v>
      </c>
      <c r="CU15" s="156">
        <v>51</v>
      </c>
      <c r="CV15" s="284" t="str">
        <f>IF((X15/R15*100&gt;=50), G15, "0")</f>
        <v>0</v>
      </c>
      <c r="CW15" s="284" t="str">
        <f>IF((X15/R15*100&gt;=50), R15, "0")</f>
        <v>0</v>
      </c>
      <c r="CX15" s="243">
        <f>X15/R15*100</f>
        <v>6.7529217224196092</v>
      </c>
      <c r="CY15" s="216" t="str">
        <f>IF(((X15+AD15)/AI15*100&gt;=50), G15, "0")</f>
        <v>0</v>
      </c>
      <c r="CZ15" s="216" t="str">
        <f>IF(((X15+AD15)/AI15*100&gt;=50), AI15, "0")</f>
        <v>0</v>
      </c>
      <c r="DA15" s="243">
        <f>(X15+AD15)/AI15*100</f>
        <v>6.6043096289173473</v>
      </c>
      <c r="DB15" s="306">
        <v>1</v>
      </c>
      <c r="DC15" s="306">
        <v>0</v>
      </c>
      <c r="DD15" s="306">
        <v>0</v>
      </c>
      <c r="DE15" s="306">
        <v>0</v>
      </c>
      <c r="DF15" s="306">
        <v>2</v>
      </c>
      <c r="DG15" s="306">
        <v>0</v>
      </c>
      <c r="DH15" s="306">
        <v>0</v>
      </c>
      <c r="DI15" s="306">
        <v>0</v>
      </c>
      <c r="DJ15" s="306">
        <v>0</v>
      </c>
      <c r="DK15" s="306">
        <v>69</v>
      </c>
      <c r="DL15" s="306">
        <f>DK15-DM15</f>
        <v>65</v>
      </c>
      <c r="DM15" s="306">
        <v>4</v>
      </c>
      <c r="DN15" s="306">
        <v>49</v>
      </c>
      <c r="DO15" s="306">
        <v>41</v>
      </c>
      <c r="DP15" s="306">
        <v>37</v>
      </c>
      <c r="DQ15" s="306">
        <v>50</v>
      </c>
      <c r="DR15" s="306">
        <v>46</v>
      </c>
      <c r="DS15" s="306">
        <v>32</v>
      </c>
      <c r="DT15" s="306">
        <v>55</v>
      </c>
      <c r="DU15" s="306">
        <v>2</v>
      </c>
      <c r="DV15" s="306">
        <v>0</v>
      </c>
      <c r="DW15" s="306">
        <v>5</v>
      </c>
      <c r="DX15" s="306">
        <v>0</v>
      </c>
      <c r="DY15" s="306">
        <v>1</v>
      </c>
      <c r="DZ15" s="306">
        <v>3</v>
      </c>
      <c r="EA15" s="306">
        <v>2</v>
      </c>
      <c r="EB15" s="306">
        <v>69</v>
      </c>
      <c r="EC15" s="306">
        <v>69</v>
      </c>
      <c r="ED15" s="342"/>
      <c r="EE15" s="342"/>
    </row>
    <row r="16" spans="1:135" x14ac:dyDescent="0.2">
      <c r="A16" s="359" t="s">
        <v>203</v>
      </c>
      <c r="B16" s="169">
        <v>20</v>
      </c>
      <c r="C16" s="12" t="s">
        <v>210</v>
      </c>
      <c r="D16" s="200">
        <v>1992</v>
      </c>
      <c r="E16" s="11"/>
      <c r="F16" s="206" t="s">
        <v>24</v>
      </c>
      <c r="G16" s="35">
        <v>1</v>
      </c>
      <c r="H16" s="201">
        <v>9</v>
      </c>
      <c r="I16" s="201" t="s">
        <v>22</v>
      </c>
      <c r="J16" s="115">
        <v>19293</v>
      </c>
      <c r="K16" s="115">
        <v>1043</v>
      </c>
      <c r="L16" s="157"/>
      <c r="M16" s="115">
        <v>711</v>
      </c>
      <c r="N16" s="115">
        <v>64</v>
      </c>
      <c r="O16" s="115">
        <v>168</v>
      </c>
      <c r="P16" s="115">
        <v>64</v>
      </c>
      <c r="Q16" s="115">
        <v>165</v>
      </c>
      <c r="R16" s="228">
        <v>4076.8</v>
      </c>
      <c r="S16" s="230">
        <v>2494.1</v>
      </c>
      <c r="T16" s="115">
        <f>N16-W16-Z16</f>
        <v>61</v>
      </c>
      <c r="U16" s="203">
        <f t="shared" si="33"/>
        <v>3877.5</v>
      </c>
      <c r="V16" s="180">
        <f t="shared" si="33"/>
        <v>2374.52</v>
      </c>
      <c r="W16" s="115">
        <v>3</v>
      </c>
      <c r="X16" s="207">
        <v>199.3</v>
      </c>
      <c r="Y16" s="207">
        <v>119.58</v>
      </c>
      <c r="Z16" s="204"/>
      <c r="AA16" s="207"/>
      <c r="AB16" s="207"/>
      <c r="AC16" s="207">
        <f>AD16+AG16+AH16</f>
        <v>461.8</v>
      </c>
      <c r="AD16" s="248">
        <f>AE16+AF16</f>
        <v>0</v>
      </c>
      <c r="AE16" s="275"/>
      <c r="AF16" s="248"/>
      <c r="AG16" s="207"/>
      <c r="AH16" s="207">
        <v>461.8</v>
      </c>
      <c r="AI16" s="207">
        <f>R16+AC16</f>
        <v>4538.6000000000004</v>
      </c>
      <c r="AJ16" s="170"/>
      <c r="AK16" s="170">
        <v>2</v>
      </c>
      <c r="AL16" s="170">
        <v>2</v>
      </c>
      <c r="AM16" s="170">
        <v>2</v>
      </c>
      <c r="AN16" s="170"/>
      <c r="AO16" s="170">
        <v>2</v>
      </c>
      <c r="AP16" s="170">
        <v>3800</v>
      </c>
      <c r="AQ16" s="170">
        <v>884.375</v>
      </c>
      <c r="AR16" s="170">
        <v>405</v>
      </c>
      <c r="AS16" s="170">
        <v>264</v>
      </c>
      <c r="AT16" s="170">
        <v>150</v>
      </c>
      <c r="AU16" s="170">
        <f>AV16+AW16</f>
        <v>8280</v>
      </c>
      <c r="AV16" s="170"/>
      <c r="AW16" s="170">
        <v>8280</v>
      </c>
      <c r="AX16" s="170">
        <v>1752</v>
      </c>
      <c r="AY16" s="170">
        <v>329</v>
      </c>
      <c r="AZ16" s="170">
        <v>709</v>
      </c>
      <c r="BA16" s="170">
        <v>709</v>
      </c>
      <c r="BB16" s="170">
        <v>36</v>
      </c>
      <c r="BC16" s="170">
        <v>42</v>
      </c>
      <c r="BD16" s="170">
        <v>232</v>
      </c>
      <c r="BE16" s="170">
        <v>424</v>
      </c>
      <c r="BF16" s="170">
        <v>1</v>
      </c>
      <c r="BG16" s="170">
        <v>7600</v>
      </c>
      <c r="BH16" s="170">
        <v>3270</v>
      </c>
      <c r="BI16" s="170">
        <v>90</v>
      </c>
      <c r="BJ16" s="115" t="str">
        <f>IF((I16="кир"),G16,"0")</f>
        <v>0</v>
      </c>
      <c r="BK16" s="115" t="str">
        <f>IF((I16="кир"),R16,"0")</f>
        <v>0</v>
      </c>
      <c r="BL16" s="115" t="str">
        <f>IF((I16="кир"),S16,"0")</f>
        <v>0</v>
      </c>
      <c r="BM16" s="115">
        <f>IF((I16="пан"),G16,"0")</f>
        <v>1</v>
      </c>
      <c r="BN16" s="115">
        <f>IF((I16="пан"),R16,"0")</f>
        <v>4076.8</v>
      </c>
      <c r="BO16" s="115">
        <f>IF((I16="пан"),S16,"0")</f>
        <v>2494.1</v>
      </c>
      <c r="BP16" s="115" t="str">
        <f>IF((I16="смеш"),G16,"0")</f>
        <v>0</v>
      </c>
      <c r="BQ16" s="115" t="str">
        <f>IF((I16="смеш"),R16,"0")</f>
        <v>0</v>
      </c>
      <c r="BR16" s="115" t="str">
        <f>IF((I16="смеш"),S16,"0")</f>
        <v>0</v>
      </c>
      <c r="BS16" s="115"/>
      <c r="BT16" s="115">
        <v>2</v>
      </c>
      <c r="BU16" s="115"/>
      <c r="BV16" s="115"/>
      <c r="BW16" s="115"/>
      <c r="BX16" s="115"/>
      <c r="BY16" s="275">
        <v>1416.3999999999999</v>
      </c>
      <c r="BZ16" s="253">
        <v>761.3</v>
      </c>
      <c r="CA16" s="354">
        <f>327-2.7-1.8+434.3</f>
        <v>756.8</v>
      </c>
      <c r="CB16" s="354">
        <f>6.8+16.6</f>
        <v>23.400000000000002</v>
      </c>
      <c r="CC16" s="354">
        <f>2.7+1.8</f>
        <v>4.5</v>
      </c>
      <c r="CD16" s="354">
        <v>588.4</v>
      </c>
      <c r="CE16" s="354">
        <f>9.7+1.8+12</f>
        <v>23.5</v>
      </c>
      <c r="CF16" s="354"/>
      <c r="CG16" s="354">
        <v>9.8000000000000007</v>
      </c>
      <c r="CH16" s="355">
        <v>10</v>
      </c>
      <c r="CI16" s="356">
        <f t="shared" si="1"/>
        <v>1416.3999999999999</v>
      </c>
      <c r="CJ16" s="356">
        <f t="shared" si="0"/>
        <v>761.3</v>
      </c>
      <c r="CK16" s="357">
        <v>709</v>
      </c>
      <c r="CL16" s="358">
        <f t="shared" si="2"/>
        <v>2125.3999999999996</v>
      </c>
      <c r="CM16" s="205">
        <v>2422</v>
      </c>
      <c r="CN16" s="282">
        <f>CM16-K16</f>
        <v>1379</v>
      </c>
      <c r="CO16" s="209" t="str">
        <f>IF(CP16&gt;0,G16,"0")</f>
        <v>0</v>
      </c>
      <c r="CP16" s="235">
        <f>AV16</f>
        <v>0</v>
      </c>
      <c r="CQ16" s="209">
        <f>IF(CR16&gt;0,G16,"0")</f>
        <v>1</v>
      </c>
      <c r="CR16" s="235">
        <f>AW16</f>
        <v>8280</v>
      </c>
      <c r="CS16" s="235">
        <f t="shared" si="34"/>
        <v>1</v>
      </c>
      <c r="CT16" s="235">
        <f t="shared" si="34"/>
        <v>8280</v>
      </c>
      <c r="CU16" s="156">
        <v>53</v>
      </c>
      <c r="CV16" s="284" t="str">
        <f>IF((X16/R16*100&gt;=50), G16, "0")</f>
        <v>0</v>
      </c>
      <c r="CW16" s="284" t="str">
        <f>IF((X16/R16*100&gt;=50), R16, "0")</f>
        <v>0</v>
      </c>
      <c r="CX16" s="243">
        <f>X16/R16*100</f>
        <v>4.8886381475667191</v>
      </c>
      <c r="CY16" s="216" t="str">
        <f>IF(((X16+AD16)/AI16*100&gt;=50), G16, "0")</f>
        <v>0</v>
      </c>
      <c r="CZ16" s="216" t="str">
        <f>IF(((X16+AD16)/AI16*100&gt;=50), AI16, "0")</f>
        <v>0</v>
      </c>
      <c r="DA16" s="243">
        <f>(X16+AD16)/AI16*100</f>
        <v>4.391221962719781</v>
      </c>
      <c r="DB16" s="306">
        <v>1</v>
      </c>
      <c r="DC16" s="306">
        <v>0</v>
      </c>
      <c r="DD16" s="306">
        <v>0</v>
      </c>
      <c r="DE16" s="306">
        <v>0</v>
      </c>
      <c r="DF16" s="306">
        <v>2</v>
      </c>
      <c r="DG16" s="306">
        <v>0</v>
      </c>
      <c r="DH16" s="306">
        <v>0</v>
      </c>
      <c r="DI16" s="306">
        <v>0</v>
      </c>
      <c r="DJ16" s="306">
        <v>0</v>
      </c>
      <c r="DK16" s="306">
        <v>64</v>
      </c>
      <c r="DL16" s="306">
        <f>DK16-DM16</f>
        <v>59</v>
      </c>
      <c r="DM16" s="306">
        <v>5</v>
      </c>
      <c r="DN16" s="306">
        <v>43</v>
      </c>
      <c r="DO16" s="306">
        <v>27</v>
      </c>
      <c r="DP16" s="306">
        <v>47</v>
      </c>
      <c r="DQ16" s="306">
        <v>40</v>
      </c>
      <c r="DR16" s="306">
        <v>37</v>
      </c>
      <c r="DS16" s="306">
        <v>35</v>
      </c>
      <c r="DT16" s="306">
        <v>52</v>
      </c>
      <c r="DU16" s="306">
        <v>1</v>
      </c>
      <c r="DV16" s="306">
        <v>1</v>
      </c>
      <c r="DW16" s="306">
        <v>7</v>
      </c>
      <c r="DX16" s="306">
        <v>1</v>
      </c>
      <c r="DY16" s="306">
        <v>1</v>
      </c>
      <c r="DZ16" s="306">
        <v>7</v>
      </c>
      <c r="EA16" s="306">
        <v>1</v>
      </c>
      <c r="EB16" s="306">
        <v>64</v>
      </c>
      <c r="EC16" s="306">
        <v>64</v>
      </c>
      <c r="ED16" s="342"/>
      <c r="EE16" s="342"/>
    </row>
    <row r="17" spans="1:135" x14ac:dyDescent="0.2">
      <c r="A17" s="149" t="s">
        <v>197</v>
      </c>
      <c r="B17" s="169">
        <v>8</v>
      </c>
      <c r="C17" s="12" t="s">
        <v>211</v>
      </c>
      <c r="D17" s="200">
        <v>1952</v>
      </c>
      <c r="E17" s="11"/>
      <c r="F17" s="169" t="s">
        <v>207</v>
      </c>
      <c r="G17" s="35">
        <v>1</v>
      </c>
      <c r="H17" s="201">
        <v>4</v>
      </c>
      <c r="I17" s="201" t="s">
        <v>19</v>
      </c>
      <c r="J17" s="115">
        <v>22532</v>
      </c>
      <c r="K17" s="115">
        <v>1728</v>
      </c>
      <c r="L17" s="157">
        <v>2043</v>
      </c>
      <c r="M17" s="115"/>
      <c r="N17" s="115">
        <v>77</v>
      </c>
      <c r="O17" s="115">
        <v>177</v>
      </c>
      <c r="P17" s="115">
        <v>77</v>
      </c>
      <c r="Q17" s="115">
        <v>149</v>
      </c>
      <c r="R17" s="228">
        <v>4864.8</v>
      </c>
      <c r="S17" s="230">
        <v>2830.4</v>
      </c>
      <c r="T17" s="115">
        <f t="shared" si="3"/>
        <v>69</v>
      </c>
      <c r="U17" s="203">
        <f t="shared" si="4"/>
        <v>4433.6000000000004</v>
      </c>
      <c r="V17" s="180">
        <f t="shared" si="4"/>
        <v>2563.06</v>
      </c>
      <c r="W17" s="115">
        <v>8</v>
      </c>
      <c r="X17" s="207">
        <v>431.2</v>
      </c>
      <c r="Y17" s="207">
        <v>267.33999999999997</v>
      </c>
      <c r="Z17" s="204"/>
      <c r="AA17" s="207"/>
      <c r="AB17" s="207"/>
      <c r="AC17" s="207">
        <f t="shared" si="5"/>
        <v>0</v>
      </c>
      <c r="AD17" s="248">
        <f t="shared" si="6"/>
        <v>0</v>
      </c>
      <c r="AE17" s="275"/>
      <c r="AF17" s="248"/>
      <c r="AG17" s="207"/>
      <c r="AH17" s="207"/>
      <c r="AI17" s="207">
        <f t="shared" si="7"/>
        <v>4864.8</v>
      </c>
      <c r="AJ17" s="170"/>
      <c r="AK17" s="170"/>
      <c r="AL17" s="170">
        <v>4</v>
      </c>
      <c r="AM17" s="170"/>
      <c r="AN17" s="170"/>
      <c r="AO17" s="170">
        <v>1</v>
      </c>
      <c r="AP17" s="170">
        <v>3209</v>
      </c>
      <c r="AQ17" s="170"/>
      <c r="AR17" s="170">
        <v>585</v>
      </c>
      <c r="AS17" s="170">
        <v>474</v>
      </c>
      <c r="AT17" s="170">
        <v>60</v>
      </c>
      <c r="AU17" s="170">
        <f t="shared" si="8"/>
        <v>3592</v>
      </c>
      <c r="AV17" s="170"/>
      <c r="AW17" s="170">
        <v>3592</v>
      </c>
      <c r="AX17" s="170">
        <v>0</v>
      </c>
      <c r="AY17" s="170">
        <v>131</v>
      </c>
      <c r="AZ17" s="170">
        <v>1696</v>
      </c>
      <c r="BA17" s="170">
        <v>1696</v>
      </c>
      <c r="BB17" s="170">
        <v>12</v>
      </c>
      <c r="BC17" s="170">
        <v>8</v>
      </c>
      <c r="BD17" s="170">
        <v>280</v>
      </c>
      <c r="BE17" s="170">
        <v>400</v>
      </c>
      <c r="BF17" s="170">
        <v>1</v>
      </c>
      <c r="BG17" s="170">
        <v>2616</v>
      </c>
      <c r="BH17" s="170">
        <v>76</v>
      </c>
      <c r="BI17" s="170">
        <v>0</v>
      </c>
      <c r="BJ17" s="115">
        <f t="shared" si="9"/>
        <v>1</v>
      </c>
      <c r="BK17" s="115">
        <f t="shared" si="10"/>
        <v>4864.8</v>
      </c>
      <c r="BL17" s="115">
        <f t="shared" si="11"/>
        <v>2830.4</v>
      </c>
      <c r="BM17" s="115" t="str">
        <f t="shared" si="12"/>
        <v>0</v>
      </c>
      <c r="BN17" s="115" t="str">
        <f t="shared" si="13"/>
        <v>0</v>
      </c>
      <c r="BO17" s="115" t="str">
        <f t="shared" si="14"/>
        <v>0</v>
      </c>
      <c r="BP17" s="115" t="str">
        <f t="shared" si="15"/>
        <v>0</v>
      </c>
      <c r="BQ17" s="115" t="str">
        <f t="shared" si="16"/>
        <v>0</v>
      </c>
      <c r="BR17" s="115" t="str">
        <f t="shared" si="17"/>
        <v>0</v>
      </c>
      <c r="BS17" s="115"/>
      <c r="BT17" s="115">
        <v>2</v>
      </c>
      <c r="BU17" s="115">
        <f t="shared" si="31"/>
        <v>1696</v>
      </c>
      <c r="BV17" s="115">
        <v>2818</v>
      </c>
      <c r="BW17" s="115"/>
      <c r="BX17" s="115">
        <f t="shared" si="32"/>
        <v>3209</v>
      </c>
      <c r="BY17" s="275">
        <v>2094.6</v>
      </c>
      <c r="BZ17" s="253">
        <v>360.4</v>
      </c>
      <c r="CA17" s="354">
        <v>360.4</v>
      </c>
      <c r="CB17" s="361"/>
      <c r="CC17" s="354"/>
      <c r="CD17" s="354">
        <v>1707</v>
      </c>
      <c r="CE17" s="354">
        <v>14.1</v>
      </c>
      <c r="CF17" s="354"/>
      <c r="CG17" s="354"/>
      <c r="CH17" s="355">
        <v>13.100000000000001</v>
      </c>
      <c r="CI17" s="356">
        <f t="shared" si="1"/>
        <v>2094.6</v>
      </c>
      <c r="CJ17" s="356">
        <f t="shared" si="0"/>
        <v>360.4</v>
      </c>
      <c r="CK17" s="357">
        <v>1696</v>
      </c>
      <c r="CL17" s="358">
        <f t="shared" si="2"/>
        <v>3790.6</v>
      </c>
      <c r="CM17" s="205">
        <v>3451</v>
      </c>
      <c r="CN17" s="282">
        <f t="shared" si="18"/>
        <v>1723</v>
      </c>
      <c r="CO17" s="209" t="str">
        <f t="shared" si="19"/>
        <v>0</v>
      </c>
      <c r="CP17" s="235">
        <f t="shared" si="20"/>
        <v>0</v>
      </c>
      <c r="CQ17" s="209">
        <f t="shared" si="21"/>
        <v>1</v>
      </c>
      <c r="CR17" s="235">
        <f t="shared" si="22"/>
        <v>3592</v>
      </c>
      <c r="CS17" s="235">
        <f t="shared" si="23"/>
        <v>1</v>
      </c>
      <c r="CT17" s="235">
        <f t="shared" si="23"/>
        <v>3592</v>
      </c>
      <c r="CU17" s="156">
        <v>30</v>
      </c>
      <c r="CV17" s="284" t="str">
        <f t="shared" si="24"/>
        <v>0</v>
      </c>
      <c r="CW17" s="284" t="str">
        <f t="shared" si="25"/>
        <v>0</v>
      </c>
      <c r="CX17" s="243">
        <f t="shared" si="26"/>
        <v>8.8636737378720607</v>
      </c>
      <c r="CY17" s="216" t="str">
        <f t="shared" si="27"/>
        <v>0</v>
      </c>
      <c r="CZ17" s="216" t="str">
        <f t="shared" si="28"/>
        <v>0</v>
      </c>
      <c r="DA17" s="243">
        <f t="shared" si="29"/>
        <v>8.8636737378720607</v>
      </c>
      <c r="DB17" s="306">
        <v>1</v>
      </c>
      <c r="DC17" s="306">
        <v>0</v>
      </c>
      <c r="DD17" s="306">
        <v>0</v>
      </c>
      <c r="DE17" s="306">
        <v>0</v>
      </c>
      <c r="DF17" s="306">
        <v>1</v>
      </c>
      <c r="DG17" s="306">
        <v>0</v>
      </c>
      <c r="DH17" s="306">
        <v>0</v>
      </c>
      <c r="DI17" s="306">
        <v>0</v>
      </c>
      <c r="DJ17" s="306">
        <v>0</v>
      </c>
      <c r="DK17" s="306">
        <v>77</v>
      </c>
      <c r="DL17" s="306">
        <f t="shared" si="30"/>
        <v>72</v>
      </c>
      <c r="DM17" s="306">
        <v>5</v>
      </c>
      <c r="DN17" s="306">
        <v>47</v>
      </c>
      <c r="DO17" s="306">
        <v>29</v>
      </c>
      <c r="DP17" s="306">
        <v>47</v>
      </c>
      <c r="DQ17" s="306">
        <v>39</v>
      </c>
      <c r="DR17" s="306">
        <v>31</v>
      </c>
      <c r="DS17" s="306">
        <v>45</v>
      </c>
      <c r="DT17" s="306">
        <v>41</v>
      </c>
      <c r="DU17" s="306">
        <v>0</v>
      </c>
      <c r="DV17" s="306">
        <v>1</v>
      </c>
      <c r="DW17" s="306">
        <v>6</v>
      </c>
      <c r="DX17" s="306">
        <v>1</v>
      </c>
      <c r="DY17" s="306">
        <v>1</v>
      </c>
      <c r="DZ17" s="306">
        <v>6</v>
      </c>
      <c r="EA17" s="306">
        <v>1</v>
      </c>
      <c r="EB17" s="306">
        <v>77</v>
      </c>
      <c r="EC17" s="306">
        <f>77</f>
        <v>77</v>
      </c>
      <c r="ED17" s="342"/>
      <c r="EE17" s="342"/>
    </row>
    <row r="18" spans="1:135" x14ac:dyDescent="0.2">
      <c r="A18" s="359" t="s">
        <v>203</v>
      </c>
      <c r="B18" s="169">
        <v>9</v>
      </c>
      <c r="C18" s="12" t="s">
        <v>212</v>
      </c>
      <c r="D18" s="200">
        <v>1951</v>
      </c>
      <c r="E18" s="11"/>
      <c r="F18" s="169" t="s">
        <v>207</v>
      </c>
      <c r="G18" s="35">
        <v>1</v>
      </c>
      <c r="H18" s="201">
        <v>4</v>
      </c>
      <c r="I18" s="201" t="s">
        <v>19</v>
      </c>
      <c r="J18" s="115">
        <v>17334</v>
      </c>
      <c r="K18" s="115">
        <v>1054</v>
      </c>
      <c r="L18" s="157">
        <v>1291</v>
      </c>
      <c r="M18" s="115"/>
      <c r="N18" s="115">
        <v>36</v>
      </c>
      <c r="O18" s="115">
        <v>83</v>
      </c>
      <c r="P18" s="115">
        <v>36</v>
      </c>
      <c r="Q18" s="115">
        <v>65</v>
      </c>
      <c r="R18" s="228">
        <v>2167</v>
      </c>
      <c r="S18" s="230">
        <v>1374.8</v>
      </c>
      <c r="T18" s="115">
        <f t="shared" si="3"/>
        <v>34</v>
      </c>
      <c r="U18" s="203">
        <f t="shared" si="4"/>
        <v>2058.7999999999997</v>
      </c>
      <c r="V18" s="180">
        <f t="shared" si="4"/>
        <v>1340.76</v>
      </c>
      <c r="W18" s="115">
        <v>1</v>
      </c>
      <c r="X18" s="207">
        <v>54.9</v>
      </c>
      <c r="Y18" s="207">
        <v>34.04</v>
      </c>
      <c r="Z18" s="115">
        <v>1</v>
      </c>
      <c r="AA18" s="207">
        <v>53.3</v>
      </c>
      <c r="AB18" s="207"/>
      <c r="AC18" s="207">
        <f t="shared" si="5"/>
        <v>1443.8</v>
      </c>
      <c r="AD18" s="248">
        <f t="shared" si="6"/>
        <v>170.8</v>
      </c>
      <c r="AE18" s="275"/>
      <c r="AF18" s="248">
        <v>170.8</v>
      </c>
      <c r="AG18" s="207">
        <v>1273</v>
      </c>
      <c r="AH18" s="207"/>
      <c r="AI18" s="207">
        <f t="shared" si="7"/>
        <v>3610.8</v>
      </c>
      <c r="AJ18" s="170"/>
      <c r="AK18" s="170"/>
      <c r="AL18" s="170">
        <v>3</v>
      </c>
      <c r="AM18" s="170"/>
      <c r="AN18" s="170"/>
      <c r="AO18" s="170">
        <v>1</v>
      </c>
      <c r="AP18" s="170">
        <v>1852</v>
      </c>
      <c r="AQ18" s="170"/>
      <c r="AR18" s="170">
        <v>325</v>
      </c>
      <c r="AS18" s="170">
        <v>478</v>
      </c>
      <c r="AT18" s="170">
        <v>45</v>
      </c>
      <c r="AU18" s="170">
        <f t="shared" si="8"/>
        <v>3069</v>
      </c>
      <c r="AV18" s="170"/>
      <c r="AW18" s="170">
        <v>3069</v>
      </c>
      <c r="AX18" s="170"/>
      <c r="AY18" s="170">
        <v>77</v>
      </c>
      <c r="AZ18" s="170">
        <v>990</v>
      </c>
      <c r="BA18" s="170">
        <v>990</v>
      </c>
      <c r="BB18" s="170">
        <v>9</v>
      </c>
      <c r="BC18" s="170">
        <v>6</v>
      </c>
      <c r="BD18" s="170">
        <v>117</v>
      </c>
      <c r="BE18" s="170">
        <v>225</v>
      </c>
      <c r="BF18" s="170"/>
      <c r="BG18" s="170">
        <v>4517</v>
      </c>
      <c r="BH18" s="170">
        <v>114</v>
      </c>
      <c r="BI18" s="170"/>
      <c r="BJ18" s="115">
        <f t="shared" si="9"/>
        <v>1</v>
      </c>
      <c r="BK18" s="115">
        <f t="shared" si="10"/>
        <v>2167</v>
      </c>
      <c r="BL18" s="115">
        <f t="shared" si="11"/>
        <v>1374.8</v>
      </c>
      <c r="BM18" s="115" t="str">
        <f t="shared" si="12"/>
        <v>0</v>
      </c>
      <c r="BN18" s="115" t="str">
        <f t="shared" si="13"/>
        <v>0</v>
      </c>
      <c r="BO18" s="115" t="str">
        <f t="shared" si="14"/>
        <v>0</v>
      </c>
      <c r="BP18" s="115" t="str">
        <f t="shared" si="15"/>
        <v>0</v>
      </c>
      <c r="BQ18" s="115" t="str">
        <f t="shared" si="16"/>
        <v>0</v>
      </c>
      <c r="BR18" s="115" t="str">
        <f t="shared" si="17"/>
        <v>0</v>
      </c>
      <c r="BS18" s="115"/>
      <c r="BT18" s="115">
        <v>2</v>
      </c>
      <c r="BU18" s="115">
        <f t="shared" si="31"/>
        <v>990</v>
      </c>
      <c r="BV18" s="115">
        <v>2026</v>
      </c>
      <c r="BW18" s="115"/>
      <c r="BX18" s="115">
        <f t="shared" si="32"/>
        <v>1852</v>
      </c>
      <c r="BY18" s="275">
        <v>1367</v>
      </c>
      <c r="BZ18" s="253">
        <v>338.4</v>
      </c>
      <c r="CA18" s="354">
        <v>338.4</v>
      </c>
      <c r="CB18" s="354"/>
      <c r="CC18" s="354"/>
      <c r="CD18" s="354">
        <v>1014.6</v>
      </c>
      <c r="CE18" s="354">
        <v>14</v>
      </c>
      <c r="CF18" s="354"/>
      <c r="CG18" s="354"/>
      <c r="CH18" s="355"/>
      <c r="CI18" s="356">
        <f t="shared" si="1"/>
        <v>1367</v>
      </c>
      <c r="CJ18" s="356">
        <f t="shared" si="0"/>
        <v>338.4</v>
      </c>
      <c r="CK18" s="357">
        <v>990</v>
      </c>
      <c r="CL18" s="358">
        <f t="shared" si="2"/>
        <v>2357</v>
      </c>
      <c r="CM18" s="205">
        <v>2327</v>
      </c>
      <c r="CN18" s="282">
        <f t="shared" si="18"/>
        <v>1273</v>
      </c>
      <c r="CO18" s="209" t="str">
        <f t="shared" si="19"/>
        <v>0</v>
      </c>
      <c r="CP18" s="235">
        <f t="shared" si="20"/>
        <v>0</v>
      </c>
      <c r="CQ18" s="209">
        <f t="shared" si="21"/>
        <v>1</v>
      </c>
      <c r="CR18" s="235">
        <f t="shared" si="22"/>
        <v>3069</v>
      </c>
      <c r="CS18" s="235">
        <f t="shared" si="23"/>
        <v>1</v>
      </c>
      <c r="CT18" s="235">
        <f t="shared" si="23"/>
        <v>3069</v>
      </c>
      <c r="CU18" s="156">
        <v>31</v>
      </c>
      <c r="CV18" s="284" t="str">
        <f t="shared" si="24"/>
        <v>0</v>
      </c>
      <c r="CW18" s="284" t="str">
        <f t="shared" si="25"/>
        <v>0</v>
      </c>
      <c r="CX18" s="243">
        <f t="shared" si="26"/>
        <v>2.5334563913244117</v>
      </c>
      <c r="CY18" s="216" t="str">
        <f t="shared" si="27"/>
        <v>0</v>
      </c>
      <c r="CZ18" s="216" t="str">
        <f t="shared" si="28"/>
        <v>0</v>
      </c>
      <c r="DA18" s="243">
        <f t="shared" si="29"/>
        <v>6.2506923673424168</v>
      </c>
      <c r="DB18" s="306">
        <v>1</v>
      </c>
      <c r="DC18" s="306">
        <v>0</v>
      </c>
      <c r="DD18" s="306">
        <v>0</v>
      </c>
      <c r="DE18" s="306">
        <v>0</v>
      </c>
      <c r="DF18" s="306">
        <v>1</v>
      </c>
      <c r="DG18" s="306">
        <v>0</v>
      </c>
      <c r="DH18" s="306">
        <v>0</v>
      </c>
      <c r="DI18" s="306">
        <v>0</v>
      </c>
      <c r="DJ18" s="306">
        <v>0</v>
      </c>
      <c r="DK18" s="306">
        <v>36</v>
      </c>
      <c r="DL18" s="306">
        <f t="shared" si="30"/>
        <v>35</v>
      </c>
      <c r="DM18" s="306">
        <v>1</v>
      </c>
      <c r="DN18" s="306">
        <v>24</v>
      </c>
      <c r="DO18" s="306">
        <v>10</v>
      </c>
      <c r="DP18" s="306">
        <v>26</v>
      </c>
      <c r="DQ18" s="306">
        <v>20</v>
      </c>
      <c r="DR18" s="306">
        <v>11</v>
      </c>
      <c r="DS18" s="306">
        <v>24</v>
      </c>
      <c r="DT18" s="306">
        <v>23</v>
      </c>
      <c r="DU18" s="306">
        <v>1</v>
      </c>
      <c r="DV18" s="306">
        <v>0</v>
      </c>
      <c r="DW18" s="306">
        <v>3</v>
      </c>
      <c r="DX18" s="306">
        <v>0</v>
      </c>
      <c r="DY18" s="306">
        <v>0</v>
      </c>
      <c r="DZ18" s="306">
        <v>3</v>
      </c>
      <c r="EA18" s="306">
        <v>0</v>
      </c>
      <c r="EB18" s="306">
        <v>36</v>
      </c>
      <c r="EC18" s="306">
        <f>36-4</f>
        <v>32</v>
      </c>
      <c r="ED18" s="342"/>
      <c r="EE18" s="342"/>
    </row>
    <row r="19" spans="1:135" x14ac:dyDescent="0.2">
      <c r="A19" s="149" t="s">
        <v>197</v>
      </c>
      <c r="B19" s="169">
        <v>10</v>
      </c>
      <c r="C19" s="12" t="s">
        <v>213</v>
      </c>
      <c r="D19" s="200">
        <v>1953</v>
      </c>
      <c r="E19" s="11"/>
      <c r="F19" s="169" t="s">
        <v>207</v>
      </c>
      <c r="G19" s="35">
        <v>1</v>
      </c>
      <c r="H19" s="201">
        <v>5</v>
      </c>
      <c r="I19" s="201" t="s">
        <v>19</v>
      </c>
      <c r="J19" s="115">
        <v>39925</v>
      </c>
      <c r="K19" s="115">
        <v>2070</v>
      </c>
      <c r="L19" s="157">
        <v>2579</v>
      </c>
      <c r="M19" s="115"/>
      <c r="N19" s="115">
        <v>84</v>
      </c>
      <c r="O19" s="115">
        <v>236</v>
      </c>
      <c r="P19" s="115">
        <v>87</v>
      </c>
      <c r="Q19" s="115">
        <v>159</v>
      </c>
      <c r="R19" s="228">
        <f>6178.59+1.71-0.05+0.06</f>
        <v>6180.31</v>
      </c>
      <c r="S19" s="230">
        <v>4019.43</v>
      </c>
      <c r="T19" s="115">
        <f t="shared" si="3"/>
        <v>71</v>
      </c>
      <c r="U19" s="203">
        <f t="shared" si="4"/>
        <v>5353.1100000000006</v>
      </c>
      <c r="V19" s="180">
        <f t="shared" si="4"/>
        <v>3506.5699999999997</v>
      </c>
      <c r="W19" s="115">
        <v>13</v>
      </c>
      <c r="X19" s="207">
        <v>827.2</v>
      </c>
      <c r="Y19" s="207">
        <v>512.86</v>
      </c>
      <c r="Z19" s="204"/>
      <c r="AA19" s="207"/>
      <c r="AB19" s="207"/>
      <c r="AC19" s="207">
        <f t="shared" si="5"/>
        <v>2429.3000000000002</v>
      </c>
      <c r="AD19" s="248">
        <f t="shared" si="6"/>
        <v>898.2</v>
      </c>
      <c r="AE19" s="275"/>
      <c r="AF19" s="248">
        <f>898.5+15.6+9.1+10.3+6.6+3+48-92.9</f>
        <v>898.2</v>
      </c>
      <c r="AG19" s="207">
        <f>1438.2+92.9</f>
        <v>1531.1000000000001</v>
      </c>
      <c r="AH19" s="207"/>
      <c r="AI19" s="207">
        <f t="shared" si="7"/>
        <v>8609.61</v>
      </c>
      <c r="AJ19" s="170"/>
      <c r="AK19" s="170"/>
      <c r="AL19" s="170">
        <v>5</v>
      </c>
      <c r="AM19" s="170"/>
      <c r="AN19" s="170"/>
      <c r="AO19" s="170">
        <v>1</v>
      </c>
      <c r="AP19" s="170">
        <v>5387</v>
      </c>
      <c r="AQ19" s="170"/>
      <c r="AR19" s="170">
        <v>380</v>
      </c>
      <c r="AS19" s="170">
        <v>598</v>
      </c>
      <c r="AT19" s="170">
        <v>75</v>
      </c>
      <c r="AU19" s="170">
        <f t="shared" si="8"/>
        <v>4215</v>
      </c>
      <c r="AV19" s="170"/>
      <c r="AW19" s="170">
        <v>4215</v>
      </c>
      <c r="AX19" s="170"/>
      <c r="AY19" s="170">
        <v>132</v>
      </c>
      <c r="AZ19" s="170">
        <v>2025</v>
      </c>
      <c r="BA19" s="170">
        <v>2025</v>
      </c>
      <c r="BB19" s="170">
        <v>22</v>
      </c>
      <c r="BC19" s="170">
        <v>10</v>
      </c>
      <c r="BD19" s="170">
        <v>334</v>
      </c>
      <c r="BE19" s="170">
        <v>595</v>
      </c>
      <c r="BF19" s="170">
        <v>1</v>
      </c>
      <c r="BG19" s="170">
        <v>4868</v>
      </c>
      <c r="BH19" s="170">
        <v>190</v>
      </c>
      <c r="BI19" s="170"/>
      <c r="BJ19" s="115">
        <f t="shared" si="9"/>
        <v>1</v>
      </c>
      <c r="BK19" s="115">
        <f t="shared" si="10"/>
        <v>6180.31</v>
      </c>
      <c r="BL19" s="115">
        <f t="shared" si="11"/>
        <v>4019.43</v>
      </c>
      <c r="BM19" s="115" t="str">
        <f t="shared" si="12"/>
        <v>0</v>
      </c>
      <c r="BN19" s="115" t="str">
        <f t="shared" si="13"/>
        <v>0</v>
      </c>
      <c r="BO19" s="115" t="str">
        <f t="shared" si="14"/>
        <v>0</v>
      </c>
      <c r="BP19" s="115" t="str">
        <f t="shared" si="15"/>
        <v>0</v>
      </c>
      <c r="BQ19" s="115" t="str">
        <f t="shared" si="16"/>
        <v>0</v>
      </c>
      <c r="BR19" s="115" t="str">
        <f t="shared" si="17"/>
        <v>0</v>
      </c>
      <c r="BS19" s="115"/>
      <c r="BT19" s="115">
        <v>3</v>
      </c>
      <c r="BU19" s="115">
        <f t="shared" si="31"/>
        <v>2025</v>
      </c>
      <c r="BV19" s="115">
        <v>3252</v>
      </c>
      <c r="BW19" s="115"/>
      <c r="BX19" s="115">
        <f t="shared" si="32"/>
        <v>5387</v>
      </c>
      <c r="BY19" s="275">
        <v>2722.31</v>
      </c>
      <c r="BZ19" s="253">
        <v>657.13</v>
      </c>
      <c r="CA19" s="354">
        <f>685.6-28.47</f>
        <v>657.13</v>
      </c>
      <c r="CB19" s="354"/>
      <c r="CC19" s="354"/>
      <c r="CD19" s="354">
        <f>2025*0+2024.6</f>
        <v>2024.6</v>
      </c>
      <c r="CE19" s="354"/>
      <c r="CF19" s="354">
        <f>28.47+12.11</f>
        <v>40.58</v>
      </c>
      <c r="CG19" s="354"/>
      <c r="CH19" s="355"/>
      <c r="CI19" s="356">
        <f t="shared" si="1"/>
        <v>2722.31</v>
      </c>
      <c r="CJ19" s="356">
        <f t="shared" si="0"/>
        <v>657.13</v>
      </c>
      <c r="CK19" s="357">
        <v>2025</v>
      </c>
      <c r="CL19" s="358">
        <f t="shared" si="2"/>
        <v>4747.3099999999995</v>
      </c>
      <c r="CM19" s="205">
        <v>4896</v>
      </c>
      <c r="CN19" s="282">
        <f t="shared" si="18"/>
        <v>2826</v>
      </c>
      <c r="CO19" s="209" t="str">
        <f t="shared" si="19"/>
        <v>0</v>
      </c>
      <c r="CP19" s="235">
        <f t="shared" si="20"/>
        <v>0</v>
      </c>
      <c r="CQ19" s="209">
        <f t="shared" si="21"/>
        <v>1</v>
      </c>
      <c r="CR19" s="235">
        <f t="shared" si="22"/>
        <v>4215</v>
      </c>
      <c r="CS19" s="235">
        <f t="shared" si="23"/>
        <v>1</v>
      </c>
      <c r="CT19" s="235">
        <f t="shared" si="23"/>
        <v>4215</v>
      </c>
      <c r="CU19" s="156">
        <v>51</v>
      </c>
      <c r="CV19" s="284" t="str">
        <f t="shared" si="24"/>
        <v>0</v>
      </c>
      <c r="CW19" s="284" t="str">
        <f t="shared" si="25"/>
        <v>0</v>
      </c>
      <c r="CX19" s="243">
        <f t="shared" si="26"/>
        <v>13.384441880747083</v>
      </c>
      <c r="CY19" s="216" t="str">
        <f t="shared" si="27"/>
        <v>0</v>
      </c>
      <c r="CZ19" s="216" t="str">
        <f t="shared" si="28"/>
        <v>0</v>
      </c>
      <c r="DA19" s="243">
        <f t="shared" si="29"/>
        <v>20.040396719479745</v>
      </c>
      <c r="DB19" s="306">
        <v>1</v>
      </c>
      <c r="DC19" s="306">
        <v>0</v>
      </c>
      <c r="DD19" s="306">
        <v>0</v>
      </c>
      <c r="DE19" s="306">
        <v>0</v>
      </c>
      <c r="DF19" s="306">
        <v>2</v>
      </c>
      <c r="DG19" s="306">
        <v>0</v>
      </c>
      <c r="DH19" s="306">
        <v>0</v>
      </c>
      <c r="DI19" s="306">
        <v>0</v>
      </c>
      <c r="DJ19" s="306">
        <v>0</v>
      </c>
      <c r="DK19" s="306">
        <v>87</v>
      </c>
      <c r="DL19" s="306">
        <f t="shared" si="30"/>
        <v>81</v>
      </c>
      <c r="DM19" s="306">
        <v>6</v>
      </c>
      <c r="DN19" s="306">
        <v>57</v>
      </c>
      <c r="DO19" s="306">
        <v>27</v>
      </c>
      <c r="DP19" s="306">
        <v>60</v>
      </c>
      <c r="DQ19" s="306">
        <v>29</v>
      </c>
      <c r="DR19" s="306">
        <v>30</v>
      </c>
      <c r="DS19" s="306">
        <v>59</v>
      </c>
      <c r="DT19" s="306">
        <v>38</v>
      </c>
      <c r="DU19" s="306">
        <v>2</v>
      </c>
      <c r="DV19" s="306">
        <v>1</v>
      </c>
      <c r="DW19" s="306">
        <v>4</v>
      </c>
      <c r="DX19" s="306">
        <v>2</v>
      </c>
      <c r="DY19" s="306">
        <v>1</v>
      </c>
      <c r="DZ19" s="306">
        <v>4</v>
      </c>
      <c r="EA19" s="306">
        <v>2</v>
      </c>
      <c r="EB19" s="306">
        <v>87</v>
      </c>
      <c r="EC19" s="306">
        <f>87-6</f>
        <v>81</v>
      </c>
      <c r="ED19" s="342"/>
      <c r="EE19" s="342"/>
    </row>
    <row r="20" spans="1:135" x14ac:dyDescent="0.2">
      <c r="A20" s="359" t="s">
        <v>203</v>
      </c>
      <c r="B20" s="169">
        <v>11</v>
      </c>
      <c r="C20" s="12" t="s">
        <v>214</v>
      </c>
      <c r="D20" s="200">
        <v>1953</v>
      </c>
      <c r="E20" s="11"/>
      <c r="F20" s="169" t="s">
        <v>207</v>
      </c>
      <c r="G20" s="35">
        <v>1</v>
      </c>
      <c r="H20" s="201">
        <v>5</v>
      </c>
      <c r="I20" s="201" t="s">
        <v>19</v>
      </c>
      <c r="J20" s="115">
        <v>39997</v>
      </c>
      <c r="K20" s="115">
        <v>2041</v>
      </c>
      <c r="L20" s="157">
        <v>2491</v>
      </c>
      <c r="M20" s="115"/>
      <c r="N20" s="115">
        <v>89</v>
      </c>
      <c r="O20" s="115">
        <v>250</v>
      </c>
      <c r="P20" s="115">
        <v>90</v>
      </c>
      <c r="Q20" s="115">
        <v>158</v>
      </c>
      <c r="R20" s="228">
        <f>6662.12-0.05+0.06-0.02-0.08-0.1+0.12-0.07-0.07</f>
        <v>6661.91</v>
      </c>
      <c r="S20" s="230">
        <v>4180.8599999999997</v>
      </c>
      <c r="T20" s="115">
        <f t="shared" si="3"/>
        <v>68</v>
      </c>
      <c r="U20" s="203">
        <f t="shared" si="4"/>
        <v>5053.6000000000004</v>
      </c>
      <c r="V20" s="180">
        <f t="shared" si="4"/>
        <v>3183.7099999999996</v>
      </c>
      <c r="W20" s="115">
        <v>21</v>
      </c>
      <c r="X20" s="207">
        <v>1608.31</v>
      </c>
      <c r="Y20" s="207">
        <v>997.15</v>
      </c>
      <c r="Z20" s="204"/>
      <c r="AA20" s="207"/>
      <c r="AB20" s="207"/>
      <c r="AC20" s="207">
        <f t="shared" si="5"/>
        <v>2237.66</v>
      </c>
      <c r="AD20" s="248">
        <f t="shared" si="6"/>
        <v>2237.66</v>
      </c>
      <c r="AE20" s="275"/>
      <c r="AF20" s="275">
        <v>2237.66</v>
      </c>
      <c r="AG20" s="207"/>
      <c r="AH20" s="207"/>
      <c r="AI20" s="207">
        <f t="shared" si="7"/>
        <v>8899.57</v>
      </c>
      <c r="AJ20" s="170"/>
      <c r="AK20" s="170"/>
      <c r="AL20" s="170">
        <v>5</v>
      </c>
      <c r="AM20" s="170"/>
      <c r="AN20" s="170"/>
      <c r="AO20" s="170">
        <v>1</v>
      </c>
      <c r="AP20" s="170">
        <v>4932</v>
      </c>
      <c r="AQ20" s="170"/>
      <c r="AR20" s="170">
        <v>460</v>
      </c>
      <c r="AS20" s="170">
        <v>598</v>
      </c>
      <c r="AT20" s="170">
        <v>75</v>
      </c>
      <c r="AU20" s="170">
        <f t="shared" si="8"/>
        <v>4215</v>
      </c>
      <c r="AV20" s="170"/>
      <c r="AW20" s="170">
        <v>4215</v>
      </c>
      <c r="AX20" s="170"/>
      <c r="AY20" s="170">
        <v>82</v>
      </c>
      <c r="AZ20" s="170">
        <v>2035</v>
      </c>
      <c r="BA20" s="170">
        <v>2035</v>
      </c>
      <c r="BB20" s="170">
        <v>22</v>
      </c>
      <c r="BC20" s="170">
        <v>10</v>
      </c>
      <c r="BD20" s="170">
        <v>340</v>
      </c>
      <c r="BE20" s="170">
        <v>607</v>
      </c>
      <c r="BF20" s="170"/>
      <c r="BG20" s="170">
        <v>4868</v>
      </c>
      <c r="BH20" s="170">
        <v>190</v>
      </c>
      <c r="BI20" s="170"/>
      <c r="BJ20" s="115">
        <f t="shared" si="9"/>
        <v>1</v>
      </c>
      <c r="BK20" s="115">
        <f t="shared" si="10"/>
        <v>6661.91</v>
      </c>
      <c r="BL20" s="115">
        <f t="shared" si="11"/>
        <v>4180.8599999999997</v>
      </c>
      <c r="BM20" s="115" t="str">
        <f t="shared" si="12"/>
        <v>0</v>
      </c>
      <c r="BN20" s="115" t="str">
        <f t="shared" si="13"/>
        <v>0</v>
      </c>
      <c r="BO20" s="115" t="str">
        <f t="shared" si="14"/>
        <v>0</v>
      </c>
      <c r="BP20" s="115" t="str">
        <f t="shared" si="15"/>
        <v>0</v>
      </c>
      <c r="BQ20" s="115" t="str">
        <f t="shared" si="16"/>
        <v>0</v>
      </c>
      <c r="BR20" s="115" t="str">
        <f t="shared" si="17"/>
        <v>0</v>
      </c>
      <c r="BS20" s="115"/>
      <c r="BT20" s="115">
        <v>3</v>
      </c>
      <c r="BU20" s="115">
        <f t="shared" si="31"/>
        <v>2035</v>
      </c>
      <c r="BV20" s="115">
        <v>3478</v>
      </c>
      <c r="BW20" s="115"/>
      <c r="BX20" s="115">
        <f t="shared" si="32"/>
        <v>4932</v>
      </c>
      <c r="BY20" s="275">
        <v>2733.57</v>
      </c>
      <c r="BZ20" s="253">
        <v>657.43</v>
      </c>
      <c r="CA20" s="354">
        <v>657.43</v>
      </c>
      <c r="CB20" s="354"/>
      <c r="CC20" s="354"/>
      <c r="CD20" s="354">
        <v>2035</v>
      </c>
      <c r="CE20" s="354">
        <v>13.21</v>
      </c>
      <c r="CF20" s="354"/>
      <c r="CG20" s="354"/>
      <c r="CH20" s="355">
        <v>27.93</v>
      </c>
      <c r="CI20" s="356">
        <f t="shared" si="1"/>
        <v>2733.5699999999997</v>
      </c>
      <c r="CJ20" s="356">
        <f t="shared" si="0"/>
        <v>657.43</v>
      </c>
      <c r="CK20" s="357">
        <v>2035</v>
      </c>
      <c r="CL20" s="358">
        <f t="shared" si="2"/>
        <v>4768.57</v>
      </c>
      <c r="CM20" s="205">
        <v>4812</v>
      </c>
      <c r="CN20" s="282">
        <f t="shared" si="18"/>
        <v>2771</v>
      </c>
      <c r="CO20" s="209" t="str">
        <f t="shared" si="19"/>
        <v>0</v>
      </c>
      <c r="CP20" s="235">
        <f t="shared" si="20"/>
        <v>0</v>
      </c>
      <c r="CQ20" s="209">
        <f t="shared" si="21"/>
        <v>1</v>
      </c>
      <c r="CR20" s="235">
        <f t="shared" si="22"/>
        <v>4215</v>
      </c>
      <c r="CS20" s="235">
        <f t="shared" si="23"/>
        <v>1</v>
      </c>
      <c r="CT20" s="235">
        <f t="shared" si="23"/>
        <v>4215</v>
      </c>
      <c r="CU20" s="156">
        <v>65</v>
      </c>
      <c r="CV20" s="284" t="str">
        <f t="shared" si="24"/>
        <v>0</v>
      </c>
      <c r="CW20" s="284" t="str">
        <f t="shared" si="25"/>
        <v>0</v>
      </c>
      <c r="CX20" s="243">
        <f t="shared" si="26"/>
        <v>24.141875227975159</v>
      </c>
      <c r="CY20" s="216" t="str">
        <f t="shared" si="27"/>
        <v>0</v>
      </c>
      <c r="CZ20" s="216" t="str">
        <f t="shared" si="28"/>
        <v>0</v>
      </c>
      <c r="DA20" s="243">
        <f t="shared" si="29"/>
        <v>43.215233994451417</v>
      </c>
      <c r="DB20" s="306">
        <v>1</v>
      </c>
      <c r="DC20" s="306">
        <v>0</v>
      </c>
      <c r="DD20" s="306">
        <v>0</v>
      </c>
      <c r="DE20" s="306">
        <v>0</v>
      </c>
      <c r="DF20" s="306">
        <v>2</v>
      </c>
      <c r="DG20" s="306">
        <v>0</v>
      </c>
      <c r="DH20" s="306">
        <v>0</v>
      </c>
      <c r="DI20" s="306">
        <v>0</v>
      </c>
      <c r="DJ20" s="306">
        <v>0</v>
      </c>
      <c r="DK20" s="306">
        <v>89</v>
      </c>
      <c r="DL20" s="306">
        <f t="shared" si="30"/>
        <v>81</v>
      </c>
      <c r="DM20" s="306">
        <v>8</v>
      </c>
      <c r="DN20" s="306">
        <v>49</v>
      </c>
      <c r="DO20" s="306">
        <v>15</v>
      </c>
      <c r="DP20" s="306">
        <v>76</v>
      </c>
      <c r="DQ20" s="306">
        <v>16</v>
      </c>
      <c r="DR20" s="306">
        <v>19</v>
      </c>
      <c r="DS20" s="306">
        <v>72</v>
      </c>
      <c r="DT20" s="306">
        <v>24</v>
      </c>
      <c r="DU20" s="306">
        <v>6</v>
      </c>
      <c r="DV20" s="306">
        <v>4</v>
      </c>
      <c r="DW20" s="306">
        <v>4</v>
      </c>
      <c r="DX20" s="306">
        <v>4</v>
      </c>
      <c r="DY20" s="306">
        <v>4</v>
      </c>
      <c r="DZ20" s="306">
        <v>3</v>
      </c>
      <c r="EA20" s="306">
        <v>5</v>
      </c>
      <c r="EB20" s="306">
        <v>89</v>
      </c>
      <c r="EC20" s="306">
        <f>89-7</f>
        <v>82</v>
      </c>
      <c r="ED20" s="342"/>
      <c r="EE20" s="342"/>
    </row>
    <row r="21" spans="1:135" x14ac:dyDescent="0.2">
      <c r="A21" s="149" t="s">
        <v>197</v>
      </c>
      <c r="B21" s="169">
        <v>12</v>
      </c>
      <c r="C21" s="12" t="s">
        <v>215</v>
      </c>
      <c r="D21" s="200">
        <v>1953</v>
      </c>
      <c r="E21" s="11"/>
      <c r="F21" s="169" t="s">
        <v>207</v>
      </c>
      <c r="G21" s="35">
        <v>1</v>
      </c>
      <c r="H21" s="201">
        <v>5</v>
      </c>
      <c r="I21" s="201" t="s">
        <v>19</v>
      </c>
      <c r="J21" s="115">
        <v>35611</v>
      </c>
      <c r="K21" s="115">
        <v>2028</v>
      </c>
      <c r="L21" s="157">
        <v>2460</v>
      </c>
      <c r="M21" s="115"/>
      <c r="N21" s="115">
        <f>94-1</f>
        <v>93</v>
      </c>
      <c r="O21" s="115">
        <v>260</v>
      </c>
      <c r="P21" s="115">
        <v>94</v>
      </c>
      <c r="Q21" s="115">
        <v>213</v>
      </c>
      <c r="R21" s="228">
        <f>6954.64-62.2-0.01+0.6-7.7</f>
        <v>6885.3300000000008</v>
      </c>
      <c r="S21" s="230">
        <f>4354.69-45</f>
        <v>4309.6899999999996</v>
      </c>
      <c r="T21" s="115">
        <f t="shared" si="3"/>
        <v>81</v>
      </c>
      <c r="U21" s="203">
        <f t="shared" si="4"/>
        <v>5942.8300000000008</v>
      </c>
      <c r="V21" s="180">
        <f t="shared" si="4"/>
        <v>3725.3399999999997</v>
      </c>
      <c r="W21" s="115">
        <v>12</v>
      </c>
      <c r="X21" s="207">
        <v>942.5</v>
      </c>
      <c r="Y21" s="207">
        <v>584.35</v>
      </c>
      <c r="Z21" s="204"/>
      <c r="AA21" s="207"/>
      <c r="AB21" s="207"/>
      <c r="AC21" s="207">
        <f t="shared" si="5"/>
        <v>700.5</v>
      </c>
      <c r="AD21" s="248">
        <f t="shared" si="6"/>
        <v>135.9</v>
      </c>
      <c r="AE21" s="275"/>
      <c r="AF21" s="248">
        <f>165-29.1</f>
        <v>135.9</v>
      </c>
      <c r="AG21" s="207">
        <f>503.7+60.9</f>
        <v>564.6</v>
      </c>
      <c r="AH21" s="207"/>
      <c r="AI21" s="207">
        <f t="shared" si="7"/>
        <v>7585.8300000000008</v>
      </c>
      <c r="AJ21" s="170"/>
      <c r="AK21" s="170"/>
      <c r="AL21" s="170">
        <v>5</v>
      </c>
      <c r="AM21" s="170"/>
      <c r="AN21" s="170"/>
      <c r="AO21" s="170">
        <v>1</v>
      </c>
      <c r="AP21" s="170">
        <v>5072</v>
      </c>
      <c r="AQ21" s="170"/>
      <c r="AR21" s="170">
        <v>370</v>
      </c>
      <c r="AS21" s="170">
        <v>606</v>
      </c>
      <c r="AT21" s="170">
        <v>75</v>
      </c>
      <c r="AU21" s="170">
        <f t="shared" si="8"/>
        <v>4215</v>
      </c>
      <c r="AV21" s="170"/>
      <c r="AW21" s="170">
        <v>4215</v>
      </c>
      <c r="AX21" s="170"/>
      <c r="AY21" s="170">
        <v>149</v>
      </c>
      <c r="AZ21" s="170">
        <v>2008</v>
      </c>
      <c r="BA21" s="170">
        <v>2008</v>
      </c>
      <c r="BB21" s="170">
        <v>22</v>
      </c>
      <c r="BC21" s="170">
        <v>10</v>
      </c>
      <c r="BD21" s="170">
        <v>340</v>
      </c>
      <c r="BE21" s="170">
        <v>607</v>
      </c>
      <c r="BF21" s="170"/>
      <c r="BG21" s="170">
        <v>4868</v>
      </c>
      <c r="BH21" s="170">
        <v>190</v>
      </c>
      <c r="BI21" s="170"/>
      <c r="BJ21" s="115">
        <f t="shared" si="9"/>
        <v>1</v>
      </c>
      <c r="BK21" s="115">
        <f t="shared" si="10"/>
        <v>6885.3300000000008</v>
      </c>
      <c r="BL21" s="115">
        <f t="shared" si="11"/>
        <v>4309.6899999999996</v>
      </c>
      <c r="BM21" s="115" t="str">
        <f t="shared" si="12"/>
        <v>0</v>
      </c>
      <c r="BN21" s="115" t="str">
        <f t="shared" si="13"/>
        <v>0</v>
      </c>
      <c r="BO21" s="115" t="str">
        <f t="shared" si="14"/>
        <v>0</v>
      </c>
      <c r="BP21" s="115" t="str">
        <f t="shared" si="15"/>
        <v>0</v>
      </c>
      <c r="BQ21" s="115" t="str">
        <f t="shared" si="16"/>
        <v>0</v>
      </c>
      <c r="BR21" s="115" t="str">
        <f t="shared" si="17"/>
        <v>0</v>
      </c>
      <c r="BS21" s="115"/>
      <c r="BT21" s="115">
        <v>2</v>
      </c>
      <c r="BU21" s="115">
        <f t="shared" si="31"/>
        <v>2008</v>
      </c>
      <c r="BV21" s="115">
        <v>3341</v>
      </c>
      <c r="BW21" s="115"/>
      <c r="BX21" s="115">
        <f t="shared" si="32"/>
        <v>5072</v>
      </c>
      <c r="BY21" s="275">
        <v>2684.3</v>
      </c>
      <c r="BZ21" s="253">
        <v>623.5</v>
      </c>
      <c r="CA21" s="354">
        <v>623.5</v>
      </c>
      <c r="CB21" s="354"/>
      <c r="CC21" s="354"/>
      <c r="CD21" s="354">
        <f>2008*0+2007.8</f>
        <v>2007.8</v>
      </c>
      <c r="CE21" s="354">
        <v>18</v>
      </c>
      <c r="CF21" s="354"/>
      <c r="CG21" s="354"/>
      <c r="CH21" s="355">
        <v>35</v>
      </c>
      <c r="CI21" s="356">
        <f t="shared" si="1"/>
        <v>2684.3</v>
      </c>
      <c r="CJ21" s="356">
        <f t="shared" si="0"/>
        <v>623.5</v>
      </c>
      <c r="CK21" s="357">
        <v>2008</v>
      </c>
      <c r="CL21" s="358">
        <f t="shared" si="2"/>
        <v>4692.3</v>
      </c>
      <c r="CM21" s="205">
        <v>4715</v>
      </c>
      <c r="CN21" s="282">
        <f t="shared" si="18"/>
        <v>2687</v>
      </c>
      <c r="CO21" s="209" t="str">
        <f t="shared" si="19"/>
        <v>0</v>
      </c>
      <c r="CP21" s="235">
        <f t="shared" si="20"/>
        <v>0</v>
      </c>
      <c r="CQ21" s="209">
        <f t="shared" si="21"/>
        <v>1</v>
      </c>
      <c r="CR21" s="235">
        <f t="shared" si="22"/>
        <v>4215</v>
      </c>
      <c r="CS21" s="235">
        <f t="shared" si="23"/>
        <v>1</v>
      </c>
      <c r="CT21" s="235">
        <f t="shared" si="23"/>
        <v>4215</v>
      </c>
      <c r="CU21" s="156">
        <v>34</v>
      </c>
      <c r="CV21" s="284" t="str">
        <f t="shared" si="24"/>
        <v>0</v>
      </c>
      <c r="CW21" s="284" t="str">
        <f t="shared" si="25"/>
        <v>0</v>
      </c>
      <c r="CX21" s="243">
        <f t="shared" si="26"/>
        <v>13.688523280656117</v>
      </c>
      <c r="CY21" s="216" t="str">
        <f t="shared" si="27"/>
        <v>0</v>
      </c>
      <c r="CZ21" s="216" t="str">
        <f t="shared" si="28"/>
        <v>0</v>
      </c>
      <c r="DA21" s="243">
        <f t="shared" si="29"/>
        <v>14.215979002956827</v>
      </c>
      <c r="DB21" s="306">
        <v>1</v>
      </c>
      <c r="DC21" s="306">
        <v>0</v>
      </c>
      <c r="DD21" s="306">
        <v>0</v>
      </c>
      <c r="DE21" s="306">
        <v>0</v>
      </c>
      <c r="DF21" s="306">
        <v>2</v>
      </c>
      <c r="DG21" s="306">
        <v>0</v>
      </c>
      <c r="DH21" s="306">
        <v>0</v>
      </c>
      <c r="DI21" s="306">
        <v>0</v>
      </c>
      <c r="DJ21" s="306">
        <v>0</v>
      </c>
      <c r="DK21" s="306">
        <v>95</v>
      </c>
      <c r="DL21" s="306">
        <f t="shared" si="30"/>
        <v>91</v>
      </c>
      <c r="DM21" s="306">
        <v>4</v>
      </c>
      <c r="DN21" s="306">
        <v>50</v>
      </c>
      <c r="DO21" s="306">
        <v>24</v>
      </c>
      <c r="DP21" s="306">
        <v>75</v>
      </c>
      <c r="DQ21" s="306">
        <v>24</v>
      </c>
      <c r="DR21" s="306">
        <v>26</v>
      </c>
      <c r="DS21" s="306">
        <v>72</v>
      </c>
      <c r="DT21" s="306">
        <v>31</v>
      </c>
      <c r="DU21" s="306">
        <v>0</v>
      </c>
      <c r="DV21" s="306">
        <v>0</v>
      </c>
      <c r="DW21" s="306">
        <v>6</v>
      </c>
      <c r="DX21" s="306">
        <v>0</v>
      </c>
      <c r="DY21" s="306">
        <v>0</v>
      </c>
      <c r="DZ21" s="306">
        <v>6</v>
      </c>
      <c r="EA21" s="306">
        <v>0</v>
      </c>
      <c r="EB21" s="306">
        <v>95</v>
      </c>
      <c r="EC21" s="306">
        <f>95-3</f>
        <v>92</v>
      </c>
      <c r="ED21" s="342"/>
      <c r="EE21" s="342"/>
    </row>
    <row r="22" spans="1:135" x14ac:dyDescent="0.2">
      <c r="A22" s="359" t="s">
        <v>203</v>
      </c>
      <c r="B22" s="169">
        <v>14</v>
      </c>
      <c r="C22" s="12" t="s">
        <v>216</v>
      </c>
      <c r="D22" s="200">
        <v>1954</v>
      </c>
      <c r="E22" s="11"/>
      <c r="F22" s="169" t="s">
        <v>207</v>
      </c>
      <c r="G22" s="35">
        <v>1</v>
      </c>
      <c r="H22" s="201">
        <v>5</v>
      </c>
      <c r="I22" s="201" t="s">
        <v>19</v>
      </c>
      <c r="J22" s="115">
        <v>33241</v>
      </c>
      <c r="K22" s="115">
        <v>2026</v>
      </c>
      <c r="L22" s="157">
        <v>2472</v>
      </c>
      <c r="M22" s="115"/>
      <c r="N22" s="115">
        <v>95</v>
      </c>
      <c r="O22" s="115">
        <v>268</v>
      </c>
      <c r="P22" s="115">
        <v>95</v>
      </c>
      <c r="Q22" s="115">
        <v>189</v>
      </c>
      <c r="R22" s="228">
        <v>6913.02</v>
      </c>
      <c r="S22" s="230">
        <v>4375.87</v>
      </c>
      <c r="T22" s="115">
        <f t="shared" si="3"/>
        <v>76</v>
      </c>
      <c r="U22" s="203">
        <f t="shared" si="4"/>
        <v>5385.92</v>
      </c>
      <c r="V22" s="180">
        <f t="shared" si="4"/>
        <v>3429.0699999999997</v>
      </c>
      <c r="W22" s="115">
        <v>19</v>
      </c>
      <c r="X22" s="207">
        <v>1527.1</v>
      </c>
      <c r="Y22" s="207">
        <v>946.8</v>
      </c>
      <c r="Z22" s="204"/>
      <c r="AA22" s="207"/>
      <c r="AB22" s="207"/>
      <c r="AC22" s="207">
        <f t="shared" si="5"/>
        <v>298.2</v>
      </c>
      <c r="AD22" s="248">
        <f t="shared" si="6"/>
        <v>0</v>
      </c>
      <c r="AE22" s="275"/>
      <c r="AF22" s="275"/>
      <c r="AG22" s="207">
        <v>298.2</v>
      </c>
      <c r="AH22" s="207"/>
      <c r="AI22" s="207">
        <f t="shared" si="7"/>
        <v>7211.22</v>
      </c>
      <c r="AJ22" s="170">
        <v>20</v>
      </c>
      <c r="AK22" s="170"/>
      <c r="AL22" s="170">
        <v>5</v>
      </c>
      <c r="AM22" s="170"/>
      <c r="AN22" s="170"/>
      <c r="AO22" s="170">
        <v>1</v>
      </c>
      <c r="AP22" s="170">
        <v>4917</v>
      </c>
      <c r="AQ22" s="170"/>
      <c r="AR22" s="170">
        <v>380</v>
      </c>
      <c r="AS22" s="170">
        <v>606</v>
      </c>
      <c r="AT22" s="170">
        <v>75</v>
      </c>
      <c r="AU22" s="170">
        <f t="shared" si="8"/>
        <v>4215</v>
      </c>
      <c r="AV22" s="170"/>
      <c r="AW22" s="170">
        <v>4215</v>
      </c>
      <c r="AX22" s="170"/>
      <c r="AY22" s="170">
        <v>149</v>
      </c>
      <c r="AZ22" s="170">
        <v>2018</v>
      </c>
      <c r="BA22" s="170">
        <v>2018</v>
      </c>
      <c r="BB22" s="170">
        <v>22</v>
      </c>
      <c r="BC22" s="170">
        <v>10</v>
      </c>
      <c r="BD22" s="170">
        <v>340</v>
      </c>
      <c r="BE22" s="170">
        <v>607</v>
      </c>
      <c r="BF22" s="170"/>
      <c r="BG22" s="170">
        <v>4868</v>
      </c>
      <c r="BH22" s="170">
        <v>190</v>
      </c>
      <c r="BI22" s="170"/>
      <c r="BJ22" s="115">
        <f t="shared" si="9"/>
        <v>1</v>
      </c>
      <c r="BK22" s="115">
        <f t="shared" si="10"/>
        <v>6913.02</v>
      </c>
      <c r="BL22" s="115">
        <f t="shared" si="11"/>
        <v>4375.87</v>
      </c>
      <c r="BM22" s="115" t="str">
        <f t="shared" si="12"/>
        <v>0</v>
      </c>
      <c r="BN22" s="115" t="str">
        <f t="shared" si="13"/>
        <v>0</v>
      </c>
      <c r="BO22" s="115" t="str">
        <f t="shared" si="14"/>
        <v>0</v>
      </c>
      <c r="BP22" s="115" t="str">
        <f t="shared" si="15"/>
        <v>0</v>
      </c>
      <c r="BQ22" s="115" t="str">
        <f t="shared" si="16"/>
        <v>0</v>
      </c>
      <c r="BR22" s="115" t="str">
        <f t="shared" si="17"/>
        <v>0</v>
      </c>
      <c r="BS22" s="115"/>
      <c r="BT22" s="115">
        <v>1</v>
      </c>
      <c r="BU22" s="115">
        <f t="shared" si="31"/>
        <v>2018</v>
      </c>
      <c r="BV22" s="115">
        <v>3277</v>
      </c>
      <c r="BW22" s="115">
        <v>5</v>
      </c>
      <c r="BX22" s="115">
        <f t="shared" si="32"/>
        <v>4917</v>
      </c>
      <c r="BY22" s="275">
        <v>2612</v>
      </c>
      <c r="BZ22" s="253">
        <v>593.70000000000005</v>
      </c>
      <c r="CA22" s="354">
        <v>593.70000000000005</v>
      </c>
      <c r="CB22" s="354"/>
      <c r="CC22" s="354"/>
      <c r="CD22" s="354">
        <f>2018*0+2018.3</f>
        <v>2018.3</v>
      </c>
      <c r="CE22" s="354"/>
      <c r="CF22" s="354"/>
      <c r="CG22" s="354"/>
      <c r="CH22" s="355"/>
      <c r="CI22" s="356">
        <f t="shared" si="1"/>
        <v>2612</v>
      </c>
      <c r="CJ22" s="356">
        <f t="shared" si="0"/>
        <v>593.70000000000005</v>
      </c>
      <c r="CK22" s="357">
        <v>2018</v>
      </c>
      <c r="CL22" s="358">
        <f t="shared" si="2"/>
        <v>4630</v>
      </c>
      <c r="CM22" s="205">
        <v>4185</v>
      </c>
      <c r="CN22" s="282">
        <f t="shared" si="18"/>
        <v>2159</v>
      </c>
      <c r="CO22" s="209" t="str">
        <f t="shared" si="19"/>
        <v>0</v>
      </c>
      <c r="CP22" s="235">
        <f t="shared" si="20"/>
        <v>0</v>
      </c>
      <c r="CQ22" s="209">
        <f t="shared" si="21"/>
        <v>1</v>
      </c>
      <c r="CR22" s="235">
        <f t="shared" si="22"/>
        <v>4215</v>
      </c>
      <c r="CS22" s="235">
        <f t="shared" si="23"/>
        <v>1</v>
      </c>
      <c r="CT22" s="235">
        <f t="shared" si="23"/>
        <v>4215</v>
      </c>
      <c r="CU22" s="156">
        <v>48</v>
      </c>
      <c r="CV22" s="284" t="str">
        <f t="shared" si="24"/>
        <v>0</v>
      </c>
      <c r="CW22" s="284" t="str">
        <f t="shared" si="25"/>
        <v>0</v>
      </c>
      <c r="CX22" s="243">
        <f t="shared" si="26"/>
        <v>22.090200809487023</v>
      </c>
      <c r="CY22" s="216" t="str">
        <f t="shared" si="27"/>
        <v>0</v>
      </c>
      <c r="CZ22" s="216" t="str">
        <f t="shared" si="28"/>
        <v>0</v>
      </c>
      <c r="DA22" s="243">
        <f t="shared" si="29"/>
        <v>21.176721830702707</v>
      </c>
      <c r="DB22" s="306">
        <v>1</v>
      </c>
      <c r="DC22" s="306">
        <v>0</v>
      </c>
      <c r="DD22" s="306">
        <v>0</v>
      </c>
      <c r="DE22" s="306">
        <v>0</v>
      </c>
      <c r="DF22" s="306">
        <v>1</v>
      </c>
      <c r="DG22" s="306">
        <v>0</v>
      </c>
      <c r="DH22" s="306">
        <v>0</v>
      </c>
      <c r="DI22" s="306">
        <v>0</v>
      </c>
      <c r="DJ22" s="306">
        <v>0</v>
      </c>
      <c r="DK22" s="306">
        <v>95</v>
      </c>
      <c r="DL22" s="306">
        <f t="shared" si="30"/>
        <v>86</v>
      </c>
      <c r="DM22" s="306">
        <v>9</v>
      </c>
      <c r="DN22" s="306">
        <v>56</v>
      </c>
      <c r="DO22" s="306">
        <v>32</v>
      </c>
      <c r="DP22" s="306">
        <v>67</v>
      </c>
      <c r="DQ22" s="306">
        <v>32</v>
      </c>
      <c r="DR22" s="306">
        <v>35</v>
      </c>
      <c r="DS22" s="306">
        <v>63</v>
      </c>
      <c r="DT22" s="306">
        <v>41</v>
      </c>
      <c r="DU22" s="306">
        <v>2</v>
      </c>
      <c r="DV22" s="306">
        <v>1</v>
      </c>
      <c r="DW22" s="306">
        <v>10</v>
      </c>
      <c r="DX22" s="306">
        <v>1</v>
      </c>
      <c r="DY22" s="306">
        <v>1</v>
      </c>
      <c r="DZ22" s="306">
        <v>10</v>
      </c>
      <c r="EA22" s="306">
        <v>1</v>
      </c>
      <c r="EB22" s="306">
        <v>95</v>
      </c>
      <c r="EC22" s="306">
        <f>95-4</f>
        <v>91</v>
      </c>
      <c r="ED22" s="342"/>
      <c r="EE22" s="342"/>
    </row>
    <row r="23" spans="1:135" x14ac:dyDescent="0.2">
      <c r="A23" s="359" t="s">
        <v>203</v>
      </c>
      <c r="B23" s="169">
        <v>15</v>
      </c>
      <c r="C23" s="12" t="s">
        <v>217</v>
      </c>
      <c r="D23" s="200">
        <v>1968</v>
      </c>
      <c r="E23" s="11"/>
      <c r="F23" s="169" t="s">
        <v>20</v>
      </c>
      <c r="G23" s="35">
        <v>1</v>
      </c>
      <c r="H23" s="201">
        <v>5</v>
      </c>
      <c r="I23" s="201" t="s">
        <v>22</v>
      </c>
      <c r="J23" s="115">
        <v>8942</v>
      </c>
      <c r="K23" s="115">
        <v>666</v>
      </c>
      <c r="L23" s="157">
        <v>758</v>
      </c>
      <c r="M23" s="115"/>
      <c r="N23" s="115">
        <v>59</v>
      </c>
      <c r="O23" s="115">
        <v>113</v>
      </c>
      <c r="P23" s="115">
        <v>59</v>
      </c>
      <c r="Q23" s="115">
        <v>102</v>
      </c>
      <c r="R23" s="228">
        <f>2537.08-0.24-0.01</f>
        <v>2536.83</v>
      </c>
      <c r="S23" s="230">
        <v>1692.05</v>
      </c>
      <c r="T23" s="115">
        <f t="shared" si="3"/>
        <v>52</v>
      </c>
      <c r="U23" s="203">
        <f t="shared" si="4"/>
        <v>2211.54</v>
      </c>
      <c r="V23" s="180">
        <f t="shared" si="4"/>
        <v>1490.37</v>
      </c>
      <c r="W23" s="115">
        <v>7</v>
      </c>
      <c r="X23" s="207">
        <v>325.29000000000002</v>
      </c>
      <c r="Y23" s="207">
        <v>201.68</v>
      </c>
      <c r="Z23" s="204"/>
      <c r="AA23" s="207"/>
      <c r="AB23" s="207"/>
      <c r="AC23" s="207">
        <f t="shared" si="5"/>
        <v>0</v>
      </c>
      <c r="AD23" s="248">
        <f t="shared" si="6"/>
        <v>0</v>
      </c>
      <c r="AE23" s="275"/>
      <c r="AF23" s="275"/>
      <c r="AG23" s="207"/>
      <c r="AH23" s="207"/>
      <c r="AI23" s="207">
        <f t="shared" si="7"/>
        <v>2536.83</v>
      </c>
      <c r="AJ23" s="170"/>
      <c r="AK23" s="170"/>
      <c r="AL23" s="170">
        <v>3</v>
      </c>
      <c r="AM23" s="170"/>
      <c r="AN23" s="170"/>
      <c r="AO23" s="170">
        <v>1</v>
      </c>
      <c r="AP23" s="170">
        <v>1817</v>
      </c>
      <c r="AQ23" s="170"/>
      <c r="AR23" s="170">
        <v>308</v>
      </c>
      <c r="AS23" s="170">
        <v>461</v>
      </c>
      <c r="AT23" s="170">
        <v>54</v>
      </c>
      <c r="AU23" s="170">
        <f t="shared" si="8"/>
        <v>2655</v>
      </c>
      <c r="AV23" s="170"/>
      <c r="AW23" s="170">
        <v>2655</v>
      </c>
      <c r="AX23" s="170">
        <v>1936</v>
      </c>
      <c r="AY23" s="170">
        <v>112</v>
      </c>
      <c r="AZ23" s="170">
        <v>648</v>
      </c>
      <c r="BA23" s="170">
        <v>648</v>
      </c>
      <c r="BB23" s="170">
        <v>12</v>
      </c>
      <c r="BC23" s="170">
        <v>6</v>
      </c>
      <c r="BD23" s="170">
        <v>175</v>
      </c>
      <c r="BE23" s="170">
        <v>59</v>
      </c>
      <c r="BF23" s="170">
        <v>1</v>
      </c>
      <c r="BG23" s="170">
        <v>300</v>
      </c>
      <c r="BH23" s="170">
        <v>60</v>
      </c>
      <c r="BI23" s="170"/>
      <c r="BJ23" s="115" t="str">
        <f t="shared" si="9"/>
        <v>0</v>
      </c>
      <c r="BK23" s="115" t="str">
        <f t="shared" si="10"/>
        <v>0</v>
      </c>
      <c r="BL23" s="115" t="str">
        <f t="shared" si="11"/>
        <v>0</v>
      </c>
      <c r="BM23" s="115">
        <f t="shared" si="12"/>
        <v>1</v>
      </c>
      <c r="BN23" s="115">
        <f t="shared" si="13"/>
        <v>2536.83</v>
      </c>
      <c r="BO23" s="115">
        <f t="shared" si="14"/>
        <v>1692.05</v>
      </c>
      <c r="BP23" s="115" t="str">
        <f t="shared" si="15"/>
        <v>0</v>
      </c>
      <c r="BQ23" s="115" t="str">
        <f t="shared" si="16"/>
        <v>0</v>
      </c>
      <c r="BR23" s="115" t="str">
        <f t="shared" si="17"/>
        <v>0</v>
      </c>
      <c r="BS23" s="115"/>
      <c r="BT23" s="115">
        <v>2</v>
      </c>
      <c r="BU23" s="115">
        <f t="shared" si="31"/>
        <v>648</v>
      </c>
      <c r="BV23" s="115">
        <v>2366</v>
      </c>
      <c r="BW23" s="115"/>
      <c r="BX23" s="115"/>
      <c r="BY23" s="275">
        <v>896.24</v>
      </c>
      <c r="BZ23" s="253">
        <v>206.8</v>
      </c>
      <c r="CA23" s="354">
        <v>206.8</v>
      </c>
      <c r="CB23" s="354"/>
      <c r="CC23" s="354"/>
      <c r="CD23" s="354">
        <v>648</v>
      </c>
      <c r="CE23" s="354">
        <v>13.26</v>
      </c>
      <c r="CF23" s="354">
        <v>19.71</v>
      </c>
      <c r="CG23" s="354"/>
      <c r="CH23" s="354">
        <v>8.4700000000000006</v>
      </c>
      <c r="CI23" s="356">
        <f t="shared" si="1"/>
        <v>896.24</v>
      </c>
      <c r="CJ23" s="356">
        <f t="shared" si="0"/>
        <v>206.8</v>
      </c>
      <c r="CK23" s="357">
        <v>648</v>
      </c>
      <c r="CL23" s="358">
        <f t="shared" si="2"/>
        <v>1544.24</v>
      </c>
      <c r="CM23" s="205">
        <v>1588</v>
      </c>
      <c r="CN23" s="282">
        <f t="shared" si="18"/>
        <v>922</v>
      </c>
      <c r="CO23" s="209" t="str">
        <f t="shared" si="19"/>
        <v>0</v>
      </c>
      <c r="CP23" s="235">
        <f t="shared" si="20"/>
        <v>0</v>
      </c>
      <c r="CQ23" s="209">
        <f t="shared" si="21"/>
        <v>1</v>
      </c>
      <c r="CR23" s="235">
        <f t="shared" si="22"/>
        <v>2655</v>
      </c>
      <c r="CS23" s="235">
        <f t="shared" si="23"/>
        <v>1</v>
      </c>
      <c r="CT23" s="235">
        <f t="shared" si="23"/>
        <v>2655</v>
      </c>
      <c r="CU23" s="156">
        <v>54</v>
      </c>
      <c r="CV23" s="284" t="str">
        <f t="shared" si="24"/>
        <v>0</v>
      </c>
      <c r="CW23" s="284" t="str">
        <f t="shared" si="25"/>
        <v>0</v>
      </c>
      <c r="CX23" s="243">
        <f t="shared" si="26"/>
        <v>12.822696041910575</v>
      </c>
      <c r="CY23" s="216" t="str">
        <f t="shared" si="27"/>
        <v>0</v>
      </c>
      <c r="CZ23" s="216" t="str">
        <f t="shared" si="28"/>
        <v>0</v>
      </c>
      <c r="DA23" s="243">
        <f t="shared" si="29"/>
        <v>12.822696041910575</v>
      </c>
      <c r="DB23" s="306">
        <v>1</v>
      </c>
      <c r="DC23" s="306">
        <v>0</v>
      </c>
      <c r="DD23" s="306">
        <v>0</v>
      </c>
      <c r="DE23" s="306">
        <v>0</v>
      </c>
      <c r="DF23" s="306">
        <v>1</v>
      </c>
      <c r="DG23" s="306">
        <v>0</v>
      </c>
      <c r="DH23" s="306">
        <v>0</v>
      </c>
      <c r="DI23" s="306">
        <v>0</v>
      </c>
      <c r="DJ23" s="306">
        <v>0</v>
      </c>
      <c r="DK23" s="306">
        <v>59</v>
      </c>
      <c r="DL23" s="306">
        <f t="shared" si="30"/>
        <v>53</v>
      </c>
      <c r="DM23" s="306">
        <v>6</v>
      </c>
      <c r="DN23" s="306">
        <v>29</v>
      </c>
      <c r="DO23" s="306">
        <v>23</v>
      </c>
      <c r="DP23" s="306">
        <v>36</v>
      </c>
      <c r="DQ23" s="306">
        <v>23</v>
      </c>
      <c r="DR23" s="306">
        <v>27</v>
      </c>
      <c r="DS23" s="306">
        <v>31</v>
      </c>
      <c r="DT23" s="306">
        <v>28</v>
      </c>
      <c r="DU23" s="306">
        <v>2</v>
      </c>
      <c r="DV23" s="306">
        <v>3</v>
      </c>
      <c r="DW23" s="306">
        <v>7</v>
      </c>
      <c r="DX23" s="306">
        <v>3</v>
      </c>
      <c r="DY23" s="306">
        <v>3</v>
      </c>
      <c r="DZ23" s="306">
        <v>7</v>
      </c>
      <c r="EA23" s="306">
        <v>3</v>
      </c>
      <c r="EB23" s="306">
        <v>59</v>
      </c>
      <c r="EC23" s="306">
        <v>59</v>
      </c>
      <c r="ED23" s="342"/>
      <c r="EE23" s="342"/>
    </row>
    <row r="24" spans="1:135" x14ac:dyDescent="0.2">
      <c r="A24" s="359" t="s">
        <v>203</v>
      </c>
      <c r="B24" s="169">
        <v>16</v>
      </c>
      <c r="C24" s="12" t="s">
        <v>218</v>
      </c>
      <c r="D24" s="200">
        <v>1966</v>
      </c>
      <c r="E24" s="11"/>
      <c r="F24" s="169" t="s">
        <v>13</v>
      </c>
      <c r="G24" s="35">
        <v>1</v>
      </c>
      <c r="H24" s="201">
        <v>5</v>
      </c>
      <c r="I24" s="201" t="s">
        <v>19</v>
      </c>
      <c r="J24" s="115">
        <v>9977</v>
      </c>
      <c r="K24" s="115">
        <v>749</v>
      </c>
      <c r="L24" s="157">
        <v>813</v>
      </c>
      <c r="M24" s="115"/>
      <c r="N24" s="115">
        <v>49</v>
      </c>
      <c r="O24" s="115">
        <v>92</v>
      </c>
      <c r="P24" s="115">
        <v>49</v>
      </c>
      <c r="Q24" s="115">
        <v>77</v>
      </c>
      <c r="R24" s="228">
        <v>2054.16</v>
      </c>
      <c r="S24" s="230">
        <v>1460.36</v>
      </c>
      <c r="T24" s="115">
        <f t="shared" si="3"/>
        <v>47</v>
      </c>
      <c r="U24" s="203">
        <f t="shared" si="4"/>
        <v>1969.2099999999998</v>
      </c>
      <c r="V24" s="180">
        <f t="shared" si="4"/>
        <v>1400.8899999999999</v>
      </c>
      <c r="W24" s="115">
        <v>2</v>
      </c>
      <c r="X24" s="207">
        <v>84.95</v>
      </c>
      <c r="Y24" s="207">
        <v>59.47</v>
      </c>
      <c r="Z24" s="204"/>
      <c r="AA24" s="207"/>
      <c r="AB24" s="207"/>
      <c r="AC24" s="207">
        <f t="shared" si="5"/>
        <v>738.5</v>
      </c>
      <c r="AD24" s="248">
        <f t="shared" si="6"/>
        <v>0</v>
      </c>
      <c r="AE24" s="248"/>
      <c r="AF24" s="248"/>
      <c r="AG24" s="207">
        <v>738.5</v>
      </c>
      <c r="AH24" s="207"/>
      <c r="AI24" s="207">
        <f t="shared" si="7"/>
        <v>2792.66</v>
      </c>
      <c r="AJ24" s="170"/>
      <c r="AK24" s="170"/>
      <c r="AL24" s="170">
        <v>3</v>
      </c>
      <c r="AM24" s="170"/>
      <c r="AN24" s="170"/>
      <c r="AO24" s="170">
        <v>1</v>
      </c>
      <c r="AP24" s="170">
        <v>1917</v>
      </c>
      <c r="AQ24" s="170"/>
      <c r="AR24" s="170">
        <v>568</v>
      </c>
      <c r="AS24" s="170">
        <v>191</v>
      </c>
      <c r="AT24" s="170">
        <v>54</v>
      </c>
      <c r="AU24" s="170">
        <f t="shared" si="8"/>
        <v>2655</v>
      </c>
      <c r="AV24" s="170"/>
      <c r="AW24" s="170">
        <v>2655</v>
      </c>
      <c r="AX24" s="170"/>
      <c r="AY24" s="170">
        <v>112</v>
      </c>
      <c r="AZ24" s="170">
        <v>698</v>
      </c>
      <c r="BA24" s="170">
        <v>698</v>
      </c>
      <c r="BB24" s="170">
        <v>12</v>
      </c>
      <c r="BC24" s="170">
        <v>6</v>
      </c>
      <c r="BD24" s="170">
        <v>156</v>
      </c>
      <c r="BE24" s="170">
        <v>53</v>
      </c>
      <c r="BF24" s="170"/>
      <c r="BG24" s="170">
        <v>300</v>
      </c>
      <c r="BH24" s="170">
        <v>60</v>
      </c>
      <c r="BI24" s="170"/>
      <c r="BJ24" s="115">
        <f t="shared" si="9"/>
        <v>1</v>
      </c>
      <c r="BK24" s="115">
        <f t="shared" si="10"/>
        <v>2054.16</v>
      </c>
      <c r="BL24" s="115">
        <f t="shared" si="11"/>
        <v>1460.36</v>
      </c>
      <c r="BM24" s="115" t="str">
        <f t="shared" si="12"/>
        <v>0</v>
      </c>
      <c r="BN24" s="115" t="str">
        <f t="shared" si="13"/>
        <v>0</v>
      </c>
      <c r="BO24" s="115" t="str">
        <f t="shared" si="14"/>
        <v>0</v>
      </c>
      <c r="BP24" s="115" t="str">
        <f t="shared" si="15"/>
        <v>0</v>
      </c>
      <c r="BQ24" s="115" t="str">
        <f t="shared" si="16"/>
        <v>0</v>
      </c>
      <c r="BR24" s="115" t="str">
        <f t="shared" si="17"/>
        <v>0</v>
      </c>
      <c r="BS24" s="115"/>
      <c r="BT24" s="115">
        <v>2</v>
      </c>
      <c r="BU24" s="115">
        <f t="shared" si="31"/>
        <v>698</v>
      </c>
      <c r="BV24" s="115">
        <v>2411</v>
      </c>
      <c r="BW24" s="115"/>
      <c r="BX24" s="115">
        <f>AP24</f>
        <v>1917</v>
      </c>
      <c r="BY24" s="275">
        <v>891.89</v>
      </c>
      <c r="BZ24" s="253">
        <v>185.96</v>
      </c>
      <c r="CA24" s="354">
        <v>185.96</v>
      </c>
      <c r="CB24" s="354"/>
      <c r="CC24" s="354"/>
      <c r="CD24" s="354">
        <f>698*0+697.7</f>
        <v>697.7</v>
      </c>
      <c r="CE24" s="354">
        <v>8.23</v>
      </c>
      <c r="CF24" s="354"/>
      <c r="CG24" s="354"/>
      <c r="CH24" s="355"/>
      <c r="CI24" s="356">
        <f t="shared" si="1"/>
        <v>891.8900000000001</v>
      </c>
      <c r="CJ24" s="356">
        <f t="shared" si="0"/>
        <v>185.96</v>
      </c>
      <c r="CK24" s="357">
        <v>698</v>
      </c>
      <c r="CL24" s="358">
        <f t="shared" si="2"/>
        <v>1589.89</v>
      </c>
      <c r="CM24" s="205">
        <v>1835</v>
      </c>
      <c r="CN24" s="282">
        <f t="shared" si="18"/>
        <v>1086</v>
      </c>
      <c r="CO24" s="209" t="str">
        <f t="shared" si="19"/>
        <v>0</v>
      </c>
      <c r="CP24" s="235">
        <f t="shared" si="20"/>
        <v>0</v>
      </c>
      <c r="CQ24" s="209">
        <f t="shared" si="21"/>
        <v>1</v>
      </c>
      <c r="CR24" s="235">
        <f t="shared" si="22"/>
        <v>2655</v>
      </c>
      <c r="CS24" s="235">
        <f t="shared" si="23"/>
        <v>1</v>
      </c>
      <c r="CT24" s="235">
        <f t="shared" si="23"/>
        <v>2655</v>
      </c>
      <c r="CU24" s="156">
        <v>50</v>
      </c>
      <c r="CV24" s="284" t="str">
        <f t="shared" si="24"/>
        <v>0</v>
      </c>
      <c r="CW24" s="284" t="str">
        <f t="shared" si="25"/>
        <v>0</v>
      </c>
      <c r="CX24" s="243">
        <f t="shared" si="26"/>
        <v>4.1355103789383501</v>
      </c>
      <c r="CY24" s="216" t="str">
        <f t="shared" si="27"/>
        <v>0</v>
      </c>
      <c r="CZ24" s="216" t="str">
        <f t="shared" si="28"/>
        <v>0</v>
      </c>
      <c r="DA24" s="243">
        <f t="shared" si="29"/>
        <v>3.0419027020833189</v>
      </c>
      <c r="DB24" s="306">
        <v>1</v>
      </c>
      <c r="DC24" s="306">
        <v>0</v>
      </c>
      <c r="DD24" s="306">
        <v>0</v>
      </c>
      <c r="DE24" s="306">
        <v>0</v>
      </c>
      <c r="DF24" s="306">
        <v>1</v>
      </c>
      <c r="DG24" s="306">
        <v>0</v>
      </c>
      <c r="DH24" s="306">
        <v>0</v>
      </c>
      <c r="DI24" s="306">
        <v>0</v>
      </c>
      <c r="DJ24" s="306">
        <v>0</v>
      </c>
      <c r="DK24" s="306">
        <v>52</v>
      </c>
      <c r="DL24" s="306">
        <f t="shared" si="30"/>
        <v>48</v>
      </c>
      <c r="DM24" s="306">
        <v>4</v>
      </c>
      <c r="DN24" s="306">
        <v>30</v>
      </c>
      <c r="DO24" s="306">
        <v>15</v>
      </c>
      <c r="DP24" s="306">
        <v>34</v>
      </c>
      <c r="DQ24" s="306">
        <v>15</v>
      </c>
      <c r="DR24" s="306">
        <v>18</v>
      </c>
      <c r="DS24" s="306">
        <v>31</v>
      </c>
      <c r="DT24" s="306">
        <v>18</v>
      </c>
      <c r="DU24" s="306">
        <v>2</v>
      </c>
      <c r="DV24" s="306">
        <v>1</v>
      </c>
      <c r="DW24" s="306">
        <v>5</v>
      </c>
      <c r="DX24" s="306">
        <v>1</v>
      </c>
      <c r="DY24" s="306">
        <v>1</v>
      </c>
      <c r="DZ24" s="306">
        <v>5</v>
      </c>
      <c r="EA24" s="306">
        <v>1</v>
      </c>
      <c r="EB24" s="306">
        <v>52</v>
      </c>
      <c r="EC24" s="306">
        <v>52</v>
      </c>
      <c r="ED24" s="342"/>
      <c r="EE24" s="342"/>
    </row>
    <row r="25" spans="1:135" x14ac:dyDescent="0.2">
      <c r="A25" s="359" t="s">
        <v>203</v>
      </c>
      <c r="B25" s="169">
        <v>17</v>
      </c>
      <c r="C25" s="12" t="s">
        <v>219</v>
      </c>
      <c r="D25" s="200">
        <v>1968</v>
      </c>
      <c r="E25" s="11"/>
      <c r="F25" s="169" t="s">
        <v>20</v>
      </c>
      <c r="G25" s="35">
        <v>1</v>
      </c>
      <c r="H25" s="201">
        <v>5</v>
      </c>
      <c r="I25" s="201" t="s">
        <v>22</v>
      </c>
      <c r="J25" s="115">
        <v>11293</v>
      </c>
      <c r="K25" s="115">
        <v>841</v>
      </c>
      <c r="L25" s="157">
        <v>985</v>
      </c>
      <c r="M25" s="115"/>
      <c r="N25" s="115">
        <v>80</v>
      </c>
      <c r="O25" s="115">
        <v>140</v>
      </c>
      <c r="P25" s="115">
        <v>80</v>
      </c>
      <c r="Q25" s="115">
        <v>126</v>
      </c>
      <c r="R25" s="228">
        <v>3269.46</v>
      </c>
      <c r="S25" s="230">
        <v>2151.54</v>
      </c>
      <c r="T25" s="115">
        <f t="shared" si="3"/>
        <v>75</v>
      </c>
      <c r="U25" s="203">
        <f t="shared" si="4"/>
        <v>3060.88</v>
      </c>
      <c r="V25" s="180">
        <f t="shared" si="4"/>
        <v>2022.22</v>
      </c>
      <c r="W25" s="115">
        <v>5</v>
      </c>
      <c r="X25" s="207">
        <v>208.58</v>
      </c>
      <c r="Y25" s="207">
        <v>129.32</v>
      </c>
      <c r="Z25" s="204"/>
      <c r="AA25" s="207"/>
      <c r="AB25" s="207"/>
      <c r="AC25" s="207">
        <f t="shared" si="5"/>
        <v>0</v>
      </c>
      <c r="AD25" s="248">
        <f t="shared" si="6"/>
        <v>0</v>
      </c>
      <c r="AE25" s="275"/>
      <c r="AF25" s="275"/>
      <c r="AG25" s="207"/>
      <c r="AH25" s="207"/>
      <c r="AI25" s="207">
        <f t="shared" si="7"/>
        <v>3269.46</v>
      </c>
      <c r="AJ25" s="170"/>
      <c r="AK25" s="170"/>
      <c r="AL25" s="170">
        <v>4</v>
      </c>
      <c r="AM25" s="170"/>
      <c r="AN25" s="170"/>
      <c r="AO25" s="170">
        <v>1</v>
      </c>
      <c r="AP25" s="170">
        <v>2191</v>
      </c>
      <c r="AQ25" s="170"/>
      <c r="AR25" s="170">
        <v>380</v>
      </c>
      <c r="AS25" s="170">
        <v>209</v>
      </c>
      <c r="AT25" s="170">
        <v>72</v>
      </c>
      <c r="AU25" s="170">
        <f t="shared" si="8"/>
        <v>3540</v>
      </c>
      <c r="AV25" s="170"/>
      <c r="AW25" s="170">
        <v>3540</v>
      </c>
      <c r="AX25" s="170">
        <v>1936</v>
      </c>
      <c r="AY25" s="170">
        <v>140</v>
      </c>
      <c r="AZ25" s="170">
        <v>823</v>
      </c>
      <c r="BA25" s="170">
        <v>823</v>
      </c>
      <c r="BB25" s="170">
        <v>16</v>
      </c>
      <c r="BC25" s="170">
        <v>8</v>
      </c>
      <c r="BD25" s="170">
        <v>240</v>
      </c>
      <c r="BE25" s="170">
        <v>80</v>
      </c>
      <c r="BF25" s="170"/>
      <c r="BG25" s="170">
        <v>400</v>
      </c>
      <c r="BH25" s="170">
        <v>80</v>
      </c>
      <c r="BI25" s="170"/>
      <c r="BJ25" s="115" t="str">
        <f t="shared" si="9"/>
        <v>0</v>
      </c>
      <c r="BK25" s="115" t="str">
        <f t="shared" si="10"/>
        <v>0</v>
      </c>
      <c r="BL25" s="115" t="str">
        <f t="shared" si="11"/>
        <v>0</v>
      </c>
      <c r="BM25" s="115">
        <f t="shared" si="12"/>
        <v>1</v>
      </c>
      <c r="BN25" s="115">
        <f t="shared" si="13"/>
        <v>3269.46</v>
      </c>
      <c r="BO25" s="115">
        <f t="shared" si="14"/>
        <v>2151.54</v>
      </c>
      <c r="BP25" s="115" t="str">
        <f t="shared" si="15"/>
        <v>0</v>
      </c>
      <c r="BQ25" s="115" t="str">
        <f t="shared" si="16"/>
        <v>0</v>
      </c>
      <c r="BR25" s="115" t="str">
        <f t="shared" si="17"/>
        <v>0</v>
      </c>
      <c r="BS25" s="115"/>
      <c r="BT25" s="115">
        <v>2</v>
      </c>
      <c r="BU25" s="115">
        <f t="shared" si="31"/>
        <v>823</v>
      </c>
      <c r="BV25" s="115">
        <v>2813</v>
      </c>
      <c r="BW25" s="115"/>
      <c r="BX25" s="115"/>
      <c r="BY25" s="275">
        <v>1102.1400000000001</v>
      </c>
      <c r="BZ25" s="253">
        <v>279.04000000000002</v>
      </c>
      <c r="CA25" s="354">
        <v>279.04000000000002</v>
      </c>
      <c r="CB25" s="354"/>
      <c r="CC25" s="354"/>
      <c r="CD25" s="354">
        <f>823*0+823.1</f>
        <v>823.1</v>
      </c>
      <c r="CE25" s="354"/>
      <c r="CF25" s="354"/>
      <c r="CG25" s="354"/>
      <c r="CH25" s="355"/>
      <c r="CI25" s="356">
        <f t="shared" si="1"/>
        <v>1102.1400000000001</v>
      </c>
      <c r="CJ25" s="356">
        <f t="shared" si="0"/>
        <v>279.04000000000002</v>
      </c>
      <c r="CK25" s="357">
        <v>823</v>
      </c>
      <c r="CL25" s="358">
        <f t="shared" si="2"/>
        <v>1925.14</v>
      </c>
      <c r="CM25" s="205">
        <v>1829</v>
      </c>
      <c r="CN25" s="282">
        <f t="shared" si="18"/>
        <v>988</v>
      </c>
      <c r="CO25" s="209" t="str">
        <f t="shared" si="19"/>
        <v>0</v>
      </c>
      <c r="CP25" s="235">
        <f t="shared" si="20"/>
        <v>0</v>
      </c>
      <c r="CQ25" s="209">
        <f t="shared" si="21"/>
        <v>1</v>
      </c>
      <c r="CR25" s="235">
        <f t="shared" si="22"/>
        <v>3540</v>
      </c>
      <c r="CS25" s="235">
        <f t="shared" si="23"/>
        <v>1</v>
      </c>
      <c r="CT25" s="235">
        <f t="shared" si="23"/>
        <v>3540</v>
      </c>
      <c r="CU25" s="156">
        <v>53</v>
      </c>
      <c r="CV25" s="284" t="str">
        <f t="shared" si="24"/>
        <v>0</v>
      </c>
      <c r="CW25" s="284" t="str">
        <f t="shared" si="25"/>
        <v>0</v>
      </c>
      <c r="CX25" s="243">
        <f t="shared" si="26"/>
        <v>6.3796467918249498</v>
      </c>
      <c r="CY25" s="216" t="str">
        <f t="shared" si="27"/>
        <v>0</v>
      </c>
      <c r="CZ25" s="216" t="str">
        <f t="shared" si="28"/>
        <v>0</v>
      </c>
      <c r="DA25" s="243">
        <f t="shared" si="29"/>
        <v>6.3796467918249498</v>
      </c>
      <c r="DB25" s="306">
        <v>1</v>
      </c>
      <c r="DC25" s="306">
        <v>0</v>
      </c>
      <c r="DD25" s="306">
        <v>0</v>
      </c>
      <c r="DE25" s="306">
        <v>0</v>
      </c>
      <c r="DF25" s="306">
        <v>1</v>
      </c>
      <c r="DG25" s="306">
        <v>0</v>
      </c>
      <c r="DH25" s="306">
        <v>0</v>
      </c>
      <c r="DI25" s="306">
        <v>0</v>
      </c>
      <c r="DJ25" s="306">
        <v>0</v>
      </c>
      <c r="DK25" s="306">
        <v>80</v>
      </c>
      <c r="DL25" s="306">
        <f t="shared" si="30"/>
        <v>73</v>
      </c>
      <c r="DM25" s="306">
        <v>7</v>
      </c>
      <c r="DN25" s="306">
        <v>49</v>
      </c>
      <c r="DO25" s="306">
        <v>23</v>
      </c>
      <c r="DP25" s="306">
        <v>57</v>
      </c>
      <c r="DQ25" s="306">
        <v>23</v>
      </c>
      <c r="DR25" s="306">
        <v>30</v>
      </c>
      <c r="DS25" s="306">
        <v>50</v>
      </c>
      <c r="DT25" s="306">
        <v>30</v>
      </c>
      <c r="DU25" s="306">
        <v>1</v>
      </c>
      <c r="DV25" s="306">
        <v>0</v>
      </c>
      <c r="DW25" s="306">
        <v>9</v>
      </c>
      <c r="DX25" s="306">
        <v>0</v>
      </c>
      <c r="DY25" s="306">
        <v>0</v>
      </c>
      <c r="DZ25" s="306">
        <v>9</v>
      </c>
      <c r="EA25" s="306">
        <v>0</v>
      </c>
      <c r="EB25" s="306">
        <v>80</v>
      </c>
      <c r="EC25" s="306">
        <v>80</v>
      </c>
      <c r="ED25" s="342"/>
      <c r="EE25" s="342"/>
    </row>
    <row r="26" spans="1:135" x14ac:dyDescent="0.2">
      <c r="A26" s="149" t="s">
        <v>197</v>
      </c>
      <c r="B26" s="169">
        <v>18</v>
      </c>
      <c r="C26" s="12" t="s">
        <v>220</v>
      </c>
      <c r="D26" s="200">
        <v>1961</v>
      </c>
      <c r="E26" s="11"/>
      <c r="F26" s="169" t="s">
        <v>13</v>
      </c>
      <c r="G26" s="35">
        <v>1</v>
      </c>
      <c r="H26" s="201">
        <v>5</v>
      </c>
      <c r="I26" s="201" t="s">
        <v>19</v>
      </c>
      <c r="J26" s="115">
        <v>9987</v>
      </c>
      <c r="K26" s="115">
        <v>729</v>
      </c>
      <c r="L26" s="157">
        <v>835</v>
      </c>
      <c r="M26" s="115"/>
      <c r="N26" s="115">
        <v>24</v>
      </c>
      <c r="O26" s="115">
        <v>116</v>
      </c>
      <c r="P26" s="115">
        <v>24</v>
      </c>
      <c r="Q26" s="115">
        <v>69</v>
      </c>
      <c r="R26" s="228">
        <v>1994.17</v>
      </c>
      <c r="S26" s="230">
        <v>1061.05</v>
      </c>
      <c r="T26" s="115">
        <f t="shared" si="3"/>
        <v>24</v>
      </c>
      <c r="U26" s="203">
        <f t="shared" si="4"/>
        <v>1994.17</v>
      </c>
      <c r="V26" s="180">
        <f t="shared" si="4"/>
        <v>1061.05</v>
      </c>
      <c r="W26" s="115">
        <v>0</v>
      </c>
      <c r="X26" s="207">
        <v>0</v>
      </c>
      <c r="Y26" s="207">
        <v>0</v>
      </c>
      <c r="Z26" s="204"/>
      <c r="AA26" s="207"/>
      <c r="AB26" s="207"/>
      <c r="AC26" s="207">
        <f t="shared" si="5"/>
        <v>475.6</v>
      </c>
      <c r="AD26" s="248">
        <f t="shared" si="6"/>
        <v>84.000000000000028</v>
      </c>
      <c r="AE26" s="248"/>
      <c r="AF26" s="248">
        <f>313.16+0.94-230.1</f>
        <v>84.000000000000028</v>
      </c>
      <c r="AG26" s="207">
        <f>161.5+230.1</f>
        <v>391.6</v>
      </c>
      <c r="AH26" s="207"/>
      <c r="AI26" s="207">
        <f t="shared" si="7"/>
        <v>2469.77</v>
      </c>
      <c r="AJ26" s="170"/>
      <c r="AK26" s="170"/>
      <c r="AL26" s="170">
        <v>3</v>
      </c>
      <c r="AM26" s="170"/>
      <c r="AN26" s="170"/>
      <c r="AO26" s="170">
        <v>1</v>
      </c>
      <c r="AP26" s="170">
        <v>1919</v>
      </c>
      <c r="AQ26" s="170"/>
      <c r="AR26" s="170">
        <v>378</v>
      </c>
      <c r="AS26" s="170">
        <v>240</v>
      </c>
      <c r="AT26" s="170">
        <v>54</v>
      </c>
      <c r="AU26" s="170">
        <f t="shared" si="8"/>
        <v>2655</v>
      </c>
      <c r="AV26" s="170"/>
      <c r="AW26" s="170">
        <v>2655</v>
      </c>
      <c r="AX26" s="170"/>
      <c r="AY26" s="170">
        <v>86</v>
      </c>
      <c r="AZ26" s="170">
        <v>698</v>
      </c>
      <c r="BA26" s="170">
        <v>698</v>
      </c>
      <c r="BB26" s="170">
        <v>12</v>
      </c>
      <c r="BC26" s="170">
        <v>6</v>
      </c>
      <c r="BD26" s="170">
        <v>170</v>
      </c>
      <c r="BE26" s="170">
        <v>27</v>
      </c>
      <c r="BF26" s="170"/>
      <c r="BG26" s="170">
        <v>300</v>
      </c>
      <c r="BH26" s="170">
        <v>60</v>
      </c>
      <c r="BI26" s="170"/>
      <c r="BJ26" s="115">
        <f t="shared" si="9"/>
        <v>1</v>
      </c>
      <c r="BK26" s="115">
        <f t="shared" si="10"/>
        <v>1994.17</v>
      </c>
      <c r="BL26" s="115">
        <f t="shared" si="11"/>
        <v>1061.05</v>
      </c>
      <c r="BM26" s="115" t="str">
        <f t="shared" si="12"/>
        <v>0</v>
      </c>
      <c r="BN26" s="115" t="str">
        <f t="shared" si="13"/>
        <v>0</v>
      </c>
      <c r="BO26" s="115" t="str">
        <f t="shared" si="14"/>
        <v>0</v>
      </c>
      <c r="BP26" s="115" t="str">
        <f t="shared" si="15"/>
        <v>0</v>
      </c>
      <c r="BQ26" s="115" t="str">
        <f t="shared" si="16"/>
        <v>0</v>
      </c>
      <c r="BR26" s="115" t="str">
        <f t="shared" si="17"/>
        <v>0</v>
      </c>
      <c r="BS26" s="115"/>
      <c r="BT26" s="115">
        <v>2</v>
      </c>
      <c r="BU26" s="115">
        <f t="shared" si="31"/>
        <v>698</v>
      </c>
      <c r="BV26" s="115">
        <v>2097</v>
      </c>
      <c r="BW26" s="115"/>
      <c r="BX26" s="115">
        <f>AP26</f>
        <v>1919</v>
      </c>
      <c r="BY26" s="275">
        <v>889.92</v>
      </c>
      <c r="BZ26" s="253">
        <v>183.51</v>
      </c>
      <c r="CA26" s="354">
        <v>183.51</v>
      </c>
      <c r="CB26" s="354"/>
      <c r="CC26" s="354"/>
      <c r="CD26" s="354">
        <v>698.4</v>
      </c>
      <c r="CE26" s="354">
        <v>8.01</v>
      </c>
      <c r="CF26" s="354"/>
      <c r="CG26" s="354"/>
      <c r="CH26" s="355"/>
      <c r="CI26" s="356">
        <f t="shared" si="1"/>
        <v>889.92</v>
      </c>
      <c r="CJ26" s="356">
        <f t="shared" si="0"/>
        <v>183.51</v>
      </c>
      <c r="CK26" s="357">
        <v>698</v>
      </c>
      <c r="CL26" s="358">
        <f t="shared" si="2"/>
        <v>1587.92</v>
      </c>
      <c r="CM26" s="205">
        <v>2811</v>
      </c>
      <c r="CN26" s="282">
        <f t="shared" si="18"/>
        <v>2082</v>
      </c>
      <c r="CO26" s="209" t="str">
        <f t="shared" si="19"/>
        <v>0</v>
      </c>
      <c r="CP26" s="235">
        <f t="shared" si="20"/>
        <v>0</v>
      </c>
      <c r="CQ26" s="209">
        <f t="shared" si="21"/>
        <v>1</v>
      </c>
      <c r="CR26" s="235">
        <f t="shared" si="22"/>
        <v>2655</v>
      </c>
      <c r="CS26" s="235">
        <f t="shared" si="23"/>
        <v>1</v>
      </c>
      <c r="CT26" s="235">
        <f t="shared" si="23"/>
        <v>2655</v>
      </c>
      <c r="CU26" s="156">
        <v>44</v>
      </c>
      <c r="CV26" s="284" t="str">
        <f t="shared" si="24"/>
        <v>0</v>
      </c>
      <c r="CW26" s="284" t="str">
        <f t="shared" si="25"/>
        <v>0</v>
      </c>
      <c r="CX26" s="243">
        <f t="shared" si="26"/>
        <v>0</v>
      </c>
      <c r="CY26" s="216" t="str">
        <f t="shared" si="27"/>
        <v>0</v>
      </c>
      <c r="CZ26" s="216" t="str">
        <f t="shared" si="28"/>
        <v>0</v>
      </c>
      <c r="DA26" s="243">
        <f t="shared" si="29"/>
        <v>3.4011264206788496</v>
      </c>
      <c r="DB26" s="306">
        <v>1</v>
      </c>
      <c r="DC26" s="306">
        <v>0</v>
      </c>
      <c r="DD26" s="306">
        <v>0</v>
      </c>
      <c r="DE26" s="306">
        <v>0</v>
      </c>
      <c r="DF26" s="306">
        <v>1</v>
      </c>
      <c r="DG26" s="306">
        <v>0</v>
      </c>
      <c r="DH26" s="306">
        <v>0</v>
      </c>
      <c r="DI26" s="306">
        <v>0</v>
      </c>
      <c r="DJ26" s="306">
        <v>0</v>
      </c>
      <c r="DK26" s="306">
        <v>27</v>
      </c>
      <c r="DL26" s="306">
        <f t="shared" si="30"/>
        <v>27</v>
      </c>
      <c r="DM26" s="306">
        <v>0</v>
      </c>
      <c r="DN26" s="306">
        <v>17</v>
      </c>
      <c r="DO26" s="306">
        <v>9</v>
      </c>
      <c r="DP26" s="306">
        <v>17</v>
      </c>
      <c r="DQ26" s="306">
        <v>9</v>
      </c>
      <c r="DR26" s="306">
        <v>12</v>
      </c>
      <c r="DS26" s="306">
        <v>13</v>
      </c>
      <c r="DT26" s="306">
        <v>13</v>
      </c>
      <c r="DU26" s="306">
        <v>0</v>
      </c>
      <c r="DV26" s="306">
        <v>0</v>
      </c>
      <c r="DW26" s="306">
        <v>4</v>
      </c>
      <c r="DX26" s="306">
        <v>0</v>
      </c>
      <c r="DY26" s="306">
        <v>0</v>
      </c>
      <c r="DZ26" s="306">
        <v>4</v>
      </c>
      <c r="EA26" s="306">
        <v>0</v>
      </c>
      <c r="EB26" s="306">
        <v>27</v>
      </c>
      <c r="EC26" s="306">
        <v>27</v>
      </c>
      <c r="ED26" s="342"/>
      <c r="EE26" s="342"/>
    </row>
    <row r="27" spans="1:135" x14ac:dyDescent="0.2">
      <c r="A27" s="149" t="s">
        <v>197</v>
      </c>
      <c r="B27" s="169">
        <v>21</v>
      </c>
      <c r="C27" s="12" t="s">
        <v>221</v>
      </c>
      <c r="D27" s="200">
        <v>1989</v>
      </c>
      <c r="E27" s="11"/>
      <c r="F27" s="206" t="s">
        <v>24</v>
      </c>
      <c r="G27" s="35">
        <v>1</v>
      </c>
      <c r="H27" s="201">
        <v>9</v>
      </c>
      <c r="I27" s="201" t="s">
        <v>22</v>
      </c>
      <c r="J27" s="115">
        <v>29298</v>
      </c>
      <c r="K27" s="115">
        <v>1142</v>
      </c>
      <c r="L27" s="115"/>
      <c r="M27" s="115">
        <v>1074</v>
      </c>
      <c r="N27" s="115">
        <v>105</v>
      </c>
      <c r="O27" s="115">
        <v>285</v>
      </c>
      <c r="P27" s="115">
        <v>105</v>
      </c>
      <c r="Q27" s="115">
        <v>246</v>
      </c>
      <c r="R27" s="228">
        <f>6771.11-4.3-2.8</f>
        <v>6764.0099999999993</v>
      </c>
      <c r="S27" s="230">
        <v>4192.5</v>
      </c>
      <c r="T27" s="115">
        <f t="shared" si="3"/>
        <v>99</v>
      </c>
      <c r="U27" s="203">
        <f t="shared" si="4"/>
        <v>6377.61</v>
      </c>
      <c r="V27" s="180">
        <f t="shared" si="4"/>
        <v>3952.93</v>
      </c>
      <c r="W27" s="115">
        <v>6</v>
      </c>
      <c r="X27" s="207">
        <v>386.4</v>
      </c>
      <c r="Y27" s="207">
        <v>239.57</v>
      </c>
      <c r="Z27" s="204"/>
      <c r="AA27" s="207"/>
      <c r="AB27" s="207"/>
      <c r="AC27" s="207">
        <f t="shared" si="5"/>
        <v>0</v>
      </c>
      <c r="AD27" s="248">
        <f t="shared" si="6"/>
        <v>0</v>
      </c>
      <c r="AE27" s="275"/>
      <c r="AF27" s="275"/>
      <c r="AG27" s="207">
        <f>18.1-18.1</f>
        <v>0</v>
      </c>
      <c r="AH27" s="207"/>
      <c r="AI27" s="207">
        <f t="shared" si="7"/>
        <v>6764.0099999999993</v>
      </c>
      <c r="AJ27" s="170"/>
      <c r="AK27" s="170">
        <v>3</v>
      </c>
      <c r="AL27" s="170">
        <v>3</v>
      </c>
      <c r="AM27" s="170">
        <v>3</v>
      </c>
      <c r="AN27" s="170"/>
      <c r="AO27" s="170">
        <v>3</v>
      </c>
      <c r="AP27" s="170">
        <v>5023</v>
      </c>
      <c r="AQ27" s="170">
        <v>54.625</v>
      </c>
      <c r="AR27" s="170">
        <v>470</v>
      </c>
      <c r="AS27" s="170">
        <v>368</v>
      </c>
      <c r="AT27" s="170">
        <v>225</v>
      </c>
      <c r="AU27" s="170">
        <f t="shared" si="8"/>
        <v>12750</v>
      </c>
      <c r="AV27" s="170"/>
      <c r="AW27" s="170">
        <v>12750</v>
      </c>
      <c r="AX27" s="170">
        <v>2520</v>
      </c>
      <c r="AY27" s="170">
        <v>330</v>
      </c>
      <c r="AZ27" s="170">
        <v>1074</v>
      </c>
      <c r="BA27" s="170">
        <v>887</v>
      </c>
      <c r="BB27" s="170">
        <v>54</v>
      </c>
      <c r="BC27" s="170">
        <v>63</v>
      </c>
      <c r="BD27" s="170">
        <v>348</v>
      </c>
      <c r="BE27" s="170">
        <v>636</v>
      </c>
      <c r="BF27" s="170">
        <v>1</v>
      </c>
      <c r="BG27" s="170">
        <v>11400</v>
      </c>
      <c r="BH27" s="170">
        <v>4905</v>
      </c>
      <c r="BI27" s="170">
        <v>135</v>
      </c>
      <c r="BJ27" s="115" t="str">
        <f t="shared" si="9"/>
        <v>0</v>
      </c>
      <c r="BK27" s="115" t="str">
        <f t="shared" si="10"/>
        <v>0</v>
      </c>
      <c r="BL27" s="115" t="str">
        <f t="shared" si="11"/>
        <v>0</v>
      </c>
      <c r="BM27" s="115">
        <f t="shared" si="12"/>
        <v>1</v>
      </c>
      <c r="BN27" s="115">
        <f t="shared" si="13"/>
        <v>6764.0099999999993</v>
      </c>
      <c r="BO27" s="115">
        <f t="shared" si="14"/>
        <v>4192.5</v>
      </c>
      <c r="BP27" s="115" t="str">
        <f t="shared" si="15"/>
        <v>0</v>
      </c>
      <c r="BQ27" s="115" t="str">
        <f t="shared" si="16"/>
        <v>0</v>
      </c>
      <c r="BR27" s="115" t="str">
        <f t="shared" si="17"/>
        <v>0</v>
      </c>
      <c r="BS27" s="115"/>
      <c r="BT27" s="115">
        <v>2</v>
      </c>
      <c r="BU27" s="115"/>
      <c r="BV27" s="115"/>
      <c r="BW27" s="115"/>
      <c r="BX27" s="115"/>
      <c r="BY27" s="275">
        <v>2097</v>
      </c>
      <c r="BZ27" s="253">
        <v>1105.5</v>
      </c>
      <c r="CA27" s="354">
        <f>619.3-(2.5+2.5+2.4)+493.6</f>
        <v>1105.5</v>
      </c>
      <c r="CB27" s="354">
        <f>(2.5+2.5+2.4)+22.5</f>
        <v>29.9</v>
      </c>
      <c r="CC27" s="354"/>
      <c r="CD27" s="354">
        <f>887*0+886.6</f>
        <v>886.6</v>
      </c>
      <c r="CE27" s="354">
        <v>61.7</v>
      </c>
      <c r="CF27" s="354"/>
      <c r="CG27" s="354">
        <v>13.3</v>
      </c>
      <c r="CH27" s="355"/>
      <c r="CI27" s="356">
        <f t="shared" si="1"/>
        <v>2097</v>
      </c>
      <c r="CJ27" s="356">
        <f t="shared" si="0"/>
        <v>1105.5</v>
      </c>
      <c r="CK27" s="357">
        <v>1074</v>
      </c>
      <c r="CL27" s="358">
        <f t="shared" si="2"/>
        <v>3171</v>
      </c>
      <c r="CM27" s="205">
        <v>2046</v>
      </c>
      <c r="CN27" s="282">
        <f t="shared" si="18"/>
        <v>904</v>
      </c>
      <c r="CO27" s="209" t="str">
        <f t="shared" si="19"/>
        <v>0</v>
      </c>
      <c r="CP27" s="235">
        <f t="shared" si="20"/>
        <v>0</v>
      </c>
      <c r="CQ27" s="209">
        <f t="shared" si="21"/>
        <v>1</v>
      </c>
      <c r="CR27" s="235">
        <f t="shared" si="22"/>
        <v>12750</v>
      </c>
      <c r="CS27" s="235">
        <f t="shared" si="23"/>
        <v>1</v>
      </c>
      <c r="CT27" s="235">
        <f t="shared" si="23"/>
        <v>12750</v>
      </c>
      <c r="CU27" s="156">
        <v>46</v>
      </c>
      <c r="CV27" s="284" t="str">
        <f t="shared" si="24"/>
        <v>0</v>
      </c>
      <c r="CW27" s="284" t="str">
        <f t="shared" si="25"/>
        <v>0</v>
      </c>
      <c r="CX27" s="243">
        <f t="shared" si="26"/>
        <v>5.7125876514079668</v>
      </c>
      <c r="CY27" s="216" t="str">
        <f t="shared" si="27"/>
        <v>0</v>
      </c>
      <c r="CZ27" s="216" t="str">
        <f t="shared" si="28"/>
        <v>0</v>
      </c>
      <c r="DA27" s="243">
        <f t="shared" si="29"/>
        <v>5.7125876514079668</v>
      </c>
      <c r="DB27" s="306">
        <v>1</v>
      </c>
      <c r="DC27" s="306">
        <v>0</v>
      </c>
      <c r="DD27" s="306">
        <v>0</v>
      </c>
      <c r="DE27" s="306">
        <v>0</v>
      </c>
      <c r="DF27" s="306">
        <v>2</v>
      </c>
      <c r="DG27" s="306">
        <v>0</v>
      </c>
      <c r="DH27" s="306">
        <v>0</v>
      </c>
      <c r="DI27" s="306">
        <v>0</v>
      </c>
      <c r="DJ27" s="306">
        <v>0</v>
      </c>
      <c r="DK27" s="306">
        <v>105</v>
      </c>
      <c r="DL27" s="306">
        <f t="shared" si="30"/>
        <v>98</v>
      </c>
      <c r="DM27" s="306">
        <v>7</v>
      </c>
      <c r="DN27" s="306">
        <v>97</v>
      </c>
      <c r="DO27" s="306">
        <v>45</v>
      </c>
      <c r="DP27" s="306">
        <v>82</v>
      </c>
      <c r="DQ27" s="306">
        <v>57</v>
      </c>
      <c r="DR27" s="306">
        <v>53</v>
      </c>
      <c r="DS27" s="306">
        <v>73</v>
      </c>
      <c r="DT27" s="306">
        <v>66</v>
      </c>
      <c r="DU27" s="306">
        <v>6</v>
      </c>
      <c r="DV27" s="306">
        <v>3</v>
      </c>
      <c r="DW27" s="306">
        <v>2</v>
      </c>
      <c r="DX27" s="306">
        <v>4</v>
      </c>
      <c r="DY27" s="306">
        <v>4</v>
      </c>
      <c r="DZ27" s="306">
        <v>0</v>
      </c>
      <c r="EA27" s="306">
        <v>6</v>
      </c>
      <c r="EB27" s="306">
        <v>105</v>
      </c>
      <c r="EC27" s="306">
        <v>105</v>
      </c>
      <c r="ED27" s="342"/>
      <c r="EE27" s="342"/>
    </row>
    <row r="28" spans="1:135" x14ac:dyDescent="0.2">
      <c r="A28" s="149" t="s">
        <v>197</v>
      </c>
      <c r="B28" s="169">
        <v>22</v>
      </c>
      <c r="C28" s="12" t="s">
        <v>222</v>
      </c>
      <c r="D28" s="200">
        <v>1989</v>
      </c>
      <c r="E28" s="11"/>
      <c r="F28" s="206" t="s">
        <v>24</v>
      </c>
      <c r="G28" s="35">
        <v>1</v>
      </c>
      <c r="H28" s="201">
        <v>9</v>
      </c>
      <c r="I28" s="201" t="s">
        <v>22</v>
      </c>
      <c r="J28" s="115">
        <v>29601</v>
      </c>
      <c r="K28" s="115">
        <v>1143</v>
      </c>
      <c r="L28" s="115"/>
      <c r="M28" s="115">
        <v>1082</v>
      </c>
      <c r="N28" s="115">
        <v>105</v>
      </c>
      <c r="O28" s="115">
        <v>285</v>
      </c>
      <c r="P28" s="115">
        <v>105</v>
      </c>
      <c r="Q28" s="115">
        <v>242</v>
      </c>
      <c r="R28" s="228">
        <f>6714.2+1</f>
        <v>6715.2</v>
      </c>
      <c r="S28" s="230">
        <v>4152.6000000000004</v>
      </c>
      <c r="T28" s="115">
        <f t="shared" si="3"/>
        <v>98</v>
      </c>
      <c r="U28" s="203">
        <f t="shared" si="4"/>
        <v>6276.4</v>
      </c>
      <c r="V28" s="180">
        <f t="shared" si="4"/>
        <v>3885.4300000000003</v>
      </c>
      <c r="W28" s="115">
        <v>7</v>
      </c>
      <c r="X28" s="207">
        <v>438.8</v>
      </c>
      <c r="Y28" s="207">
        <v>267.17</v>
      </c>
      <c r="Z28" s="204"/>
      <c r="AA28" s="207"/>
      <c r="AB28" s="207"/>
      <c r="AC28" s="207">
        <f t="shared" si="5"/>
        <v>0</v>
      </c>
      <c r="AD28" s="248">
        <f t="shared" si="6"/>
        <v>0</v>
      </c>
      <c r="AE28" s="275"/>
      <c r="AF28" s="275"/>
      <c r="AG28" s="207"/>
      <c r="AH28" s="207"/>
      <c r="AI28" s="207">
        <f t="shared" si="7"/>
        <v>6715.2</v>
      </c>
      <c r="AJ28" s="170"/>
      <c r="AK28" s="170">
        <v>3</v>
      </c>
      <c r="AL28" s="170">
        <v>3</v>
      </c>
      <c r="AM28" s="170">
        <v>3</v>
      </c>
      <c r="AN28" s="170"/>
      <c r="AO28" s="170">
        <v>3</v>
      </c>
      <c r="AP28" s="170">
        <v>5023</v>
      </c>
      <c r="AQ28" s="170"/>
      <c r="AR28" s="170">
        <v>425</v>
      </c>
      <c r="AS28" s="170">
        <v>368</v>
      </c>
      <c r="AT28" s="170">
        <v>225</v>
      </c>
      <c r="AU28" s="170">
        <f t="shared" si="8"/>
        <v>12750</v>
      </c>
      <c r="AV28" s="170"/>
      <c r="AW28" s="170">
        <v>12750</v>
      </c>
      <c r="AX28" s="170">
        <v>2520</v>
      </c>
      <c r="AY28" s="170">
        <v>326</v>
      </c>
      <c r="AZ28" s="170">
        <v>1082</v>
      </c>
      <c r="BA28" s="170">
        <v>885</v>
      </c>
      <c r="BB28" s="170">
        <v>54</v>
      </c>
      <c r="BC28" s="170">
        <v>63</v>
      </c>
      <c r="BD28" s="170">
        <v>348</v>
      </c>
      <c r="BE28" s="170">
        <v>636</v>
      </c>
      <c r="BF28" s="170">
        <v>1</v>
      </c>
      <c r="BG28" s="170">
        <v>11400</v>
      </c>
      <c r="BH28" s="170">
        <v>4905</v>
      </c>
      <c r="BI28" s="170">
        <v>135</v>
      </c>
      <c r="BJ28" s="115" t="str">
        <f t="shared" si="9"/>
        <v>0</v>
      </c>
      <c r="BK28" s="115" t="str">
        <f t="shared" si="10"/>
        <v>0</v>
      </c>
      <c r="BL28" s="115" t="str">
        <f t="shared" si="11"/>
        <v>0</v>
      </c>
      <c r="BM28" s="115">
        <f t="shared" si="12"/>
        <v>1</v>
      </c>
      <c r="BN28" s="115">
        <f t="shared" si="13"/>
        <v>6715.2</v>
      </c>
      <c r="BO28" s="115">
        <f t="shared" si="14"/>
        <v>4152.6000000000004</v>
      </c>
      <c r="BP28" s="115" t="str">
        <f t="shared" si="15"/>
        <v>0</v>
      </c>
      <c r="BQ28" s="115" t="str">
        <f t="shared" si="16"/>
        <v>0</v>
      </c>
      <c r="BR28" s="115" t="str">
        <f t="shared" si="17"/>
        <v>0</v>
      </c>
      <c r="BS28" s="115"/>
      <c r="BT28" s="115">
        <v>2</v>
      </c>
      <c r="BU28" s="115"/>
      <c r="BV28" s="115"/>
      <c r="BW28" s="115"/>
      <c r="BX28" s="115"/>
      <c r="BY28" s="275">
        <v>2151.6999999999998</v>
      </c>
      <c r="BZ28" s="253">
        <v>1171.5999999999999</v>
      </c>
      <c r="CA28" s="354">
        <v>1171.5999999999999</v>
      </c>
      <c r="CB28" s="354">
        <f>2.8*3+19.2</f>
        <v>27.599999999999998</v>
      </c>
      <c r="CC28" s="354"/>
      <c r="CD28" s="354">
        <v>885</v>
      </c>
      <c r="CE28" s="354">
        <v>54</v>
      </c>
      <c r="CF28" s="354"/>
      <c r="CG28" s="354">
        <v>13.5</v>
      </c>
      <c r="CH28" s="355"/>
      <c r="CI28" s="356">
        <f t="shared" si="1"/>
        <v>2151.6999999999998</v>
      </c>
      <c r="CJ28" s="356">
        <f t="shared" si="0"/>
        <v>1171.5999999999999</v>
      </c>
      <c r="CK28" s="357">
        <v>1082</v>
      </c>
      <c r="CL28" s="358">
        <f t="shared" si="2"/>
        <v>3233.7</v>
      </c>
      <c r="CM28" s="205">
        <v>1979</v>
      </c>
      <c r="CN28" s="282">
        <f t="shared" si="18"/>
        <v>836</v>
      </c>
      <c r="CO28" s="209" t="str">
        <f t="shared" si="19"/>
        <v>0</v>
      </c>
      <c r="CP28" s="235">
        <f t="shared" si="20"/>
        <v>0</v>
      </c>
      <c r="CQ28" s="209">
        <f t="shared" si="21"/>
        <v>1</v>
      </c>
      <c r="CR28" s="235">
        <f t="shared" si="22"/>
        <v>12750</v>
      </c>
      <c r="CS28" s="235">
        <f t="shared" si="23"/>
        <v>1</v>
      </c>
      <c r="CT28" s="235">
        <f t="shared" si="23"/>
        <v>12750</v>
      </c>
      <c r="CU28" s="156">
        <v>45</v>
      </c>
      <c r="CV28" s="284" t="str">
        <f t="shared" si="24"/>
        <v>0</v>
      </c>
      <c r="CW28" s="284" t="str">
        <f t="shared" si="25"/>
        <v>0</v>
      </c>
      <c r="CX28" s="243">
        <f t="shared" si="26"/>
        <v>6.5344293543006913</v>
      </c>
      <c r="CY28" s="216" t="str">
        <f t="shared" si="27"/>
        <v>0</v>
      </c>
      <c r="CZ28" s="216" t="str">
        <f t="shared" si="28"/>
        <v>0</v>
      </c>
      <c r="DA28" s="243">
        <f t="shared" si="29"/>
        <v>6.5344293543006913</v>
      </c>
      <c r="DB28" s="306">
        <v>1</v>
      </c>
      <c r="DC28" s="306">
        <v>0</v>
      </c>
      <c r="DD28" s="306">
        <v>0</v>
      </c>
      <c r="DE28" s="306">
        <v>0</v>
      </c>
      <c r="DF28" s="306">
        <v>2</v>
      </c>
      <c r="DG28" s="306">
        <v>0</v>
      </c>
      <c r="DH28" s="306">
        <v>0</v>
      </c>
      <c r="DI28" s="306">
        <v>0</v>
      </c>
      <c r="DJ28" s="306">
        <v>0</v>
      </c>
      <c r="DK28" s="306">
        <v>105</v>
      </c>
      <c r="DL28" s="306">
        <f t="shared" si="30"/>
        <v>97</v>
      </c>
      <c r="DM28" s="306">
        <v>8</v>
      </c>
      <c r="DN28" s="306">
        <v>95</v>
      </c>
      <c r="DO28" s="306">
        <v>57</v>
      </c>
      <c r="DP28" s="306">
        <v>65</v>
      </c>
      <c r="DQ28" s="306">
        <v>74</v>
      </c>
      <c r="DR28" s="306">
        <v>63</v>
      </c>
      <c r="DS28" s="306">
        <v>57</v>
      </c>
      <c r="DT28" s="306">
        <v>82</v>
      </c>
      <c r="DU28" s="306">
        <v>7</v>
      </c>
      <c r="DV28" s="306">
        <v>2</v>
      </c>
      <c r="DW28" s="306">
        <v>7</v>
      </c>
      <c r="DX28" s="306">
        <v>3</v>
      </c>
      <c r="DY28" s="306">
        <v>3</v>
      </c>
      <c r="DZ28" s="306">
        <v>5</v>
      </c>
      <c r="EA28" s="306">
        <v>5</v>
      </c>
      <c r="EB28" s="306">
        <v>105</v>
      </c>
      <c r="EC28" s="306">
        <v>105</v>
      </c>
      <c r="ED28" s="342"/>
      <c r="EE28" s="342"/>
    </row>
    <row r="29" spans="1:135" x14ac:dyDescent="0.2">
      <c r="A29" s="149" t="s">
        <v>197</v>
      </c>
      <c r="B29" s="169">
        <v>23</v>
      </c>
      <c r="C29" s="12" t="s">
        <v>223</v>
      </c>
      <c r="D29" s="200">
        <v>1988</v>
      </c>
      <c r="E29" s="11"/>
      <c r="F29" s="206" t="s">
        <v>24</v>
      </c>
      <c r="G29" s="35">
        <v>1</v>
      </c>
      <c r="H29" s="201">
        <v>9</v>
      </c>
      <c r="I29" s="201" t="s">
        <v>22</v>
      </c>
      <c r="J29" s="115">
        <v>29287</v>
      </c>
      <c r="K29" s="115">
        <v>1141</v>
      </c>
      <c r="L29" s="115"/>
      <c r="M29" s="115">
        <v>1067</v>
      </c>
      <c r="N29" s="115">
        <v>105</v>
      </c>
      <c r="O29" s="115">
        <v>285</v>
      </c>
      <c r="P29" s="115">
        <v>105</v>
      </c>
      <c r="Q29" s="115">
        <v>257</v>
      </c>
      <c r="R29" s="228">
        <v>6737.8</v>
      </c>
      <c r="S29" s="230">
        <v>4168.49</v>
      </c>
      <c r="T29" s="115">
        <f t="shared" si="3"/>
        <v>96</v>
      </c>
      <c r="U29" s="203">
        <f t="shared" si="4"/>
        <v>6142.3</v>
      </c>
      <c r="V29" s="180">
        <f t="shared" si="4"/>
        <v>3846.29</v>
      </c>
      <c r="W29" s="115">
        <v>9</v>
      </c>
      <c r="X29" s="207">
        <v>595.5</v>
      </c>
      <c r="Y29" s="207">
        <v>322.2</v>
      </c>
      <c r="Z29" s="204"/>
      <c r="AA29" s="207"/>
      <c r="AB29" s="207"/>
      <c r="AC29" s="207">
        <f t="shared" si="5"/>
        <v>0</v>
      </c>
      <c r="AD29" s="248">
        <f t="shared" si="6"/>
        <v>0</v>
      </c>
      <c r="AE29" s="275"/>
      <c r="AF29" s="275"/>
      <c r="AG29" s="207"/>
      <c r="AH29" s="207"/>
      <c r="AI29" s="207">
        <f t="shared" si="7"/>
        <v>6737.8</v>
      </c>
      <c r="AJ29" s="170"/>
      <c r="AK29" s="170">
        <v>3</v>
      </c>
      <c r="AL29" s="170">
        <v>3</v>
      </c>
      <c r="AM29" s="170">
        <v>3</v>
      </c>
      <c r="AN29" s="170"/>
      <c r="AO29" s="170">
        <v>3</v>
      </c>
      <c r="AP29" s="170">
        <v>5023</v>
      </c>
      <c r="AQ29" s="170"/>
      <c r="AR29" s="170">
        <v>810</v>
      </c>
      <c r="AS29" s="170">
        <v>368</v>
      </c>
      <c r="AT29" s="170">
        <v>225</v>
      </c>
      <c r="AU29" s="170">
        <f t="shared" si="8"/>
        <v>12750</v>
      </c>
      <c r="AV29" s="170"/>
      <c r="AW29" s="170">
        <v>12750</v>
      </c>
      <c r="AX29" s="170">
        <v>2520</v>
      </c>
      <c r="AY29" s="170">
        <v>322</v>
      </c>
      <c r="AZ29" s="170">
        <v>1067</v>
      </c>
      <c r="BA29" s="170">
        <v>886</v>
      </c>
      <c r="BB29" s="170">
        <v>54</v>
      </c>
      <c r="BC29" s="170">
        <v>63</v>
      </c>
      <c r="BD29" s="170">
        <v>348</v>
      </c>
      <c r="BE29" s="170">
        <v>848</v>
      </c>
      <c r="BF29" s="170">
        <v>1</v>
      </c>
      <c r="BG29" s="170">
        <v>11400</v>
      </c>
      <c r="BH29" s="170">
        <v>4905</v>
      </c>
      <c r="BI29" s="170">
        <v>135</v>
      </c>
      <c r="BJ29" s="115" t="str">
        <f t="shared" si="9"/>
        <v>0</v>
      </c>
      <c r="BK29" s="115" t="str">
        <f t="shared" si="10"/>
        <v>0</v>
      </c>
      <c r="BL29" s="115" t="str">
        <f t="shared" si="11"/>
        <v>0</v>
      </c>
      <c r="BM29" s="115">
        <f t="shared" si="12"/>
        <v>1</v>
      </c>
      <c r="BN29" s="115">
        <f t="shared" si="13"/>
        <v>6737.8</v>
      </c>
      <c r="BO29" s="115">
        <f t="shared" si="14"/>
        <v>4168.49</v>
      </c>
      <c r="BP29" s="115" t="str">
        <f t="shared" si="15"/>
        <v>0</v>
      </c>
      <c r="BQ29" s="115" t="str">
        <f t="shared" si="16"/>
        <v>0</v>
      </c>
      <c r="BR29" s="115" t="str">
        <f t="shared" si="17"/>
        <v>0</v>
      </c>
      <c r="BS29" s="115"/>
      <c r="BT29" s="115">
        <v>3</v>
      </c>
      <c r="BU29" s="115"/>
      <c r="BV29" s="115"/>
      <c r="BW29" s="115"/>
      <c r="BX29" s="115"/>
      <c r="BY29" s="275">
        <v>2171.6</v>
      </c>
      <c r="BZ29" s="253">
        <v>1154.4000000000001</v>
      </c>
      <c r="CA29" s="354">
        <f>465.6-2.8*3+697.2</f>
        <v>1154.4000000000001</v>
      </c>
      <c r="CB29" s="354">
        <f>(2.8*3)+47.4</f>
        <v>55.8</v>
      </c>
      <c r="CC29" s="354"/>
      <c r="CD29" s="354">
        <v>886.4</v>
      </c>
      <c r="CE29" s="354">
        <v>61.1</v>
      </c>
      <c r="CF29" s="354"/>
      <c r="CG29" s="354">
        <v>13.9</v>
      </c>
      <c r="CH29" s="355"/>
      <c r="CI29" s="356">
        <f t="shared" si="1"/>
        <v>2171.6</v>
      </c>
      <c r="CJ29" s="356">
        <f t="shared" si="0"/>
        <v>1154.4000000000001</v>
      </c>
      <c r="CK29" s="357">
        <v>1067</v>
      </c>
      <c r="CL29" s="358">
        <f t="shared" si="2"/>
        <v>3238.6</v>
      </c>
      <c r="CM29" s="205">
        <v>1847</v>
      </c>
      <c r="CN29" s="282">
        <f t="shared" si="18"/>
        <v>706</v>
      </c>
      <c r="CO29" s="209" t="str">
        <f t="shared" si="19"/>
        <v>0</v>
      </c>
      <c r="CP29" s="235">
        <f t="shared" si="20"/>
        <v>0</v>
      </c>
      <c r="CQ29" s="209">
        <f t="shared" si="21"/>
        <v>1</v>
      </c>
      <c r="CR29" s="235">
        <f t="shared" si="22"/>
        <v>12750</v>
      </c>
      <c r="CS29" s="235">
        <f t="shared" si="23"/>
        <v>1</v>
      </c>
      <c r="CT29" s="235">
        <f t="shared" si="23"/>
        <v>12750</v>
      </c>
      <c r="CU29" s="156">
        <v>55</v>
      </c>
      <c r="CV29" s="284" t="str">
        <f t="shared" si="24"/>
        <v>0</v>
      </c>
      <c r="CW29" s="284" t="str">
        <f t="shared" si="25"/>
        <v>0</v>
      </c>
      <c r="CX29" s="243">
        <f t="shared" si="26"/>
        <v>8.8381964439431258</v>
      </c>
      <c r="CY29" s="216" t="str">
        <f t="shared" si="27"/>
        <v>0</v>
      </c>
      <c r="CZ29" s="216" t="str">
        <f t="shared" si="28"/>
        <v>0</v>
      </c>
      <c r="DA29" s="243">
        <f t="shared" si="29"/>
        <v>8.8381964439431258</v>
      </c>
      <c r="DB29" s="306">
        <v>1</v>
      </c>
      <c r="DC29" s="306">
        <v>0</v>
      </c>
      <c r="DD29" s="306">
        <v>0</v>
      </c>
      <c r="DE29" s="306">
        <v>0</v>
      </c>
      <c r="DF29" s="306">
        <v>2</v>
      </c>
      <c r="DG29" s="306">
        <v>0</v>
      </c>
      <c r="DH29" s="306">
        <v>0</v>
      </c>
      <c r="DI29" s="306">
        <v>0</v>
      </c>
      <c r="DJ29" s="306">
        <v>0</v>
      </c>
      <c r="DK29" s="306">
        <v>105</v>
      </c>
      <c r="DL29" s="306">
        <f t="shared" si="30"/>
        <v>96</v>
      </c>
      <c r="DM29" s="306">
        <v>9</v>
      </c>
      <c r="DN29" s="306">
        <v>95</v>
      </c>
      <c r="DO29" s="306">
        <v>54</v>
      </c>
      <c r="DP29" s="306">
        <v>67</v>
      </c>
      <c r="DQ29" s="306">
        <v>72</v>
      </c>
      <c r="DR29" s="306">
        <v>62</v>
      </c>
      <c r="DS29" s="306">
        <v>57</v>
      </c>
      <c r="DT29" s="306">
        <v>82</v>
      </c>
      <c r="DU29" s="306">
        <v>9</v>
      </c>
      <c r="DV29" s="306">
        <v>3</v>
      </c>
      <c r="DW29" s="306">
        <v>7</v>
      </c>
      <c r="DX29" s="306">
        <v>4</v>
      </c>
      <c r="DY29" s="306">
        <v>4</v>
      </c>
      <c r="DZ29" s="306">
        <v>5</v>
      </c>
      <c r="EA29" s="306">
        <v>6</v>
      </c>
      <c r="EB29" s="306">
        <v>105</v>
      </c>
      <c r="EC29" s="306">
        <v>105</v>
      </c>
      <c r="ED29" s="342"/>
      <c r="EE29" s="342"/>
    </row>
    <row r="30" spans="1:135" x14ac:dyDescent="0.2">
      <c r="A30" s="149" t="s">
        <v>197</v>
      </c>
      <c r="B30" s="169">
        <v>24</v>
      </c>
      <c r="C30" s="12" t="s">
        <v>224</v>
      </c>
      <c r="D30" s="200">
        <v>1989</v>
      </c>
      <c r="E30" s="11"/>
      <c r="F30" s="206" t="s">
        <v>24</v>
      </c>
      <c r="G30" s="35">
        <v>1</v>
      </c>
      <c r="H30" s="201">
        <v>9</v>
      </c>
      <c r="I30" s="201" t="s">
        <v>22</v>
      </c>
      <c r="J30" s="115">
        <v>10182</v>
      </c>
      <c r="K30" s="115">
        <v>400</v>
      </c>
      <c r="L30" s="115"/>
      <c r="M30" s="115">
        <v>375</v>
      </c>
      <c r="N30" s="115">
        <v>34</v>
      </c>
      <c r="O30" s="115">
        <v>106</v>
      </c>
      <c r="P30" s="115">
        <v>34</v>
      </c>
      <c r="Q30" s="115">
        <v>85</v>
      </c>
      <c r="R30" s="228">
        <f>2336.5+2.5</f>
        <v>2339</v>
      </c>
      <c r="S30" s="230">
        <v>1496.3</v>
      </c>
      <c r="T30" s="115">
        <f t="shared" si="3"/>
        <v>32</v>
      </c>
      <c r="U30" s="203">
        <f t="shared" si="4"/>
        <v>2234.1999999999998</v>
      </c>
      <c r="V30" s="180">
        <f t="shared" si="4"/>
        <v>1431.32</v>
      </c>
      <c r="W30" s="115">
        <v>2</v>
      </c>
      <c r="X30" s="207">
        <v>104.8</v>
      </c>
      <c r="Y30" s="207">
        <v>64.98</v>
      </c>
      <c r="Z30" s="204"/>
      <c r="AA30" s="207"/>
      <c r="AB30" s="207"/>
      <c r="AC30" s="207">
        <f t="shared" si="5"/>
        <v>100.5</v>
      </c>
      <c r="AD30" s="248">
        <f t="shared" si="6"/>
        <v>0</v>
      </c>
      <c r="AE30" s="275"/>
      <c r="AF30" s="275"/>
      <c r="AG30" s="207">
        <v>100.5</v>
      </c>
      <c r="AH30" s="207"/>
      <c r="AI30" s="207">
        <f t="shared" si="7"/>
        <v>2439.5</v>
      </c>
      <c r="AJ30" s="170"/>
      <c r="AK30" s="170">
        <v>1</v>
      </c>
      <c r="AL30" s="170">
        <v>1</v>
      </c>
      <c r="AM30" s="170">
        <v>1</v>
      </c>
      <c r="AN30" s="170"/>
      <c r="AO30" s="170">
        <v>1</v>
      </c>
      <c r="AP30" s="170">
        <v>1860</v>
      </c>
      <c r="AQ30" s="170"/>
      <c r="AR30" s="170">
        <v>425</v>
      </c>
      <c r="AS30" s="170">
        <v>160</v>
      </c>
      <c r="AT30" s="170">
        <v>75</v>
      </c>
      <c r="AU30" s="170">
        <f t="shared" si="8"/>
        <v>4090</v>
      </c>
      <c r="AV30" s="170"/>
      <c r="AW30" s="170">
        <v>4090</v>
      </c>
      <c r="AX30" s="170">
        <v>840</v>
      </c>
      <c r="AY30" s="170">
        <v>110</v>
      </c>
      <c r="AZ30" s="170">
        <v>375</v>
      </c>
      <c r="BA30" s="170">
        <v>309</v>
      </c>
      <c r="BB30" s="170">
        <v>18</v>
      </c>
      <c r="BC30" s="170">
        <v>21</v>
      </c>
      <c r="BD30" s="170">
        <v>116</v>
      </c>
      <c r="BE30" s="170">
        <v>212</v>
      </c>
      <c r="BF30" s="170">
        <v>1</v>
      </c>
      <c r="BG30" s="170">
        <v>3800</v>
      </c>
      <c r="BH30" s="170">
        <v>1635</v>
      </c>
      <c r="BI30" s="170">
        <v>45</v>
      </c>
      <c r="BJ30" s="115" t="str">
        <f t="shared" si="9"/>
        <v>0</v>
      </c>
      <c r="BK30" s="115" t="str">
        <f t="shared" si="10"/>
        <v>0</v>
      </c>
      <c r="BL30" s="115" t="str">
        <f t="shared" si="11"/>
        <v>0</v>
      </c>
      <c r="BM30" s="115">
        <f t="shared" si="12"/>
        <v>1</v>
      </c>
      <c r="BN30" s="115">
        <f t="shared" si="13"/>
        <v>2339</v>
      </c>
      <c r="BO30" s="115">
        <f t="shared" si="14"/>
        <v>1496.3</v>
      </c>
      <c r="BP30" s="115" t="str">
        <f t="shared" si="15"/>
        <v>0</v>
      </c>
      <c r="BQ30" s="115" t="str">
        <f t="shared" si="16"/>
        <v>0</v>
      </c>
      <c r="BR30" s="115" t="str">
        <f t="shared" si="17"/>
        <v>0</v>
      </c>
      <c r="BS30" s="115"/>
      <c r="BT30" s="115"/>
      <c r="BU30" s="115"/>
      <c r="BV30" s="115"/>
      <c r="BW30" s="115"/>
      <c r="BX30" s="115"/>
      <c r="BY30" s="275">
        <v>762.69999999999993</v>
      </c>
      <c r="BZ30" s="253">
        <v>390.5</v>
      </c>
      <c r="CA30" s="354">
        <f>166.3-2.7+226.9</f>
        <v>390.5</v>
      </c>
      <c r="CB30" s="354">
        <f>2.7+16.8</f>
        <v>19.5</v>
      </c>
      <c r="CC30" s="354"/>
      <c r="CD30" s="354">
        <v>308.8</v>
      </c>
      <c r="CE30" s="354">
        <v>14.5</v>
      </c>
      <c r="CF30" s="354"/>
      <c r="CG30" s="354">
        <v>29.4</v>
      </c>
      <c r="CH30" s="355"/>
      <c r="CI30" s="356">
        <f t="shared" si="1"/>
        <v>762.7</v>
      </c>
      <c r="CJ30" s="356">
        <f t="shared" si="0"/>
        <v>390.5</v>
      </c>
      <c r="CK30" s="357">
        <v>375</v>
      </c>
      <c r="CL30" s="358">
        <f t="shared" si="2"/>
        <v>1137.7</v>
      </c>
      <c r="CM30" s="205">
        <v>1041</v>
      </c>
      <c r="CN30" s="282">
        <f t="shared" si="18"/>
        <v>641</v>
      </c>
      <c r="CO30" s="209" t="str">
        <f t="shared" si="19"/>
        <v>0</v>
      </c>
      <c r="CP30" s="235">
        <f t="shared" si="20"/>
        <v>0</v>
      </c>
      <c r="CQ30" s="209">
        <f t="shared" si="21"/>
        <v>1</v>
      </c>
      <c r="CR30" s="235">
        <f t="shared" si="22"/>
        <v>4090</v>
      </c>
      <c r="CS30" s="235">
        <f t="shared" si="23"/>
        <v>1</v>
      </c>
      <c r="CT30" s="235">
        <f t="shared" si="23"/>
        <v>4090</v>
      </c>
      <c r="CU30" s="156">
        <v>44</v>
      </c>
      <c r="CV30" s="284" t="str">
        <f t="shared" si="24"/>
        <v>0</v>
      </c>
      <c r="CW30" s="284" t="str">
        <f t="shared" si="25"/>
        <v>0</v>
      </c>
      <c r="CX30" s="243">
        <f t="shared" si="26"/>
        <v>4.4805472424112871</v>
      </c>
      <c r="CY30" s="216" t="str">
        <f t="shared" si="27"/>
        <v>0</v>
      </c>
      <c r="CZ30" s="216" t="str">
        <f t="shared" si="28"/>
        <v>0</v>
      </c>
      <c r="DA30" s="243">
        <f t="shared" si="29"/>
        <v>4.2959622873539658</v>
      </c>
      <c r="DB30" s="306">
        <v>1</v>
      </c>
      <c r="DC30" s="306">
        <v>0</v>
      </c>
      <c r="DD30" s="306">
        <v>0</v>
      </c>
      <c r="DE30" s="306">
        <v>0</v>
      </c>
      <c r="DF30" s="306">
        <v>2</v>
      </c>
      <c r="DG30" s="306">
        <v>0</v>
      </c>
      <c r="DH30" s="306">
        <v>0</v>
      </c>
      <c r="DI30" s="306">
        <v>0</v>
      </c>
      <c r="DJ30" s="306">
        <v>0</v>
      </c>
      <c r="DK30" s="306">
        <v>34</v>
      </c>
      <c r="DL30" s="306">
        <f t="shared" si="30"/>
        <v>33</v>
      </c>
      <c r="DM30" s="306">
        <v>1</v>
      </c>
      <c r="DN30" s="306">
        <v>27</v>
      </c>
      <c r="DO30" s="306">
        <v>20</v>
      </c>
      <c r="DP30" s="306">
        <v>14</v>
      </c>
      <c r="DQ30" s="306">
        <v>20</v>
      </c>
      <c r="DR30" s="306">
        <v>24</v>
      </c>
      <c r="DS30" s="306">
        <v>10</v>
      </c>
      <c r="DT30" s="306">
        <v>24</v>
      </c>
      <c r="DU30" s="306">
        <v>0</v>
      </c>
      <c r="DV30" s="306">
        <v>0</v>
      </c>
      <c r="DW30" s="306">
        <v>1</v>
      </c>
      <c r="DX30" s="306">
        <v>0</v>
      </c>
      <c r="DY30" s="306">
        <v>0</v>
      </c>
      <c r="DZ30" s="306">
        <v>1</v>
      </c>
      <c r="EA30" s="306">
        <v>0</v>
      </c>
      <c r="EB30" s="306">
        <v>34</v>
      </c>
      <c r="EC30" s="306">
        <v>34</v>
      </c>
      <c r="ED30" s="342"/>
      <c r="EE30" s="342"/>
    </row>
    <row r="31" spans="1:135" x14ac:dyDescent="0.2">
      <c r="A31" s="359" t="s">
        <v>203</v>
      </c>
      <c r="B31" s="169">
        <v>25</v>
      </c>
      <c r="C31" s="12" t="s">
        <v>225</v>
      </c>
      <c r="D31" s="200">
        <v>1989</v>
      </c>
      <c r="E31" s="11"/>
      <c r="F31" s="206" t="s">
        <v>24</v>
      </c>
      <c r="G31" s="35">
        <v>1</v>
      </c>
      <c r="H31" s="201">
        <v>9</v>
      </c>
      <c r="I31" s="201" t="s">
        <v>22</v>
      </c>
      <c r="J31" s="115">
        <v>10500</v>
      </c>
      <c r="K31" s="115">
        <v>417</v>
      </c>
      <c r="L31" s="115"/>
      <c r="M31" s="115">
        <v>382</v>
      </c>
      <c r="N31" s="115">
        <v>32</v>
      </c>
      <c r="O31" s="115">
        <v>96</v>
      </c>
      <c r="P31" s="115">
        <v>32</v>
      </c>
      <c r="Q31" s="115">
        <v>81</v>
      </c>
      <c r="R31" s="228">
        <v>2147.3000000000002</v>
      </c>
      <c r="S31" s="230">
        <v>1392.8</v>
      </c>
      <c r="T31" s="115">
        <f t="shared" si="3"/>
        <v>19</v>
      </c>
      <c r="U31" s="203">
        <f t="shared" si="4"/>
        <v>1259.2000000000003</v>
      </c>
      <c r="V31" s="180">
        <f t="shared" si="4"/>
        <v>842.17</v>
      </c>
      <c r="W31" s="115">
        <v>13</v>
      </c>
      <c r="X31" s="207">
        <v>888.1</v>
      </c>
      <c r="Y31" s="207">
        <v>550.63</v>
      </c>
      <c r="Z31" s="204"/>
      <c r="AA31" s="207"/>
      <c r="AB31" s="207"/>
      <c r="AC31" s="207">
        <f t="shared" si="5"/>
        <v>0</v>
      </c>
      <c r="AD31" s="248">
        <f t="shared" si="6"/>
        <v>0</v>
      </c>
      <c r="AE31" s="275"/>
      <c r="AF31" s="275"/>
      <c r="AG31" s="207"/>
      <c r="AH31" s="207"/>
      <c r="AI31" s="207">
        <f t="shared" si="7"/>
        <v>2147.3000000000002</v>
      </c>
      <c r="AJ31" s="170"/>
      <c r="AK31" s="170">
        <v>1</v>
      </c>
      <c r="AL31" s="170">
        <v>1</v>
      </c>
      <c r="AM31" s="170">
        <v>1</v>
      </c>
      <c r="AN31" s="170"/>
      <c r="AO31" s="170">
        <v>1</v>
      </c>
      <c r="AP31" s="170">
        <v>1860</v>
      </c>
      <c r="AQ31" s="170"/>
      <c r="AR31" s="170">
        <v>450</v>
      </c>
      <c r="AS31" s="170">
        <v>160</v>
      </c>
      <c r="AT31" s="170">
        <v>75</v>
      </c>
      <c r="AU31" s="170">
        <f t="shared" si="8"/>
        <v>4090</v>
      </c>
      <c r="AV31" s="170"/>
      <c r="AW31" s="170">
        <v>4090</v>
      </c>
      <c r="AX31" s="170">
        <v>840</v>
      </c>
      <c r="AY31" s="170">
        <v>110</v>
      </c>
      <c r="AZ31" s="170">
        <v>382</v>
      </c>
      <c r="BA31" s="170">
        <v>329</v>
      </c>
      <c r="BB31" s="170">
        <v>18</v>
      </c>
      <c r="BC31" s="170">
        <v>21</v>
      </c>
      <c r="BD31" s="170">
        <v>116</v>
      </c>
      <c r="BE31" s="170">
        <v>212</v>
      </c>
      <c r="BF31" s="170">
        <v>1</v>
      </c>
      <c r="BG31" s="170">
        <v>3800</v>
      </c>
      <c r="BH31" s="170">
        <v>1635</v>
      </c>
      <c r="BI31" s="170">
        <v>45</v>
      </c>
      <c r="BJ31" s="115" t="str">
        <f t="shared" si="9"/>
        <v>0</v>
      </c>
      <c r="BK31" s="115" t="str">
        <f t="shared" si="10"/>
        <v>0</v>
      </c>
      <c r="BL31" s="115" t="str">
        <f t="shared" si="11"/>
        <v>0</v>
      </c>
      <c r="BM31" s="115">
        <f t="shared" si="12"/>
        <v>1</v>
      </c>
      <c r="BN31" s="115">
        <f t="shared" si="13"/>
        <v>2147.3000000000002</v>
      </c>
      <c r="BO31" s="115">
        <f t="shared" si="14"/>
        <v>1392.8</v>
      </c>
      <c r="BP31" s="115" t="str">
        <f t="shared" si="15"/>
        <v>0</v>
      </c>
      <c r="BQ31" s="115" t="str">
        <f t="shared" si="16"/>
        <v>0</v>
      </c>
      <c r="BR31" s="115" t="str">
        <f t="shared" si="17"/>
        <v>0</v>
      </c>
      <c r="BS31" s="115"/>
      <c r="BT31" s="115">
        <v>1</v>
      </c>
      <c r="BU31" s="115"/>
      <c r="BV31" s="115"/>
      <c r="BW31" s="115"/>
      <c r="BX31" s="115"/>
      <c r="BY31" s="275">
        <v>738.1</v>
      </c>
      <c r="BZ31" s="253">
        <v>372.3</v>
      </c>
      <c r="CA31" s="354">
        <f>157.8-2.5+217</f>
        <v>372.3</v>
      </c>
      <c r="CB31" s="354">
        <v>2.5</v>
      </c>
      <c r="CC31" s="354"/>
      <c r="CD31" s="354">
        <f>329</f>
        <v>329</v>
      </c>
      <c r="CE31" s="354">
        <f>26.8+2.8</f>
        <v>29.6</v>
      </c>
      <c r="CF31" s="354"/>
      <c r="CG31" s="354">
        <v>4.7</v>
      </c>
      <c r="CH31" s="355"/>
      <c r="CI31" s="356">
        <f t="shared" si="1"/>
        <v>738.1</v>
      </c>
      <c r="CJ31" s="356">
        <f t="shared" si="0"/>
        <v>372.3</v>
      </c>
      <c r="CK31" s="357">
        <v>382</v>
      </c>
      <c r="CL31" s="358">
        <f t="shared" si="2"/>
        <v>1120.0999999999999</v>
      </c>
      <c r="CM31" s="205">
        <v>887</v>
      </c>
      <c r="CN31" s="282">
        <f t="shared" si="18"/>
        <v>470</v>
      </c>
      <c r="CO31" s="209" t="str">
        <f t="shared" si="19"/>
        <v>0</v>
      </c>
      <c r="CP31" s="235">
        <f t="shared" si="20"/>
        <v>0</v>
      </c>
      <c r="CQ31" s="209">
        <f t="shared" si="21"/>
        <v>1</v>
      </c>
      <c r="CR31" s="235">
        <f t="shared" si="22"/>
        <v>4090</v>
      </c>
      <c r="CS31" s="235">
        <f t="shared" si="23"/>
        <v>1</v>
      </c>
      <c r="CT31" s="235">
        <f t="shared" si="23"/>
        <v>4090</v>
      </c>
      <c r="CU31" s="156">
        <v>54</v>
      </c>
      <c r="CV31" s="284" t="str">
        <f t="shared" si="24"/>
        <v>0</v>
      </c>
      <c r="CW31" s="284" t="str">
        <f t="shared" si="25"/>
        <v>0</v>
      </c>
      <c r="CX31" s="243">
        <f t="shared" si="26"/>
        <v>41.358915847808873</v>
      </c>
      <c r="CY31" s="216" t="str">
        <f t="shared" si="27"/>
        <v>0</v>
      </c>
      <c r="CZ31" s="216" t="str">
        <f t="shared" si="28"/>
        <v>0</v>
      </c>
      <c r="DA31" s="243">
        <f t="shared" si="29"/>
        <v>41.358915847808873</v>
      </c>
      <c r="DB31" s="306">
        <v>1</v>
      </c>
      <c r="DC31" s="306">
        <v>0</v>
      </c>
      <c r="DD31" s="306">
        <v>0</v>
      </c>
      <c r="DE31" s="306">
        <v>0</v>
      </c>
      <c r="DF31" s="306">
        <v>2</v>
      </c>
      <c r="DG31" s="306">
        <v>0</v>
      </c>
      <c r="DH31" s="306">
        <v>0</v>
      </c>
      <c r="DI31" s="306">
        <v>0</v>
      </c>
      <c r="DJ31" s="306">
        <v>0</v>
      </c>
      <c r="DK31" s="306">
        <v>32</v>
      </c>
      <c r="DL31" s="306">
        <f t="shared" si="30"/>
        <v>19</v>
      </c>
      <c r="DM31" s="306">
        <v>13</v>
      </c>
      <c r="DN31" s="306">
        <v>15</v>
      </c>
      <c r="DO31" s="306">
        <v>12</v>
      </c>
      <c r="DP31" s="306">
        <v>20</v>
      </c>
      <c r="DQ31" s="306">
        <v>12</v>
      </c>
      <c r="DR31" s="306">
        <v>14</v>
      </c>
      <c r="DS31" s="306">
        <v>18</v>
      </c>
      <c r="DT31" s="306">
        <v>14</v>
      </c>
      <c r="DU31" s="306">
        <v>5</v>
      </c>
      <c r="DV31" s="306">
        <v>8</v>
      </c>
      <c r="DW31" s="306">
        <v>5</v>
      </c>
      <c r="DX31" s="306">
        <v>8</v>
      </c>
      <c r="DY31" s="306">
        <v>8</v>
      </c>
      <c r="DZ31" s="306">
        <v>5</v>
      </c>
      <c r="EA31" s="306">
        <v>8</v>
      </c>
      <c r="EB31" s="306">
        <v>32</v>
      </c>
      <c r="EC31" s="306">
        <v>32</v>
      </c>
      <c r="ED31" s="342"/>
      <c r="EE31" s="342"/>
    </row>
    <row r="32" spans="1:135" x14ac:dyDescent="0.2">
      <c r="A32" s="359" t="s">
        <v>203</v>
      </c>
      <c r="B32" s="169">
        <v>26</v>
      </c>
      <c r="C32" s="12" t="s">
        <v>226</v>
      </c>
      <c r="D32" s="200">
        <v>1952</v>
      </c>
      <c r="E32" s="11"/>
      <c r="F32" s="169" t="s">
        <v>207</v>
      </c>
      <c r="G32" s="35">
        <v>1</v>
      </c>
      <c r="H32" s="201">
        <v>5</v>
      </c>
      <c r="I32" s="201" t="s">
        <v>19</v>
      </c>
      <c r="J32" s="115">
        <v>34583</v>
      </c>
      <c r="K32" s="115">
        <v>1926</v>
      </c>
      <c r="L32" s="157">
        <v>1032</v>
      </c>
      <c r="M32" s="115"/>
      <c r="N32" s="115">
        <f>16+69</f>
        <v>85</v>
      </c>
      <c r="O32" s="115">
        <v>181</v>
      </c>
      <c r="P32" s="115">
        <v>85</v>
      </c>
      <c r="Q32" s="115">
        <v>88</v>
      </c>
      <c r="R32" s="228">
        <f>5810.2-1.5+3</f>
        <v>5811.7</v>
      </c>
      <c r="S32" s="230">
        <v>3182.9</v>
      </c>
      <c r="T32" s="115">
        <f t="shared" si="3"/>
        <v>19</v>
      </c>
      <c r="U32" s="203">
        <f t="shared" si="4"/>
        <v>1458.1999999999998</v>
      </c>
      <c r="V32" s="180">
        <f t="shared" si="4"/>
        <v>483.73</v>
      </c>
      <c r="W32" s="115">
        <v>66</v>
      </c>
      <c r="X32" s="207">
        <v>4353.5</v>
      </c>
      <c r="Y32" s="207">
        <v>2699.17</v>
      </c>
      <c r="Z32" s="204"/>
      <c r="AA32" s="207"/>
      <c r="AB32" s="207"/>
      <c r="AC32" s="207">
        <f t="shared" si="5"/>
        <v>894.2</v>
      </c>
      <c r="AD32" s="248">
        <f t="shared" si="6"/>
        <v>894.2</v>
      </c>
      <c r="AE32" s="275"/>
      <c r="AF32" s="275">
        <f>1212.2-318</f>
        <v>894.2</v>
      </c>
      <c r="AG32" s="207"/>
      <c r="AH32" s="207"/>
      <c r="AI32" s="207">
        <f t="shared" si="7"/>
        <v>6705.9</v>
      </c>
      <c r="AJ32" s="170"/>
      <c r="AK32" s="170"/>
      <c r="AL32" s="170">
        <v>5</v>
      </c>
      <c r="AM32" s="170"/>
      <c r="AN32" s="170"/>
      <c r="AO32" s="170">
        <v>2</v>
      </c>
      <c r="AP32" s="170">
        <v>3069</v>
      </c>
      <c r="AQ32" s="170">
        <v>147.75</v>
      </c>
      <c r="AR32" s="170">
        <v>315</v>
      </c>
      <c r="AS32" s="170">
        <v>356</v>
      </c>
      <c r="AT32" s="170">
        <v>75</v>
      </c>
      <c r="AU32" s="170">
        <f t="shared" si="8"/>
        <v>4215</v>
      </c>
      <c r="AV32" s="170"/>
      <c r="AW32" s="170">
        <v>4215</v>
      </c>
      <c r="AX32" s="170"/>
      <c r="AY32" s="170">
        <v>196</v>
      </c>
      <c r="AZ32" s="170">
        <v>1908</v>
      </c>
      <c r="BA32" s="170">
        <v>1908</v>
      </c>
      <c r="BB32" s="170">
        <v>15</v>
      </c>
      <c r="BC32" s="170">
        <v>13</v>
      </c>
      <c r="BD32" s="170">
        <v>294</v>
      </c>
      <c r="BE32" s="170">
        <v>485</v>
      </c>
      <c r="BF32" s="170"/>
      <c r="BG32" s="170">
        <v>4638</v>
      </c>
      <c r="BH32" s="170">
        <v>133</v>
      </c>
      <c r="BI32" s="170"/>
      <c r="BJ32" s="115">
        <f t="shared" si="9"/>
        <v>1</v>
      </c>
      <c r="BK32" s="115">
        <f t="shared" si="10"/>
        <v>5811.7</v>
      </c>
      <c r="BL32" s="115">
        <f t="shared" si="11"/>
        <v>3182.9</v>
      </c>
      <c r="BM32" s="115" t="str">
        <f t="shared" si="12"/>
        <v>0</v>
      </c>
      <c r="BN32" s="115" t="str">
        <f t="shared" si="13"/>
        <v>0</v>
      </c>
      <c r="BO32" s="115" t="str">
        <f t="shared" si="14"/>
        <v>0</v>
      </c>
      <c r="BP32" s="115" t="str">
        <f t="shared" si="15"/>
        <v>0</v>
      </c>
      <c r="BQ32" s="115" t="str">
        <f t="shared" si="16"/>
        <v>0</v>
      </c>
      <c r="BR32" s="115" t="str">
        <f t="shared" si="17"/>
        <v>0</v>
      </c>
      <c r="BS32" s="115"/>
      <c r="BT32" s="115">
        <v>1</v>
      </c>
      <c r="BU32" s="115">
        <f>BA32</f>
        <v>1908</v>
      </c>
      <c r="BV32" s="115">
        <v>1952</v>
      </c>
      <c r="BW32" s="115"/>
      <c r="BX32" s="115">
        <f>AP32</f>
        <v>3069</v>
      </c>
      <c r="BY32" s="275">
        <v>2770.2</v>
      </c>
      <c r="BZ32" s="253">
        <v>733.8</v>
      </c>
      <c r="CA32" s="354">
        <f>(21.9+21.9+17.5+4+14.3)+(25.4+3.3+25.2+3+25.3+24.7+24.9)+(29.5+29.1+28.8+29.4+29.1)+(29.2+28.5+29.3+29.1+28.8)+(144.9)+(29+28.9+28.8)</f>
        <v>733.80000000000007</v>
      </c>
      <c r="CB32" s="354"/>
      <c r="CC32" s="354"/>
      <c r="CD32" s="354">
        <v>1908.1</v>
      </c>
      <c r="CE32" s="354">
        <v>67.7</v>
      </c>
      <c r="CF32" s="354"/>
      <c r="CG32" s="354"/>
      <c r="CH32" s="355">
        <f>24.8+35.8</f>
        <v>60.599999999999994</v>
      </c>
      <c r="CI32" s="356">
        <f t="shared" si="1"/>
        <v>2770.2</v>
      </c>
      <c r="CJ32" s="356">
        <f t="shared" si="0"/>
        <v>733.80000000000007</v>
      </c>
      <c r="CK32" s="357">
        <v>1908</v>
      </c>
      <c r="CL32" s="358">
        <f t="shared" si="2"/>
        <v>4678.2</v>
      </c>
      <c r="CM32" s="205">
        <v>5020</v>
      </c>
      <c r="CN32" s="282">
        <f t="shared" si="18"/>
        <v>3094</v>
      </c>
      <c r="CO32" s="209" t="str">
        <f t="shared" si="19"/>
        <v>0</v>
      </c>
      <c r="CP32" s="235">
        <f t="shared" si="20"/>
        <v>0</v>
      </c>
      <c r="CQ32" s="209">
        <f t="shared" si="21"/>
        <v>1</v>
      </c>
      <c r="CR32" s="235">
        <f t="shared" si="22"/>
        <v>4215</v>
      </c>
      <c r="CS32" s="235">
        <f t="shared" si="23"/>
        <v>1</v>
      </c>
      <c r="CT32" s="235">
        <f t="shared" si="23"/>
        <v>4215</v>
      </c>
      <c r="CU32" s="156">
        <v>23</v>
      </c>
      <c r="CV32" s="284">
        <f t="shared" si="24"/>
        <v>1</v>
      </c>
      <c r="CW32" s="310">
        <f t="shared" si="25"/>
        <v>5811.7</v>
      </c>
      <c r="CX32" s="243">
        <f t="shared" si="26"/>
        <v>74.909234819416</v>
      </c>
      <c r="CY32" s="216">
        <f t="shared" si="27"/>
        <v>1</v>
      </c>
      <c r="CZ32" s="216">
        <f t="shared" si="28"/>
        <v>6705.9</v>
      </c>
      <c r="DA32" s="243">
        <f t="shared" si="29"/>
        <v>78.254969504466217</v>
      </c>
      <c r="DB32" s="306">
        <v>1</v>
      </c>
      <c r="DC32" s="306">
        <v>0</v>
      </c>
      <c r="DD32" s="306">
        <v>0</v>
      </c>
      <c r="DE32" s="306">
        <v>0</v>
      </c>
      <c r="DF32" s="306">
        <v>1</v>
      </c>
      <c r="DG32" s="306">
        <v>0</v>
      </c>
      <c r="DH32" s="306">
        <v>0</v>
      </c>
      <c r="DI32" s="306">
        <v>0</v>
      </c>
      <c r="DJ32" s="306">
        <v>0</v>
      </c>
      <c r="DK32" s="306">
        <v>16</v>
      </c>
      <c r="DL32" s="306">
        <f t="shared" si="30"/>
        <v>14</v>
      </c>
      <c r="DM32" s="306">
        <v>2</v>
      </c>
      <c r="DN32" s="306">
        <v>8</v>
      </c>
      <c r="DO32" s="306">
        <v>7</v>
      </c>
      <c r="DP32" s="306">
        <v>9</v>
      </c>
      <c r="DQ32" s="306">
        <v>7</v>
      </c>
      <c r="DR32" s="306">
        <v>7</v>
      </c>
      <c r="DS32" s="306">
        <v>9</v>
      </c>
      <c r="DT32" s="306">
        <v>9</v>
      </c>
      <c r="DU32" s="306">
        <v>0</v>
      </c>
      <c r="DV32" s="306">
        <v>0</v>
      </c>
      <c r="DW32" s="306">
        <v>1</v>
      </c>
      <c r="DX32" s="306">
        <v>0</v>
      </c>
      <c r="DY32" s="306">
        <v>0</v>
      </c>
      <c r="DZ32" s="306">
        <v>1</v>
      </c>
      <c r="EA32" s="306">
        <v>0</v>
      </c>
      <c r="EB32" s="306">
        <v>16</v>
      </c>
      <c r="EC32" s="306">
        <f>16</f>
        <v>16</v>
      </c>
      <c r="ED32" s="342"/>
      <c r="EE32" s="342"/>
    </row>
    <row r="33" spans="1:138" x14ac:dyDescent="0.2">
      <c r="A33" s="149" t="s">
        <v>197</v>
      </c>
      <c r="B33" s="169">
        <v>33</v>
      </c>
      <c r="C33" s="12" t="s">
        <v>227</v>
      </c>
      <c r="D33" s="200">
        <v>1989</v>
      </c>
      <c r="E33" s="11"/>
      <c r="F33" s="169" t="s">
        <v>21</v>
      </c>
      <c r="G33" s="35">
        <v>1</v>
      </c>
      <c r="H33" s="201">
        <v>9</v>
      </c>
      <c r="I33" s="201" t="s">
        <v>19</v>
      </c>
      <c r="J33" s="115">
        <v>44624</v>
      </c>
      <c r="K33" s="115">
        <v>2983</v>
      </c>
      <c r="L33" s="157"/>
      <c r="M33" s="115">
        <v>1337</v>
      </c>
      <c r="N33" s="115">
        <v>118</v>
      </c>
      <c r="O33" s="115">
        <v>261</v>
      </c>
      <c r="P33" s="115">
        <v>118</v>
      </c>
      <c r="Q33" s="115">
        <v>210</v>
      </c>
      <c r="R33" s="228">
        <v>6449.6</v>
      </c>
      <c r="S33" s="230">
        <v>3683.6</v>
      </c>
      <c r="T33" s="115">
        <f>N33-W33-Z33</f>
        <v>113</v>
      </c>
      <c r="U33" s="203">
        <f t="shared" ref="U33:V36" si="35">R33-X33-AA33</f>
        <v>6169.1</v>
      </c>
      <c r="V33" s="180">
        <f t="shared" si="35"/>
        <v>3509.7</v>
      </c>
      <c r="W33" s="115">
        <v>5</v>
      </c>
      <c r="X33" s="207">
        <v>280.5</v>
      </c>
      <c r="Y33" s="207">
        <v>173.9</v>
      </c>
      <c r="Z33" s="204"/>
      <c r="AA33" s="207"/>
      <c r="AB33" s="207"/>
      <c r="AC33" s="207">
        <f>AD33+AG33+AH33</f>
        <v>2049.5</v>
      </c>
      <c r="AD33" s="248">
        <f>AE33+AF33</f>
        <v>0</v>
      </c>
      <c r="AE33" s="275"/>
      <c r="AF33" s="248"/>
      <c r="AG33" s="207">
        <v>2049.5</v>
      </c>
      <c r="AH33" s="207"/>
      <c r="AI33" s="207">
        <f>R33+AC33</f>
        <v>8499.1</v>
      </c>
      <c r="AJ33" s="170"/>
      <c r="AK33" s="170">
        <v>4</v>
      </c>
      <c r="AL33" s="170">
        <v>4</v>
      </c>
      <c r="AM33" s="170">
        <v>4</v>
      </c>
      <c r="AN33" s="170"/>
      <c r="AO33" s="170">
        <v>4</v>
      </c>
      <c r="AP33" s="170">
        <v>7542</v>
      </c>
      <c r="AQ33" s="170"/>
      <c r="AR33" s="170">
        <v>500</v>
      </c>
      <c r="AS33" s="170">
        <v>574</v>
      </c>
      <c r="AT33" s="170">
        <v>160</v>
      </c>
      <c r="AU33" s="170">
        <f>AV33+AW33</f>
        <v>16540</v>
      </c>
      <c r="AV33" s="170"/>
      <c r="AW33" s="170">
        <v>16540</v>
      </c>
      <c r="AX33" s="170"/>
      <c r="AY33" s="170">
        <v>324</v>
      </c>
      <c r="AZ33" s="170">
        <v>2585</v>
      </c>
      <c r="BA33" s="170">
        <v>1342</v>
      </c>
      <c r="BB33" s="170">
        <v>20</v>
      </c>
      <c r="BC33" s="170">
        <v>19</v>
      </c>
      <c r="BD33" s="170">
        <v>388</v>
      </c>
      <c r="BE33" s="170">
        <v>670</v>
      </c>
      <c r="BF33" s="170">
        <v>1</v>
      </c>
      <c r="BG33" s="170">
        <v>22800</v>
      </c>
      <c r="BH33" s="170">
        <v>6540</v>
      </c>
      <c r="BI33" s="170">
        <v>180</v>
      </c>
      <c r="BJ33" s="115">
        <f>IF((I33="кир"),G33,"0")</f>
        <v>1</v>
      </c>
      <c r="BK33" s="115">
        <f>IF((I33="кир"),R33,"0")</f>
        <v>6449.6</v>
      </c>
      <c r="BL33" s="115">
        <f>IF((I33="кир"),S33,"0")</f>
        <v>3683.6</v>
      </c>
      <c r="BM33" s="115" t="str">
        <f>IF((I33="пан"),G33,"0")</f>
        <v>0</v>
      </c>
      <c r="BN33" s="115" t="str">
        <f>IF((I33="пан"),R33,"0")</f>
        <v>0</v>
      </c>
      <c r="BO33" s="115" t="str">
        <f>IF((I33="пан"),S33,"0")</f>
        <v>0</v>
      </c>
      <c r="BP33" s="115" t="str">
        <f>IF((I33="смеш"),G33,"0")</f>
        <v>0</v>
      </c>
      <c r="BQ33" s="115" t="str">
        <f>IF((I33="смеш"),R33,"0")</f>
        <v>0</v>
      </c>
      <c r="BR33" s="115" t="str">
        <f>IF((I33="смеш"),S33,"0")</f>
        <v>0</v>
      </c>
      <c r="BS33" s="115"/>
      <c r="BT33" s="115">
        <v>2</v>
      </c>
      <c r="BU33" s="115">
        <f>BA33</f>
        <v>1342</v>
      </c>
      <c r="BV33" s="115">
        <v>6574</v>
      </c>
      <c r="BW33" s="115"/>
      <c r="BX33" s="115">
        <f>AP33</f>
        <v>7542</v>
      </c>
      <c r="BY33" s="275">
        <v>3155</v>
      </c>
      <c r="BZ33" s="253">
        <v>1677.3</v>
      </c>
      <c r="CA33" s="354">
        <f>225.8-3.1*4+167+148.8+162.7+148.7+164.1+150.1+164.8+163.9+59+134.8</f>
        <v>1677.3000000000002</v>
      </c>
      <c r="CB33" s="354">
        <f>3.1*4</f>
        <v>12.4</v>
      </c>
      <c r="CC33" s="354"/>
      <c r="CD33" s="354">
        <v>1342</v>
      </c>
      <c r="CE33" s="354">
        <v>40.200000000000003</v>
      </c>
      <c r="CF33" s="354"/>
      <c r="CG33" s="354">
        <v>83.1</v>
      </c>
      <c r="CH33" s="355"/>
      <c r="CI33" s="356">
        <f t="shared" si="1"/>
        <v>3155</v>
      </c>
      <c r="CJ33" s="356">
        <f t="shared" si="0"/>
        <v>1677.3000000000002</v>
      </c>
      <c r="CK33" s="357">
        <v>2585</v>
      </c>
      <c r="CL33" s="358">
        <f t="shared" si="2"/>
        <v>5740</v>
      </c>
      <c r="CM33" s="205">
        <v>4408</v>
      </c>
      <c r="CN33" s="282">
        <f>CM33-K33</f>
        <v>1425</v>
      </c>
      <c r="CO33" s="209" t="str">
        <f>IF(CP33&gt;0,G33,"0")</f>
        <v>0</v>
      </c>
      <c r="CP33" s="235">
        <f>AV33</f>
        <v>0</v>
      </c>
      <c r="CQ33" s="209">
        <f>IF(CR33&gt;0,G33,"0")</f>
        <v>1</v>
      </c>
      <c r="CR33" s="235">
        <f>AW33</f>
        <v>16540</v>
      </c>
      <c r="CS33" s="235">
        <f>CO33+CQ33</f>
        <v>1</v>
      </c>
      <c r="CT33" s="235">
        <f>CP33+CR33</f>
        <v>16540</v>
      </c>
      <c r="CU33" s="156">
        <v>68</v>
      </c>
      <c r="CV33" s="284" t="str">
        <f>IF((X33/R33*100&gt;=50), G33, "0")</f>
        <v>0</v>
      </c>
      <c r="CW33" s="284" t="str">
        <f>IF((X33/R33*100&gt;=50), R33, "0")</f>
        <v>0</v>
      </c>
      <c r="CX33" s="243">
        <f>X33/R33*100</f>
        <v>4.3491069213594642</v>
      </c>
      <c r="CY33" s="216" t="str">
        <f>IF(((X33+AD33)/AI33*100&gt;=50), G33, "0")</f>
        <v>0</v>
      </c>
      <c r="CZ33" s="216" t="str">
        <f>IF(((X33+AD33)/AI33*100&gt;=50), AI33, "0")</f>
        <v>0</v>
      </c>
      <c r="DA33" s="243">
        <f>(X33+AD33)/AI33*100</f>
        <v>3.3003494487651635</v>
      </c>
      <c r="DB33" s="306">
        <v>1</v>
      </c>
      <c r="DC33" s="306">
        <v>0</v>
      </c>
      <c r="DD33" s="306">
        <v>0</v>
      </c>
      <c r="DE33" s="306">
        <v>0</v>
      </c>
      <c r="DF33" s="306">
        <v>2</v>
      </c>
      <c r="DG33" s="306">
        <v>0</v>
      </c>
      <c r="DH33" s="306">
        <v>0</v>
      </c>
      <c r="DI33" s="306">
        <v>0</v>
      </c>
      <c r="DJ33" s="306">
        <v>0</v>
      </c>
      <c r="DK33" s="306">
        <v>118</v>
      </c>
      <c r="DL33" s="306">
        <f>DK33-DM33</f>
        <v>113</v>
      </c>
      <c r="DM33" s="306">
        <v>5</v>
      </c>
      <c r="DN33" s="306">
        <v>109</v>
      </c>
      <c r="DO33" s="306">
        <v>48</v>
      </c>
      <c r="DP33" s="306">
        <v>105</v>
      </c>
      <c r="DQ33" s="306">
        <v>76</v>
      </c>
      <c r="DR33" s="306">
        <v>52</v>
      </c>
      <c r="DS33" s="306">
        <v>98</v>
      </c>
      <c r="DT33" s="306">
        <v>83</v>
      </c>
      <c r="DU33" s="306">
        <v>5</v>
      </c>
      <c r="DV33" s="306">
        <v>1</v>
      </c>
      <c r="DW33" s="306">
        <v>5</v>
      </c>
      <c r="DX33" s="306">
        <v>2</v>
      </c>
      <c r="DY33" s="306">
        <v>1</v>
      </c>
      <c r="DZ33" s="306">
        <v>5</v>
      </c>
      <c r="EA33" s="306">
        <v>2</v>
      </c>
      <c r="EB33" s="306">
        <v>118</v>
      </c>
      <c r="EC33" s="306">
        <v>118</v>
      </c>
      <c r="ED33" s="342"/>
      <c r="EE33" s="342"/>
    </row>
    <row r="34" spans="1:138" x14ac:dyDescent="0.2">
      <c r="A34" s="149" t="s">
        <v>197</v>
      </c>
      <c r="B34" s="169">
        <v>44</v>
      </c>
      <c r="C34" s="12" t="s">
        <v>228</v>
      </c>
      <c r="D34" s="200">
        <v>1991</v>
      </c>
      <c r="E34" s="11"/>
      <c r="F34" s="206" t="s">
        <v>24</v>
      </c>
      <c r="G34" s="35">
        <v>1</v>
      </c>
      <c r="H34" s="201">
        <v>9</v>
      </c>
      <c r="I34" s="201" t="s">
        <v>22</v>
      </c>
      <c r="J34" s="115">
        <f>29378</f>
        <v>29378</v>
      </c>
      <c r="K34" s="115">
        <f>1154</f>
        <v>1154</v>
      </c>
      <c r="L34" s="157"/>
      <c r="M34" s="115">
        <f>1072</f>
        <v>1072</v>
      </c>
      <c r="N34" s="115">
        <f>104+1</f>
        <v>105</v>
      </c>
      <c r="O34" s="115">
        <f>276</f>
        <v>276</v>
      </c>
      <c r="P34" s="115">
        <v>105</v>
      </c>
      <c r="Q34" s="115">
        <v>259</v>
      </c>
      <c r="R34" s="228">
        <f>6674+6.9+72.5</f>
        <v>6753.4</v>
      </c>
      <c r="S34" s="230">
        <v>4127.7</v>
      </c>
      <c r="T34" s="115">
        <f>N34-W34-Z34</f>
        <v>102</v>
      </c>
      <c r="U34" s="203">
        <f t="shared" si="35"/>
        <v>6574.2</v>
      </c>
      <c r="V34" s="180">
        <f t="shared" si="35"/>
        <v>4016.6</v>
      </c>
      <c r="W34" s="115">
        <v>3</v>
      </c>
      <c r="X34" s="207">
        <v>179.2</v>
      </c>
      <c r="Y34" s="207">
        <v>111.1</v>
      </c>
      <c r="Z34" s="204"/>
      <c r="AA34" s="207"/>
      <c r="AB34" s="207"/>
      <c r="AC34" s="207">
        <f>AD34+AG34+AH34</f>
        <v>0</v>
      </c>
      <c r="AD34" s="248">
        <f>AE34+AF34</f>
        <v>0</v>
      </c>
      <c r="AE34" s="275"/>
      <c r="AF34" s="248"/>
      <c r="AG34" s="207"/>
      <c r="AH34" s="207"/>
      <c r="AI34" s="207">
        <f>R34+AC34</f>
        <v>6753.4</v>
      </c>
      <c r="AJ34" s="170"/>
      <c r="AK34" s="170">
        <v>3</v>
      </c>
      <c r="AL34" s="170">
        <v>3</v>
      </c>
      <c r="AM34" s="170">
        <v>3</v>
      </c>
      <c r="AN34" s="170"/>
      <c r="AO34" s="170">
        <v>3</v>
      </c>
      <c r="AP34" s="170">
        <f>5023</f>
        <v>5023</v>
      </c>
      <c r="AQ34" s="328"/>
      <c r="AR34" s="170">
        <v>410</v>
      </c>
      <c r="AS34" s="170">
        <f>336</f>
        <v>336</v>
      </c>
      <c r="AT34" s="170">
        <f>225</f>
        <v>225</v>
      </c>
      <c r="AU34" s="170">
        <v>2860</v>
      </c>
      <c r="AV34" s="170">
        <v>2860</v>
      </c>
      <c r="AW34" s="170"/>
      <c r="AX34" s="170">
        <v>2520</v>
      </c>
      <c r="AY34" s="170">
        <f>323</f>
        <v>323</v>
      </c>
      <c r="AZ34" s="170">
        <f>1072</f>
        <v>1072</v>
      </c>
      <c r="BA34" s="170">
        <f>1072</f>
        <v>1072</v>
      </c>
      <c r="BB34" s="170">
        <v>54</v>
      </c>
      <c r="BC34" s="170">
        <v>85</v>
      </c>
      <c r="BD34" s="170">
        <v>383</v>
      </c>
      <c r="BE34" s="170">
        <v>679</v>
      </c>
      <c r="BF34" s="170">
        <v>1</v>
      </c>
      <c r="BG34" s="170">
        <f>11400</f>
        <v>11400</v>
      </c>
      <c r="BH34" s="170">
        <f>4905</f>
        <v>4905</v>
      </c>
      <c r="BI34" s="170">
        <f>135</f>
        <v>135</v>
      </c>
      <c r="BJ34" s="115" t="str">
        <f>IF((I34="кир"),G34,"0")</f>
        <v>0</v>
      </c>
      <c r="BK34" s="115" t="str">
        <f>IF((I34="кир"),R34,"0")</f>
        <v>0</v>
      </c>
      <c r="BL34" s="115" t="str">
        <f>IF((I34="кир"),S34,"0")</f>
        <v>0</v>
      </c>
      <c r="BM34" s="115">
        <f>IF((I34="пан"),G34,"0")</f>
        <v>1</v>
      </c>
      <c r="BN34" s="115">
        <f>IF((I34="пан"),R34,"0")</f>
        <v>6753.4</v>
      </c>
      <c r="BO34" s="115">
        <f>IF((I34="пан"),S34,"0")</f>
        <v>4127.7</v>
      </c>
      <c r="BP34" s="115" t="str">
        <f>IF((I34="смеш"),G34,"0")</f>
        <v>0</v>
      </c>
      <c r="BQ34" s="115" t="str">
        <f>IF((I34="смеш"),R34,"0")</f>
        <v>0</v>
      </c>
      <c r="BR34" s="115" t="str">
        <f>IF((I34="смеш"),S34,"0")</f>
        <v>0</v>
      </c>
      <c r="BS34" s="115"/>
      <c r="BT34" s="115">
        <v>2</v>
      </c>
      <c r="BU34" s="115"/>
      <c r="BV34" s="115"/>
      <c r="BW34" s="115"/>
      <c r="BX34" s="115"/>
      <c r="BY34" s="275">
        <v>2203.9</v>
      </c>
      <c r="BZ34" s="253">
        <v>1199.9000000000001</v>
      </c>
      <c r="CA34" s="354">
        <f>504.7-2.9*3+703.9</f>
        <v>1199.9000000000001</v>
      </c>
      <c r="CB34" s="354">
        <f>3.7*0+22+2.9*3</f>
        <v>30.7</v>
      </c>
      <c r="CC34" s="354"/>
      <c r="CD34" s="354">
        <v>888.7</v>
      </c>
      <c r="CE34" s="354">
        <v>70.2</v>
      </c>
      <c r="CF34" s="354"/>
      <c r="CG34" s="354">
        <v>14.4</v>
      </c>
      <c r="CH34" s="355"/>
      <c r="CI34" s="356">
        <f t="shared" si="1"/>
        <v>2203.9</v>
      </c>
      <c r="CJ34" s="356">
        <f t="shared" si="0"/>
        <v>1199.9000000000001</v>
      </c>
      <c r="CK34" s="357">
        <v>1072</v>
      </c>
      <c r="CL34" s="358">
        <f t="shared" si="2"/>
        <v>3275.9</v>
      </c>
      <c r="CM34" s="205">
        <v>2606</v>
      </c>
      <c r="CN34" s="282">
        <f>CM34-K34</f>
        <v>1452</v>
      </c>
      <c r="CO34" s="209">
        <v>1</v>
      </c>
      <c r="CP34" s="235">
        <v>2860</v>
      </c>
      <c r="CQ34" s="209"/>
      <c r="CR34" s="235"/>
      <c r="CS34" s="235">
        <v>1</v>
      </c>
      <c r="CT34" s="235">
        <v>2860</v>
      </c>
      <c r="CU34" s="314">
        <v>53</v>
      </c>
      <c r="CV34" s="284" t="str">
        <f>IF((X34/R34*100&gt;=50), G34, "0")</f>
        <v>0</v>
      </c>
      <c r="CW34" s="284" t="str">
        <f>IF((X34/R34*100&gt;=50), R34, "0")</f>
        <v>0</v>
      </c>
      <c r="CX34" s="243">
        <f>X34/R34*100</f>
        <v>2.6534782479936032</v>
      </c>
      <c r="CY34" s="216" t="str">
        <f>IF(((X34+AD34)/AI34*100&gt;=50), G34, "0")</f>
        <v>0</v>
      </c>
      <c r="CZ34" s="216" t="str">
        <f>IF(((X34+AD34)/AI34*100&gt;=50), AI34, "0")</f>
        <v>0</v>
      </c>
      <c r="DA34" s="243">
        <f>(X34+AD34)/AI34*100</f>
        <v>2.6534782479936032</v>
      </c>
      <c r="DB34" s="306">
        <v>1</v>
      </c>
      <c r="DC34" s="306">
        <v>0</v>
      </c>
      <c r="DD34" s="306">
        <v>0</v>
      </c>
      <c r="DE34" s="306">
        <v>0</v>
      </c>
      <c r="DF34" s="306">
        <v>2</v>
      </c>
      <c r="DG34" s="306">
        <v>0</v>
      </c>
      <c r="DH34" s="306">
        <v>0</v>
      </c>
      <c r="DI34" s="306">
        <v>0</v>
      </c>
      <c r="DJ34" s="306">
        <v>0</v>
      </c>
      <c r="DK34" s="306">
        <v>105</v>
      </c>
      <c r="DL34" s="306">
        <v>102</v>
      </c>
      <c r="DM34" s="306">
        <v>3</v>
      </c>
      <c r="DN34" s="306">
        <v>74</v>
      </c>
      <c r="DO34" s="306">
        <v>53</v>
      </c>
      <c r="DP34" s="306">
        <v>98</v>
      </c>
      <c r="DQ34" s="306">
        <v>78</v>
      </c>
      <c r="DR34" s="306">
        <v>59</v>
      </c>
      <c r="DS34" s="306">
        <v>65</v>
      </c>
      <c r="DT34" s="306">
        <v>89</v>
      </c>
      <c r="DU34" s="306">
        <v>1</v>
      </c>
      <c r="DV34" s="306">
        <v>0</v>
      </c>
      <c r="DW34" s="306">
        <v>6</v>
      </c>
      <c r="DX34" s="306">
        <v>0</v>
      </c>
      <c r="DY34" s="306">
        <v>0</v>
      </c>
      <c r="DZ34" s="306">
        <v>2</v>
      </c>
      <c r="EA34" s="306">
        <v>0</v>
      </c>
      <c r="EB34" s="306">
        <v>105</v>
      </c>
      <c r="EC34" s="306">
        <v>105</v>
      </c>
      <c r="ED34" s="342"/>
      <c r="EE34" s="342"/>
    </row>
    <row r="35" spans="1:138" x14ac:dyDescent="0.2">
      <c r="A35" s="359" t="s">
        <v>203</v>
      </c>
      <c r="B35" s="169">
        <v>45</v>
      </c>
      <c r="C35" s="12" t="s">
        <v>229</v>
      </c>
      <c r="D35" s="200">
        <v>1990</v>
      </c>
      <c r="E35" s="11"/>
      <c r="F35" s="169" t="s">
        <v>21</v>
      </c>
      <c r="G35" s="35">
        <v>1</v>
      </c>
      <c r="H35" s="201">
        <v>9</v>
      </c>
      <c r="I35" s="201" t="s">
        <v>19</v>
      </c>
      <c r="J35" s="115">
        <v>22689</v>
      </c>
      <c r="K35" s="115">
        <v>1537</v>
      </c>
      <c r="L35" s="157"/>
      <c r="M35" s="115">
        <v>716</v>
      </c>
      <c r="N35" s="115">
        <v>64</v>
      </c>
      <c r="O35" s="115">
        <v>134</v>
      </c>
      <c r="P35" s="115">
        <v>65</v>
      </c>
      <c r="Q35" s="115">
        <v>107</v>
      </c>
      <c r="R35" s="228">
        <v>3268.6</v>
      </c>
      <c r="S35" s="230">
        <v>1838.1</v>
      </c>
      <c r="T35" s="115">
        <f>N35-W35-Z35</f>
        <v>61</v>
      </c>
      <c r="U35" s="203">
        <f t="shared" si="35"/>
        <v>3138.2999999999997</v>
      </c>
      <c r="V35" s="180">
        <f t="shared" si="35"/>
        <v>1757.31</v>
      </c>
      <c r="W35" s="115">
        <v>3</v>
      </c>
      <c r="X35" s="207">
        <v>130.30000000000001</v>
      </c>
      <c r="Y35" s="207">
        <v>80.790000000000006</v>
      </c>
      <c r="Z35" s="204"/>
      <c r="AA35" s="207"/>
      <c r="AB35" s="207"/>
      <c r="AC35" s="207">
        <f>AD35+AG35+AH35</f>
        <v>937.9</v>
      </c>
      <c r="AD35" s="248">
        <f>AE35+AF35</f>
        <v>216.79999999999998</v>
      </c>
      <c r="AE35" s="275"/>
      <c r="AF35" s="248">
        <f>231.1-14.3</f>
        <v>216.79999999999998</v>
      </c>
      <c r="AG35" s="207">
        <v>721.1</v>
      </c>
      <c r="AH35" s="207"/>
      <c r="AI35" s="207">
        <f>R35+AC35</f>
        <v>4206.5</v>
      </c>
      <c r="AJ35" s="170"/>
      <c r="AK35" s="170">
        <v>2</v>
      </c>
      <c r="AL35" s="170">
        <v>2</v>
      </c>
      <c r="AM35" s="170">
        <v>2</v>
      </c>
      <c r="AN35" s="170"/>
      <c r="AO35" s="170">
        <v>2</v>
      </c>
      <c r="AP35" s="170">
        <v>3781</v>
      </c>
      <c r="AQ35" s="170"/>
      <c r="AR35" s="170">
        <v>300</v>
      </c>
      <c r="AS35" s="170">
        <v>462</v>
      </c>
      <c r="AT35" s="170">
        <v>80</v>
      </c>
      <c r="AU35" s="170">
        <f>AV35+AW35</f>
        <v>8520</v>
      </c>
      <c r="AV35" s="170"/>
      <c r="AW35" s="170">
        <v>8520</v>
      </c>
      <c r="AX35" s="170"/>
      <c r="AY35" s="170">
        <v>122</v>
      </c>
      <c r="AZ35" s="170">
        <v>1328</v>
      </c>
      <c r="BA35" s="170">
        <v>682</v>
      </c>
      <c r="BB35" s="170">
        <v>10</v>
      </c>
      <c r="BC35" s="170">
        <v>6</v>
      </c>
      <c r="BD35" s="170">
        <v>148</v>
      </c>
      <c r="BE35" s="170">
        <v>450</v>
      </c>
      <c r="BF35" s="170">
        <v>1</v>
      </c>
      <c r="BG35" s="170">
        <v>11400</v>
      </c>
      <c r="BH35" s="170">
        <v>3270</v>
      </c>
      <c r="BI35" s="170">
        <v>90</v>
      </c>
      <c r="BJ35" s="115">
        <f>IF((I35="кир"),G35,"0")</f>
        <v>1</v>
      </c>
      <c r="BK35" s="115">
        <f>IF((I35="кир"),R35,"0")</f>
        <v>3268.6</v>
      </c>
      <c r="BL35" s="115">
        <f>IF((I35="кир"),S35,"0")</f>
        <v>1838.1</v>
      </c>
      <c r="BM35" s="115" t="str">
        <f>IF((I35="пан"),G35,"0")</f>
        <v>0</v>
      </c>
      <c r="BN35" s="115" t="str">
        <f>IF((I35="пан"),R35,"0")</f>
        <v>0</v>
      </c>
      <c r="BO35" s="115" t="str">
        <f>IF((I35="пан"),S35,"0")</f>
        <v>0</v>
      </c>
      <c r="BP35" s="115" t="str">
        <f>IF((I35="смеш"),G35,"0")</f>
        <v>0</v>
      </c>
      <c r="BQ35" s="115" t="str">
        <f>IF((I35="смеш"),R35,"0")</f>
        <v>0</v>
      </c>
      <c r="BR35" s="115" t="str">
        <f>IF((I35="смеш"),S35,"0")</f>
        <v>0</v>
      </c>
      <c r="BS35" s="115"/>
      <c r="BT35" s="115">
        <v>2</v>
      </c>
      <c r="BU35" s="115">
        <f>BA35</f>
        <v>682</v>
      </c>
      <c r="BV35" s="115">
        <v>3531</v>
      </c>
      <c r="BW35" s="115">
        <v>33</v>
      </c>
      <c r="BX35" s="115">
        <f>AP35</f>
        <v>3781</v>
      </c>
      <c r="BY35" s="275">
        <v>1412.6</v>
      </c>
      <c r="BZ35" s="253">
        <v>795.5</v>
      </c>
      <c r="CA35" s="354">
        <f>801.3-2.9*2</f>
        <v>795.5</v>
      </c>
      <c r="CB35" s="354">
        <f>2.9*2</f>
        <v>5.8</v>
      </c>
      <c r="CC35" s="354"/>
      <c r="CD35" s="354">
        <v>551.29999999999995</v>
      </c>
      <c r="CE35" s="354">
        <v>26</v>
      </c>
      <c r="CF35" s="354"/>
      <c r="CG35" s="354">
        <v>34</v>
      </c>
      <c r="CH35" s="355"/>
      <c r="CI35" s="356">
        <f t="shared" si="1"/>
        <v>1412.6</v>
      </c>
      <c r="CJ35" s="356">
        <f t="shared" si="0"/>
        <v>795.5</v>
      </c>
      <c r="CK35" s="357">
        <v>1328</v>
      </c>
      <c r="CL35" s="358">
        <f t="shared" si="2"/>
        <v>2740.6</v>
      </c>
      <c r="CM35" s="205">
        <v>1937</v>
      </c>
      <c r="CN35" s="282">
        <f>CM35-K35</f>
        <v>400</v>
      </c>
      <c r="CO35" s="209" t="str">
        <f>IF(CP35&gt;0,G35,"0")</f>
        <v>0</v>
      </c>
      <c r="CP35" s="235">
        <f>AV35</f>
        <v>0</v>
      </c>
      <c r="CQ35" s="209">
        <f>IF(CR35&gt;0,G35,"0")</f>
        <v>1</v>
      </c>
      <c r="CR35" s="235">
        <f>AW35</f>
        <v>8520</v>
      </c>
      <c r="CS35" s="235">
        <f>CO35+CQ35</f>
        <v>1</v>
      </c>
      <c r="CT35" s="235">
        <f>CP35+CR35</f>
        <v>8520</v>
      </c>
      <c r="CU35" s="156">
        <v>72</v>
      </c>
      <c r="CV35" s="284" t="str">
        <f>IF((X35/R35*100&gt;=50), G35, "0")</f>
        <v>0</v>
      </c>
      <c r="CW35" s="284" t="str">
        <f>IF((X35/R35*100&gt;=50), R35, "0")</f>
        <v>0</v>
      </c>
      <c r="CX35" s="243">
        <f>X35/R35*100</f>
        <v>3.9864162026555716</v>
      </c>
      <c r="CY35" s="216" t="str">
        <f>IF(((X35+AD35)/AI35*100&gt;=50), G35, "0")</f>
        <v>0</v>
      </c>
      <c r="CZ35" s="216" t="str">
        <f>IF(((X35+AD35)/AI35*100&gt;=50), AI35, "0")</f>
        <v>0</v>
      </c>
      <c r="DA35" s="243">
        <f>(X35+AD35)/AI35*100</f>
        <v>8.251515511708071</v>
      </c>
      <c r="DB35" s="306">
        <v>1</v>
      </c>
      <c r="DC35" s="306">
        <v>0</v>
      </c>
      <c r="DD35" s="306">
        <v>0</v>
      </c>
      <c r="DE35" s="306">
        <v>0</v>
      </c>
      <c r="DF35" s="306">
        <v>2</v>
      </c>
      <c r="DG35" s="306">
        <v>0</v>
      </c>
      <c r="DH35" s="306">
        <v>0</v>
      </c>
      <c r="DI35" s="306">
        <v>0</v>
      </c>
      <c r="DJ35" s="306">
        <v>0</v>
      </c>
      <c r="DK35" s="306">
        <v>64</v>
      </c>
      <c r="DL35" s="306">
        <f>DK35-DM35</f>
        <v>62</v>
      </c>
      <c r="DM35" s="306">
        <v>2</v>
      </c>
      <c r="DN35" s="306">
        <v>59</v>
      </c>
      <c r="DO35" s="306">
        <v>30</v>
      </c>
      <c r="DP35" s="306">
        <v>57</v>
      </c>
      <c r="DQ35" s="306">
        <v>46</v>
      </c>
      <c r="DR35" s="306">
        <v>33</v>
      </c>
      <c r="DS35" s="306">
        <v>54</v>
      </c>
      <c r="DT35" s="306">
        <v>49</v>
      </c>
      <c r="DU35" s="306">
        <v>2</v>
      </c>
      <c r="DV35" s="306">
        <v>0</v>
      </c>
      <c r="DW35" s="306">
        <v>5</v>
      </c>
      <c r="DX35" s="306">
        <v>0</v>
      </c>
      <c r="DY35" s="306">
        <v>0</v>
      </c>
      <c r="DZ35" s="306">
        <v>5</v>
      </c>
      <c r="EA35" s="306">
        <v>0</v>
      </c>
      <c r="EB35" s="306">
        <v>64</v>
      </c>
      <c r="EC35" s="306">
        <v>64</v>
      </c>
      <c r="ED35" s="342"/>
      <c r="EE35" s="342"/>
    </row>
    <row r="36" spans="1:138" s="7" customFormat="1" x14ac:dyDescent="0.2">
      <c r="A36" s="149"/>
      <c r="B36" s="169">
        <v>46</v>
      </c>
      <c r="C36" s="12" t="s">
        <v>352</v>
      </c>
      <c r="D36" s="200">
        <v>1999</v>
      </c>
      <c r="E36" s="11"/>
      <c r="F36" s="206" t="s">
        <v>24</v>
      </c>
      <c r="G36" s="35">
        <v>1</v>
      </c>
      <c r="H36" s="201">
        <v>9</v>
      </c>
      <c r="I36" s="201" t="s">
        <v>19</v>
      </c>
      <c r="J36" s="115">
        <v>16002</v>
      </c>
      <c r="K36" s="115">
        <v>614</v>
      </c>
      <c r="L36" s="157"/>
      <c r="M36" s="115">
        <v>598</v>
      </c>
      <c r="N36" s="115">
        <v>43</v>
      </c>
      <c r="O36" s="115">
        <v>98</v>
      </c>
      <c r="P36" s="115">
        <v>43</v>
      </c>
      <c r="Q36" s="115">
        <v>80</v>
      </c>
      <c r="R36" s="228">
        <v>3247.8</v>
      </c>
      <c r="S36" s="230">
        <v>1740.2</v>
      </c>
      <c r="T36" s="115">
        <f>N36-W36-Z36</f>
        <v>32</v>
      </c>
      <c r="U36" s="203">
        <f t="shared" si="35"/>
        <v>2508.3000000000002</v>
      </c>
      <c r="V36" s="180">
        <f t="shared" si="35"/>
        <v>1281.71</v>
      </c>
      <c r="W36" s="115">
        <v>11</v>
      </c>
      <c r="X36" s="207">
        <v>739.5</v>
      </c>
      <c r="Y36" s="207">
        <v>458.49</v>
      </c>
      <c r="Z36" s="204"/>
      <c r="AA36" s="207"/>
      <c r="AB36" s="207"/>
      <c r="AC36" s="207">
        <f>AD36+AG36+AH36</f>
        <v>0</v>
      </c>
      <c r="AD36" s="248">
        <f>AE36+AF36</f>
        <v>0</v>
      </c>
      <c r="AE36" s="275"/>
      <c r="AF36" s="248"/>
      <c r="AG36" s="207"/>
      <c r="AH36" s="207"/>
      <c r="AI36" s="207">
        <f>R36+AC36</f>
        <v>3247.8</v>
      </c>
      <c r="AJ36" s="170"/>
      <c r="AK36" s="170">
        <v>1</v>
      </c>
      <c r="AL36" s="170">
        <v>1</v>
      </c>
      <c r="AM36" s="170">
        <v>1</v>
      </c>
      <c r="AN36" s="170"/>
      <c r="AO36" s="170">
        <v>1</v>
      </c>
      <c r="AP36" s="170">
        <v>2534</v>
      </c>
      <c r="AQ36" s="170"/>
      <c r="AR36" s="170">
        <v>200</v>
      </c>
      <c r="AS36" s="170">
        <v>185</v>
      </c>
      <c r="AT36" s="170">
        <v>48</v>
      </c>
      <c r="AU36" s="170">
        <v>12770</v>
      </c>
      <c r="AV36" s="170"/>
      <c r="AW36" s="170">
        <v>12770</v>
      </c>
      <c r="AX36" s="170"/>
      <c r="AY36" s="170">
        <v>78</v>
      </c>
      <c r="AZ36" s="170">
        <v>598</v>
      </c>
      <c r="BA36" s="170">
        <v>598</v>
      </c>
      <c r="BB36" s="170">
        <v>18</v>
      </c>
      <c r="BC36" s="170">
        <v>29</v>
      </c>
      <c r="BD36" s="170">
        <v>196</v>
      </c>
      <c r="BE36" s="170">
        <v>363</v>
      </c>
      <c r="BF36" s="170">
        <v>1</v>
      </c>
      <c r="BG36" s="170">
        <v>5700</v>
      </c>
      <c r="BH36" s="170">
        <v>1635</v>
      </c>
      <c r="BI36" s="170">
        <v>45</v>
      </c>
      <c r="BJ36" s="115">
        <f>IF((I36="кир"),G36,"0")</f>
        <v>1</v>
      </c>
      <c r="BK36" s="115">
        <f>IF((I36="кир"),R36,"0")</f>
        <v>3247.8</v>
      </c>
      <c r="BL36" s="115">
        <f>IF((I36="кир"),S36,"0")</f>
        <v>1740.2</v>
      </c>
      <c r="BM36" s="115" t="str">
        <f>IF((I36="пан"),G36,"0")</f>
        <v>0</v>
      </c>
      <c r="BN36" s="115" t="str">
        <f>IF((I36="пан"),R36,"0")</f>
        <v>0</v>
      </c>
      <c r="BO36" s="115" t="str">
        <f>IF((I36="пан"),S36,"0")</f>
        <v>0</v>
      </c>
      <c r="BP36" s="115" t="str">
        <f>IF((I36="смеш"),G36,"0")</f>
        <v>0</v>
      </c>
      <c r="BQ36" s="115" t="str">
        <f>IF((I36="смеш"),R36,"0")</f>
        <v>0</v>
      </c>
      <c r="BR36" s="115" t="str">
        <f>IF((I36="смеш"),S36,"0")</f>
        <v>0</v>
      </c>
      <c r="BS36" s="115"/>
      <c r="BT36" s="115">
        <v>1</v>
      </c>
      <c r="BU36" s="115"/>
      <c r="BV36" s="115"/>
      <c r="BW36" s="115"/>
      <c r="BX36" s="115"/>
      <c r="BY36" s="275">
        <v>942.1</v>
      </c>
      <c r="BZ36" s="253">
        <v>413.2</v>
      </c>
      <c r="CA36" s="354">
        <f>259.9+155.8-2.5</f>
        <v>413.2</v>
      </c>
      <c r="CB36" s="354">
        <f>2.5+10.9</f>
        <v>13.4</v>
      </c>
      <c r="CC36" s="354"/>
      <c r="CD36" s="354">
        <v>457</v>
      </c>
      <c r="CE36" s="354">
        <f>12+13.7+1.8</f>
        <v>27.5</v>
      </c>
      <c r="CF36" s="354"/>
      <c r="CG36" s="354">
        <f>9.2+2.5</f>
        <v>11.7</v>
      </c>
      <c r="CH36" s="355">
        <v>19.3</v>
      </c>
      <c r="CI36" s="356">
        <f t="shared" si="1"/>
        <v>942.09999999999991</v>
      </c>
      <c r="CJ36" s="356">
        <f t="shared" si="0"/>
        <v>413.2</v>
      </c>
      <c r="CK36" s="357">
        <v>598</v>
      </c>
      <c r="CL36" s="358">
        <f t="shared" si="2"/>
        <v>1540.1</v>
      </c>
      <c r="CM36" s="205">
        <v>1682</v>
      </c>
      <c r="CN36" s="282">
        <f>CM36-K36</f>
        <v>1068</v>
      </c>
      <c r="CO36" s="209"/>
      <c r="CP36" s="235"/>
      <c r="CQ36" s="209">
        <v>1</v>
      </c>
      <c r="CR36" s="235">
        <v>12770</v>
      </c>
      <c r="CS36" s="235">
        <v>1</v>
      </c>
      <c r="CT36" s="235">
        <v>12770</v>
      </c>
      <c r="CU36" s="314">
        <v>65</v>
      </c>
      <c r="CV36" s="284" t="str">
        <f>IF((X36/R36*100&gt;=50), G36, "0")</f>
        <v>0</v>
      </c>
      <c r="CW36" s="284" t="str">
        <f>IF((X36/R36*100&gt;=50), R36, "0")</f>
        <v>0</v>
      </c>
      <c r="CX36" s="243">
        <f>X36/R36*100</f>
        <v>22.769259190836873</v>
      </c>
      <c r="CY36" s="216" t="str">
        <f>IF(((X36+AD36)/AI36*100&gt;=50), G36, "0")</f>
        <v>0</v>
      </c>
      <c r="CZ36" s="216" t="str">
        <f>IF(((X36+AD36)/AI36*100&gt;=50), AI36, "0")</f>
        <v>0</v>
      </c>
      <c r="DA36" s="243">
        <f>(X36+AD36)/AI36*100</f>
        <v>22.769259190836873</v>
      </c>
      <c r="DB36" s="306">
        <v>1</v>
      </c>
      <c r="DC36" s="306">
        <v>0</v>
      </c>
      <c r="DD36" s="306">
        <v>0</v>
      </c>
      <c r="DE36" s="306">
        <v>0</v>
      </c>
      <c r="DF36" s="306">
        <v>2</v>
      </c>
      <c r="DG36" s="306">
        <v>0</v>
      </c>
      <c r="DH36" s="306">
        <v>0</v>
      </c>
      <c r="DI36" s="306">
        <v>0</v>
      </c>
      <c r="DJ36" s="306">
        <v>0</v>
      </c>
      <c r="DK36" s="306">
        <v>43</v>
      </c>
      <c r="DL36" s="306">
        <v>32</v>
      </c>
      <c r="DM36" s="306">
        <v>11</v>
      </c>
      <c r="DN36" s="306">
        <v>27</v>
      </c>
      <c r="DO36" s="306">
        <v>17</v>
      </c>
      <c r="DP36" s="306">
        <v>31</v>
      </c>
      <c r="DQ36" s="306">
        <v>26</v>
      </c>
      <c r="DR36" s="306">
        <v>19</v>
      </c>
      <c r="DS36" s="306">
        <v>49</v>
      </c>
      <c r="DT36" s="306">
        <v>38</v>
      </c>
      <c r="DU36" s="306">
        <v>7</v>
      </c>
      <c r="DV36" s="306">
        <v>3</v>
      </c>
      <c r="DW36" s="306">
        <v>0</v>
      </c>
      <c r="DX36" s="306">
        <v>6</v>
      </c>
      <c r="DY36" s="306">
        <v>4</v>
      </c>
      <c r="DZ36" s="306">
        <v>4</v>
      </c>
      <c r="EA36" s="306">
        <v>10</v>
      </c>
      <c r="EB36" s="306">
        <v>43</v>
      </c>
      <c r="EC36" s="306">
        <v>43</v>
      </c>
      <c r="ED36" s="342"/>
      <c r="EE36" s="342"/>
      <c r="EF36" s="3"/>
      <c r="EG36" s="3"/>
      <c r="EH36" s="3"/>
    </row>
    <row r="37" spans="1:138" x14ac:dyDescent="0.2">
      <c r="A37" s="359" t="s">
        <v>203</v>
      </c>
      <c r="B37" s="169">
        <v>27</v>
      </c>
      <c r="C37" s="12" t="s">
        <v>230</v>
      </c>
      <c r="D37" s="200">
        <v>1988</v>
      </c>
      <c r="E37" s="11"/>
      <c r="F37" s="169" t="s">
        <v>21</v>
      </c>
      <c r="G37" s="35">
        <v>1</v>
      </c>
      <c r="H37" s="201">
        <v>9</v>
      </c>
      <c r="I37" s="201" t="s">
        <v>19</v>
      </c>
      <c r="J37" s="115">
        <v>41865</v>
      </c>
      <c r="K37" s="115">
        <v>2499</v>
      </c>
      <c r="L37" s="157"/>
      <c r="M37" s="115">
        <v>1348</v>
      </c>
      <c r="N37" s="115">
        <v>118</v>
      </c>
      <c r="O37" s="115">
        <v>262</v>
      </c>
      <c r="P37" s="115">
        <v>118</v>
      </c>
      <c r="Q37" s="115">
        <v>237</v>
      </c>
      <c r="R37" s="228">
        <f>6381.8+1.8+1</f>
        <v>6384.6</v>
      </c>
      <c r="S37" s="230">
        <v>3634.8</v>
      </c>
      <c r="T37" s="115">
        <f t="shared" si="3"/>
        <v>115</v>
      </c>
      <c r="U37" s="203">
        <f t="shared" si="4"/>
        <v>6216.7000000000007</v>
      </c>
      <c r="V37" s="180">
        <f t="shared" si="4"/>
        <v>3533.09</v>
      </c>
      <c r="W37" s="115">
        <v>3</v>
      </c>
      <c r="X37" s="207">
        <v>167.9</v>
      </c>
      <c r="Y37" s="207">
        <v>101.71</v>
      </c>
      <c r="Z37" s="204"/>
      <c r="AA37" s="207"/>
      <c r="AB37" s="207"/>
      <c r="AC37" s="207">
        <f t="shared" si="5"/>
        <v>1543.1000000000001</v>
      </c>
      <c r="AD37" s="248">
        <f t="shared" si="6"/>
        <v>127.4</v>
      </c>
      <c r="AE37" s="275"/>
      <c r="AF37" s="248">
        <f>127.4</f>
        <v>127.4</v>
      </c>
      <c r="AG37" s="207">
        <v>1415.7</v>
      </c>
      <c r="AH37" s="207"/>
      <c r="AI37" s="207">
        <f t="shared" si="7"/>
        <v>7927.7000000000007</v>
      </c>
      <c r="AJ37" s="170"/>
      <c r="AK37" s="170">
        <v>4</v>
      </c>
      <c r="AL37" s="170">
        <v>4</v>
      </c>
      <c r="AM37" s="170">
        <v>4</v>
      </c>
      <c r="AN37" s="170"/>
      <c r="AO37" s="170">
        <v>4</v>
      </c>
      <c r="AP37" s="170">
        <v>7548</v>
      </c>
      <c r="AQ37" s="170"/>
      <c r="AR37" s="170">
        <v>325</v>
      </c>
      <c r="AS37" s="170">
        <v>574</v>
      </c>
      <c r="AT37" s="170">
        <v>160</v>
      </c>
      <c r="AU37" s="170">
        <f t="shared" si="8"/>
        <v>16340</v>
      </c>
      <c r="AV37" s="170"/>
      <c r="AW37" s="170">
        <v>16340</v>
      </c>
      <c r="AX37" s="170"/>
      <c r="AY37" s="170">
        <v>495</v>
      </c>
      <c r="AZ37" s="170">
        <v>2234</v>
      </c>
      <c r="BA37" s="170">
        <v>1361</v>
      </c>
      <c r="BB37" s="170">
        <v>20</v>
      </c>
      <c r="BC37" s="170">
        <v>12</v>
      </c>
      <c r="BD37" s="170">
        <v>392</v>
      </c>
      <c r="BE37" s="170">
        <v>700</v>
      </c>
      <c r="BF37" s="170">
        <v>1</v>
      </c>
      <c r="BG37" s="170">
        <v>22800</v>
      </c>
      <c r="BH37" s="170">
        <v>6540</v>
      </c>
      <c r="BI37" s="170">
        <v>180</v>
      </c>
      <c r="BJ37" s="115">
        <f t="shared" si="9"/>
        <v>1</v>
      </c>
      <c r="BK37" s="115">
        <f t="shared" si="10"/>
        <v>6384.6</v>
      </c>
      <c r="BL37" s="115">
        <f t="shared" si="11"/>
        <v>3634.8</v>
      </c>
      <c r="BM37" s="115" t="str">
        <f t="shared" si="12"/>
        <v>0</v>
      </c>
      <c r="BN37" s="115" t="str">
        <f t="shared" si="13"/>
        <v>0</v>
      </c>
      <c r="BO37" s="115" t="str">
        <f t="shared" si="14"/>
        <v>0</v>
      </c>
      <c r="BP37" s="115" t="str">
        <f t="shared" si="15"/>
        <v>0</v>
      </c>
      <c r="BQ37" s="115" t="str">
        <f t="shared" si="16"/>
        <v>0</v>
      </c>
      <c r="BR37" s="115" t="str">
        <f t="shared" si="17"/>
        <v>0</v>
      </c>
      <c r="BS37" s="115"/>
      <c r="BT37" s="115">
        <v>2</v>
      </c>
      <c r="BU37" s="115">
        <f>BA37</f>
        <v>1361</v>
      </c>
      <c r="BV37" s="115">
        <v>6574</v>
      </c>
      <c r="BW37" s="115"/>
      <c r="BX37" s="115">
        <f>AP37</f>
        <v>7548</v>
      </c>
      <c r="BY37" s="275">
        <v>3082.1</v>
      </c>
      <c r="BZ37" s="307">
        <v>1571.3</v>
      </c>
      <c r="CA37" s="354">
        <f>1571.3*0+1581.3-2.5*4</f>
        <v>1571.3</v>
      </c>
      <c r="CB37" s="354">
        <f>2.5*4</f>
        <v>10</v>
      </c>
      <c r="CC37" s="354"/>
      <c r="CD37" s="354">
        <v>1360.8</v>
      </c>
      <c r="CE37" s="354">
        <f>12+19.4+7.2+7+7</f>
        <v>52.6</v>
      </c>
      <c r="CF37" s="354"/>
      <c r="CG37" s="354">
        <v>87.4</v>
      </c>
      <c r="CH37" s="355"/>
      <c r="CI37" s="356">
        <f t="shared" si="1"/>
        <v>3082.1</v>
      </c>
      <c r="CJ37" s="356">
        <f t="shared" si="0"/>
        <v>1571.3</v>
      </c>
      <c r="CK37" s="357">
        <v>2234</v>
      </c>
      <c r="CL37" s="358">
        <f t="shared" si="2"/>
        <v>5316.1</v>
      </c>
      <c r="CM37" s="205">
        <f>1682+3794</f>
        <v>5476</v>
      </c>
      <c r="CN37" s="282">
        <f t="shared" si="18"/>
        <v>2977</v>
      </c>
      <c r="CO37" s="209" t="str">
        <f t="shared" si="19"/>
        <v>0</v>
      </c>
      <c r="CP37" s="235">
        <f t="shared" si="20"/>
        <v>0</v>
      </c>
      <c r="CQ37" s="209">
        <f t="shared" si="21"/>
        <v>1</v>
      </c>
      <c r="CR37" s="235">
        <f t="shared" si="22"/>
        <v>16340</v>
      </c>
      <c r="CS37" s="235">
        <f t="shared" si="23"/>
        <v>1</v>
      </c>
      <c r="CT37" s="235">
        <f t="shared" si="23"/>
        <v>16340</v>
      </c>
      <c r="CU37" s="156">
        <v>74</v>
      </c>
      <c r="CV37" s="284" t="str">
        <f t="shared" si="24"/>
        <v>0</v>
      </c>
      <c r="CW37" s="284" t="str">
        <f t="shared" si="25"/>
        <v>0</v>
      </c>
      <c r="CX37" s="243">
        <f t="shared" si="26"/>
        <v>2.6297653729286092</v>
      </c>
      <c r="CY37" s="216" t="str">
        <f t="shared" si="27"/>
        <v>0</v>
      </c>
      <c r="CZ37" s="216" t="str">
        <f t="shared" si="28"/>
        <v>0</v>
      </c>
      <c r="DA37" s="243">
        <f t="shared" si="29"/>
        <v>3.7249139094567147</v>
      </c>
      <c r="DB37" s="306">
        <v>1</v>
      </c>
      <c r="DC37" s="306">
        <v>0</v>
      </c>
      <c r="DD37" s="306">
        <v>0</v>
      </c>
      <c r="DE37" s="306">
        <v>0</v>
      </c>
      <c r="DF37" s="306">
        <v>2</v>
      </c>
      <c r="DG37" s="306">
        <v>0</v>
      </c>
      <c r="DH37" s="306">
        <v>0</v>
      </c>
      <c r="DI37" s="306">
        <v>0</v>
      </c>
      <c r="DJ37" s="306">
        <v>0</v>
      </c>
      <c r="DK37" s="306">
        <v>118</v>
      </c>
      <c r="DL37" s="306">
        <f t="shared" si="30"/>
        <v>114</v>
      </c>
      <c r="DM37" s="306">
        <v>4</v>
      </c>
      <c r="DN37" s="306">
        <v>113</v>
      </c>
      <c r="DO37" s="306">
        <v>64</v>
      </c>
      <c r="DP37" s="306">
        <v>85</v>
      </c>
      <c r="DQ37" s="306">
        <v>97</v>
      </c>
      <c r="DR37" s="306">
        <v>71</v>
      </c>
      <c r="DS37" s="306">
        <v>71</v>
      </c>
      <c r="DT37" s="306">
        <v>111</v>
      </c>
      <c r="DU37" s="306">
        <v>4</v>
      </c>
      <c r="DV37" s="306">
        <v>1</v>
      </c>
      <c r="DW37" s="306">
        <v>3</v>
      </c>
      <c r="DX37" s="306">
        <v>1</v>
      </c>
      <c r="DY37" s="306">
        <v>1</v>
      </c>
      <c r="DZ37" s="306">
        <v>3</v>
      </c>
      <c r="EA37" s="306">
        <v>1</v>
      </c>
      <c r="EB37" s="306">
        <v>118</v>
      </c>
      <c r="EC37" s="306">
        <v>118</v>
      </c>
      <c r="ED37" s="342"/>
      <c r="EE37" s="342"/>
    </row>
    <row r="38" spans="1:138" x14ac:dyDescent="0.2">
      <c r="A38" s="149" t="s">
        <v>197</v>
      </c>
      <c r="B38" s="169">
        <v>28</v>
      </c>
      <c r="C38" s="12" t="s">
        <v>231</v>
      </c>
      <c r="D38" s="200">
        <v>1952</v>
      </c>
      <c r="E38" s="11"/>
      <c r="F38" s="169" t="s">
        <v>207</v>
      </c>
      <c r="G38" s="35">
        <v>1</v>
      </c>
      <c r="H38" s="201">
        <v>5</v>
      </c>
      <c r="I38" s="201" t="s">
        <v>19</v>
      </c>
      <c r="J38" s="115">
        <v>12796</v>
      </c>
      <c r="K38" s="115">
        <v>903</v>
      </c>
      <c r="L38" s="157">
        <v>769</v>
      </c>
      <c r="M38" s="115"/>
      <c r="N38" s="115">
        <v>31</v>
      </c>
      <c r="O38" s="115">
        <v>56</v>
      </c>
      <c r="P38" s="115">
        <v>31</v>
      </c>
      <c r="Q38" s="115">
        <v>40</v>
      </c>
      <c r="R38" s="228">
        <f>2021.1+18.2</f>
        <v>2039.3</v>
      </c>
      <c r="S38" s="230">
        <v>1037.0999999999999</v>
      </c>
      <c r="T38" s="115">
        <f t="shared" si="3"/>
        <v>31</v>
      </c>
      <c r="U38" s="203">
        <f t="shared" si="4"/>
        <v>2039.3</v>
      </c>
      <c r="V38" s="180">
        <f t="shared" si="4"/>
        <v>1037.0999999999999</v>
      </c>
      <c r="W38" s="115">
        <v>0</v>
      </c>
      <c r="X38" s="207">
        <v>0</v>
      </c>
      <c r="Y38" s="207">
        <v>0</v>
      </c>
      <c r="Z38" s="204"/>
      <c r="AA38" s="207"/>
      <c r="AB38" s="207"/>
      <c r="AC38" s="207">
        <f t="shared" si="5"/>
        <v>632.6</v>
      </c>
      <c r="AD38" s="248">
        <f t="shared" si="6"/>
        <v>0</v>
      </c>
      <c r="AE38" s="275"/>
      <c r="AF38" s="248"/>
      <c r="AG38" s="275">
        <v>632.6</v>
      </c>
      <c r="AH38" s="275"/>
      <c r="AI38" s="207">
        <f t="shared" si="7"/>
        <v>2671.9</v>
      </c>
      <c r="AJ38" s="170"/>
      <c r="AK38" s="170"/>
      <c r="AL38" s="170">
        <v>2</v>
      </c>
      <c r="AM38" s="170">
        <v>2</v>
      </c>
      <c r="AN38" s="170"/>
      <c r="AO38" s="170">
        <v>1</v>
      </c>
      <c r="AP38" s="170">
        <v>1907</v>
      </c>
      <c r="AQ38" s="170">
        <v>65.375</v>
      </c>
      <c r="AR38" s="170">
        <v>390</v>
      </c>
      <c r="AS38" s="170">
        <v>324</v>
      </c>
      <c r="AT38" s="170">
        <v>30</v>
      </c>
      <c r="AU38" s="170">
        <f t="shared" si="8"/>
        <v>1746</v>
      </c>
      <c r="AV38" s="170">
        <v>1746</v>
      </c>
      <c r="AW38" s="170"/>
      <c r="AX38" s="170"/>
      <c r="AY38" s="170">
        <v>54</v>
      </c>
      <c r="AZ38" s="170">
        <v>726</v>
      </c>
      <c r="BA38" s="170">
        <v>726</v>
      </c>
      <c r="BB38" s="170">
        <v>8</v>
      </c>
      <c r="BC38" s="170">
        <v>4</v>
      </c>
      <c r="BD38" s="170">
        <v>120</v>
      </c>
      <c r="BE38" s="170">
        <v>192</v>
      </c>
      <c r="BF38" s="170">
        <v>1</v>
      </c>
      <c r="BG38" s="170">
        <v>2029</v>
      </c>
      <c r="BH38" s="170">
        <v>76</v>
      </c>
      <c r="BI38" s="170"/>
      <c r="BJ38" s="115">
        <f t="shared" si="9"/>
        <v>1</v>
      </c>
      <c r="BK38" s="115">
        <f t="shared" si="10"/>
        <v>2039.3</v>
      </c>
      <c r="BL38" s="115">
        <f t="shared" si="11"/>
        <v>1037.0999999999999</v>
      </c>
      <c r="BM38" s="115" t="str">
        <f t="shared" si="12"/>
        <v>0</v>
      </c>
      <c r="BN38" s="115" t="str">
        <f t="shared" si="13"/>
        <v>0</v>
      </c>
      <c r="BO38" s="115" t="str">
        <f t="shared" si="14"/>
        <v>0</v>
      </c>
      <c r="BP38" s="115" t="str">
        <f t="shared" si="15"/>
        <v>0</v>
      </c>
      <c r="BQ38" s="115" t="str">
        <f t="shared" si="16"/>
        <v>0</v>
      </c>
      <c r="BR38" s="115" t="str">
        <f t="shared" si="17"/>
        <v>0</v>
      </c>
      <c r="BS38" s="115"/>
      <c r="BT38" s="115"/>
      <c r="BU38" s="115"/>
      <c r="BV38" s="115"/>
      <c r="BW38" s="115"/>
      <c r="BX38" s="115">
        <f>AP38</f>
        <v>1907</v>
      </c>
      <c r="BY38" s="275">
        <v>962.2</v>
      </c>
      <c r="BZ38" s="253">
        <v>214.8</v>
      </c>
      <c r="CA38" s="354">
        <v>214.8</v>
      </c>
      <c r="CB38" s="354"/>
      <c r="CC38" s="354"/>
      <c r="CD38" s="354">
        <v>726.2</v>
      </c>
      <c r="CE38" s="354">
        <f>9+12.2</f>
        <v>21.2</v>
      </c>
      <c r="CF38" s="354"/>
      <c r="CG38" s="354"/>
      <c r="CH38" s="355"/>
      <c r="CI38" s="356">
        <f t="shared" si="1"/>
        <v>962.2</v>
      </c>
      <c r="CJ38" s="356">
        <f t="shared" si="0"/>
        <v>214.8</v>
      </c>
      <c r="CK38" s="357">
        <v>726</v>
      </c>
      <c r="CL38" s="358">
        <f t="shared" si="2"/>
        <v>1688.2</v>
      </c>
      <c r="CM38" s="205">
        <v>1922</v>
      </c>
      <c r="CN38" s="282">
        <f t="shared" si="18"/>
        <v>1019</v>
      </c>
      <c r="CO38" s="209">
        <f t="shared" si="19"/>
        <v>1</v>
      </c>
      <c r="CP38" s="235">
        <f t="shared" si="20"/>
        <v>1746</v>
      </c>
      <c r="CQ38" s="209" t="str">
        <f t="shared" si="21"/>
        <v>0</v>
      </c>
      <c r="CR38" s="235">
        <f t="shared" si="22"/>
        <v>0</v>
      </c>
      <c r="CS38" s="235">
        <f t="shared" si="23"/>
        <v>1</v>
      </c>
      <c r="CT38" s="235">
        <f t="shared" si="23"/>
        <v>1746</v>
      </c>
      <c r="CU38" s="156">
        <v>51</v>
      </c>
      <c r="CV38" s="284" t="str">
        <f t="shared" si="24"/>
        <v>0</v>
      </c>
      <c r="CW38" s="284" t="str">
        <f t="shared" si="25"/>
        <v>0</v>
      </c>
      <c r="CX38" s="243">
        <f t="shared" si="26"/>
        <v>0</v>
      </c>
      <c r="CY38" s="216" t="str">
        <f t="shared" si="27"/>
        <v>0</v>
      </c>
      <c r="CZ38" s="216" t="str">
        <f t="shared" si="28"/>
        <v>0</v>
      </c>
      <c r="DA38" s="243">
        <f t="shared" si="29"/>
        <v>0</v>
      </c>
      <c r="DB38" s="306">
        <v>1</v>
      </c>
      <c r="DC38" s="306">
        <v>0</v>
      </c>
      <c r="DD38" s="306">
        <v>0</v>
      </c>
      <c r="DE38" s="306">
        <v>0</v>
      </c>
      <c r="DF38" s="306">
        <v>1</v>
      </c>
      <c r="DG38" s="306">
        <v>0</v>
      </c>
      <c r="DH38" s="306">
        <v>0</v>
      </c>
      <c r="DI38" s="306">
        <v>0</v>
      </c>
      <c r="DJ38" s="306">
        <v>0</v>
      </c>
      <c r="DK38" s="306">
        <v>31</v>
      </c>
      <c r="DL38" s="306">
        <f t="shared" si="30"/>
        <v>30</v>
      </c>
      <c r="DM38" s="306">
        <v>1</v>
      </c>
      <c r="DN38" s="306">
        <v>30</v>
      </c>
      <c r="DO38" s="306">
        <v>3</v>
      </c>
      <c r="DP38" s="306">
        <v>29</v>
      </c>
      <c r="DQ38" s="306">
        <v>3</v>
      </c>
      <c r="DR38" s="306">
        <v>4</v>
      </c>
      <c r="DS38" s="306">
        <v>28</v>
      </c>
      <c r="DT38" s="306">
        <v>4</v>
      </c>
      <c r="DU38" s="306">
        <v>1</v>
      </c>
      <c r="DV38" s="306">
        <v>0</v>
      </c>
      <c r="DW38" s="306">
        <v>0</v>
      </c>
      <c r="DX38" s="306">
        <v>0</v>
      </c>
      <c r="DY38" s="306">
        <v>0</v>
      </c>
      <c r="DZ38" s="306">
        <v>0</v>
      </c>
      <c r="EA38" s="306">
        <v>0</v>
      </c>
      <c r="EB38" s="306">
        <v>31</v>
      </c>
      <c r="EC38" s="306">
        <f>31-3</f>
        <v>28</v>
      </c>
      <c r="ED38" s="342"/>
      <c r="EE38" s="342"/>
    </row>
    <row r="39" spans="1:138" x14ac:dyDescent="0.2">
      <c r="A39" s="359" t="s">
        <v>203</v>
      </c>
      <c r="B39" s="169">
        <v>29</v>
      </c>
      <c r="C39" s="12" t="s">
        <v>232</v>
      </c>
      <c r="D39" s="200">
        <v>1993</v>
      </c>
      <c r="E39" s="11"/>
      <c r="F39" s="169" t="s">
        <v>149</v>
      </c>
      <c r="G39" s="35">
        <v>1</v>
      </c>
      <c r="H39" s="201">
        <v>12</v>
      </c>
      <c r="I39" s="201" t="s">
        <v>19</v>
      </c>
      <c r="J39" s="115">
        <v>27258</v>
      </c>
      <c r="K39" s="115">
        <v>1329</v>
      </c>
      <c r="L39" s="157"/>
      <c r="M39" s="115">
        <v>528</v>
      </c>
      <c r="N39" s="115">
        <v>55</v>
      </c>
      <c r="O39" s="115">
        <v>121</v>
      </c>
      <c r="P39" s="115">
        <v>55</v>
      </c>
      <c r="Q39" s="115">
        <v>107</v>
      </c>
      <c r="R39" s="228">
        <f>3213.3+0.1</f>
        <v>3213.4</v>
      </c>
      <c r="S39" s="230">
        <v>1782.4</v>
      </c>
      <c r="T39" s="115">
        <f t="shared" si="3"/>
        <v>53</v>
      </c>
      <c r="U39" s="203">
        <f t="shared" si="4"/>
        <v>3105.9</v>
      </c>
      <c r="V39" s="180">
        <f t="shared" si="4"/>
        <v>1715.75</v>
      </c>
      <c r="W39" s="115">
        <v>2</v>
      </c>
      <c r="X39" s="207">
        <v>107.5</v>
      </c>
      <c r="Y39" s="207">
        <v>66.650000000000006</v>
      </c>
      <c r="Z39" s="204"/>
      <c r="AA39" s="207"/>
      <c r="AB39" s="207"/>
      <c r="AC39" s="207">
        <f t="shared" si="5"/>
        <v>1043.4000000000001</v>
      </c>
      <c r="AD39" s="248">
        <f t="shared" si="6"/>
        <v>493.9</v>
      </c>
      <c r="AE39" s="275"/>
      <c r="AF39" s="248">
        <v>493.9</v>
      </c>
      <c r="AG39" s="207">
        <v>549.5</v>
      </c>
      <c r="AH39" s="207"/>
      <c r="AI39" s="207">
        <f t="shared" si="7"/>
        <v>4256.8</v>
      </c>
      <c r="AJ39" s="170"/>
      <c r="AK39" s="170">
        <v>2</v>
      </c>
      <c r="AL39" s="170">
        <v>1</v>
      </c>
      <c r="AM39" s="170">
        <v>1</v>
      </c>
      <c r="AN39" s="170"/>
      <c r="AO39" s="170">
        <v>1</v>
      </c>
      <c r="AP39" s="170">
        <v>3300</v>
      </c>
      <c r="AQ39" s="170">
        <v>15.25</v>
      </c>
      <c r="AR39" s="170">
        <v>930</v>
      </c>
      <c r="AS39" s="170">
        <v>224</v>
      </c>
      <c r="AT39" s="170">
        <v>39</v>
      </c>
      <c r="AU39" s="170">
        <f t="shared" si="8"/>
        <v>4390</v>
      </c>
      <c r="AV39" s="170"/>
      <c r="AW39" s="170">
        <v>4390</v>
      </c>
      <c r="AX39" s="170"/>
      <c r="AY39" s="170">
        <v>278</v>
      </c>
      <c r="AZ39" s="170">
        <v>1329</v>
      </c>
      <c r="BA39" s="170">
        <v>552</v>
      </c>
      <c r="BB39" s="170">
        <v>12</v>
      </c>
      <c r="BC39" s="170">
        <v>86</v>
      </c>
      <c r="BD39" s="170">
        <v>187</v>
      </c>
      <c r="BE39" s="170">
        <v>341</v>
      </c>
      <c r="BF39" s="170">
        <v>1</v>
      </c>
      <c r="BG39" s="170">
        <v>7600</v>
      </c>
      <c r="BH39" s="170">
        <v>3270</v>
      </c>
      <c r="BI39" s="170">
        <v>120</v>
      </c>
      <c r="BJ39" s="115">
        <f t="shared" si="9"/>
        <v>1</v>
      </c>
      <c r="BK39" s="115">
        <f t="shared" si="10"/>
        <v>3213.4</v>
      </c>
      <c r="BL39" s="115">
        <f t="shared" si="11"/>
        <v>1782.4</v>
      </c>
      <c r="BM39" s="115" t="str">
        <f t="shared" si="12"/>
        <v>0</v>
      </c>
      <c r="BN39" s="115" t="str">
        <f t="shared" si="13"/>
        <v>0</v>
      </c>
      <c r="BO39" s="115" t="str">
        <f t="shared" si="14"/>
        <v>0</v>
      </c>
      <c r="BP39" s="115" t="str">
        <f t="shared" si="15"/>
        <v>0</v>
      </c>
      <c r="BQ39" s="115" t="str">
        <f t="shared" si="16"/>
        <v>0</v>
      </c>
      <c r="BR39" s="115" t="str">
        <f t="shared" si="17"/>
        <v>0</v>
      </c>
      <c r="BS39" s="115"/>
      <c r="BT39" s="115">
        <v>1</v>
      </c>
      <c r="BU39" s="115">
        <f>BA39</f>
        <v>552</v>
      </c>
      <c r="BV39" s="115">
        <v>3668</v>
      </c>
      <c r="BW39" s="115"/>
      <c r="BX39" s="115">
        <f>AP39</f>
        <v>3300</v>
      </c>
      <c r="BY39" s="275">
        <v>1840.4</v>
      </c>
      <c r="BZ39" s="253">
        <v>1160</v>
      </c>
      <c r="CA39" s="354">
        <v>1160</v>
      </c>
      <c r="CB39" s="354">
        <f>5.2+22.8</f>
        <v>28</v>
      </c>
      <c r="CC39" s="354"/>
      <c r="CD39" s="354">
        <v>551.79999999999995</v>
      </c>
      <c r="CE39" s="354">
        <f>41.7+11.2+16.3</f>
        <v>69.2</v>
      </c>
      <c r="CF39" s="354">
        <f>6.5+1.9</f>
        <v>8.4</v>
      </c>
      <c r="CG39" s="354">
        <v>17.2</v>
      </c>
      <c r="CH39" s="355">
        <v>5.8</v>
      </c>
      <c r="CI39" s="356">
        <f t="shared" si="1"/>
        <v>1840.4</v>
      </c>
      <c r="CJ39" s="356">
        <f t="shared" si="0"/>
        <v>1160</v>
      </c>
      <c r="CK39" s="357">
        <v>1329</v>
      </c>
      <c r="CL39" s="358">
        <f t="shared" si="2"/>
        <v>3169.4</v>
      </c>
      <c r="CM39" s="205">
        <v>2228</v>
      </c>
      <c r="CN39" s="282">
        <f t="shared" si="18"/>
        <v>899</v>
      </c>
      <c r="CO39" s="209" t="str">
        <f t="shared" si="19"/>
        <v>0</v>
      </c>
      <c r="CP39" s="235">
        <f t="shared" si="20"/>
        <v>0</v>
      </c>
      <c r="CQ39" s="209">
        <f t="shared" si="21"/>
        <v>1</v>
      </c>
      <c r="CR39" s="235">
        <f t="shared" si="22"/>
        <v>4390</v>
      </c>
      <c r="CS39" s="235">
        <f t="shared" si="23"/>
        <v>1</v>
      </c>
      <c r="CT39" s="235">
        <f t="shared" si="23"/>
        <v>4390</v>
      </c>
      <c r="CU39" s="156">
        <v>67</v>
      </c>
      <c r="CV39" s="284" t="str">
        <f t="shared" si="24"/>
        <v>0</v>
      </c>
      <c r="CW39" s="284" t="str">
        <f t="shared" si="25"/>
        <v>0</v>
      </c>
      <c r="CX39" s="243">
        <f t="shared" si="26"/>
        <v>3.3453662787079104</v>
      </c>
      <c r="CY39" s="216" t="str">
        <f t="shared" si="27"/>
        <v>0</v>
      </c>
      <c r="CZ39" s="216" t="str">
        <f t="shared" si="28"/>
        <v>0</v>
      </c>
      <c r="DA39" s="243">
        <f t="shared" si="29"/>
        <v>14.127983461755308</v>
      </c>
      <c r="DB39" s="306">
        <v>1</v>
      </c>
      <c r="DC39" s="306">
        <v>0</v>
      </c>
      <c r="DD39" s="306">
        <v>0</v>
      </c>
      <c r="DE39" s="306">
        <v>0</v>
      </c>
      <c r="DF39" s="306">
        <v>2</v>
      </c>
      <c r="DG39" s="306">
        <v>0</v>
      </c>
      <c r="DH39" s="306">
        <v>0</v>
      </c>
      <c r="DI39" s="306">
        <v>0</v>
      </c>
      <c r="DJ39" s="306">
        <v>0</v>
      </c>
      <c r="DK39" s="306">
        <v>55</v>
      </c>
      <c r="DL39" s="306">
        <f t="shared" si="30"/>
        <v>50</v>
      </c>
      <c r="DM39" s="306">
        <v>5</v>
      </c>
      <c r="DN39" s="306">
        <v>49</v>
      </c>
      <c r="DO39" s="306">
        <v>31</v>
      </c>
      <c r="DP39" s="306">
        <v>29</v>
      </c>
      <c r="DQ39" s="306">
        <v>37</v>
      </c>
      <c r="DR39" s="306">
        <v>33</v>
      </c>
      <c r="DS39" s="306">
        <v>26</v>
      </c>
      <c r="DT39" s="306">
        <v>40</v>
      </c>
      <c r="DU39" s="306">
        <v>5</v>
      </c>
      <c r="DV39" s="306">
        <v>0</v>
      </c>
      <c r="DW39" s="306">
        <v>4</v>
      </c>
      <c r="DX39" s="306">
        <v>0</v>
      </c>
      <c r="DY39" s="306">
        <v>0</v>
      </c>
      <c r="DZ39" s="306">
        <v>4</v>
      </c>
      <c r="EA39" s="306">
        <v>0</v>
      </c>
      <c r="EB39" s="306">
        <v>55</v>
      </c>
      <c r="EC39" s="306">
        <v>55</v>
      </c>
      <c r="ED39" s="342"/>
      <c r="EE39" s="342"/>
    </row>
    <row r="40" spans="1:138" x14ac:dyDescent="0.2">
      <c r="A40" s="149" t="s">
        <v>197</v>
      </c>
      <c r="B40" s="169">
        <v>30</v>
      </c>
      <c r="C40" s="12" t="s">
        <v>233</v>
      </c>
      <c r="D40" s="200">
        <v>1987</v>
      </c>
      <c r="E40" s="11"/>
      <c r="F40" s="206" t="s">
        <v>24</v>
      </c>
      <c r="G40" s="35">
        <v>1</v>
      </c>
      <c r="H40" s="201">
        <v>9</v>
      </c>
      <c r="I40" s="201" t="s">
        <v>22</v>
      </c>
      <c r="J40" s="115">
        <v>19770</v>
      </c>
      <c r="K40" s="115">
        <v>779</v>
      </c>
      <c r="L40" s="157"/>
      <c r="M40" s="115">
        <v>719</v>
      </c>
      <c r="N40" s="115">
        <v>69</v>
      </c>
      <c r="O40" s="115">
        <v>191</v>
      </c>
      <c r="P40" s="115">
        <v>69</v>
      </c>
      <c r="Q40" s="115">
        <v>168</v>
      </c>
      <c r="R40" s="228">
        <v>4429.8999999999996</v>
      </c>
      <c r="S40" s="230">
        <v>2799.9</v>
      </c>
      <c r="T40" s="115">
        <f t="shared" si="3"/>
        <v>65</v>
      </c>
      <c r="U40" s="203">
        <f t="shared" si="4"/>
        <v>4192.5999999999995</v>
      </c>
      <c r="V40" s="180">
        <f t="shared" si="4"/>
        <v>2652.77</v>
      </c>
      <c r="W40" s="115">
        <v>4</v>
      </c>
      <c r="X40" s="207">
        <v>237.3</v>
      </c>
      <c r="Y40" s="207">
        <v>147.13</v>
      </c>
      <c r="Z40" s="204"/>
      <c r="AA40" s="207"/>
      <c r="AB40" s="207"/>
      <c r="AC40" s="207">
        <f t="shared" si="5"/>
        <v>99.2</v>
      </c>
      <c r="AD40" s="248">
        <f t="shared" si="6"/>
        <v>0</v>
      </c>
      <c r="AE40" s="275"/>
      <c r="AF40" s="248"/>
      <c r="AG40" s="207">
        <v>99.2</v>
      </c>
      <c r="AH40" s="207"/>
      <c r="AI40" s="207">
        <f t="shared" si="7"/>
        <v>4529.0999999999995</v>
      </c>
      <c r="AJ40" s="170"/>
      <c r="AK40" s="170">
        <v>2</v>
      </c>
      <c r="AL40" s="170">
        <v>2</v>
      </c>
      <c r="AM40" s="170">
        <v>2</v>
      </c>
      <c r="AN40" s="170"/>
      <c r="AO40" s="170">
        <v>2</v>
      </c>
      <c r="AP40" s="170">
        <v>3575</v>
      </c>
      <c r="AQ40" s="170">
        <v>92.5</v>
      </c>
      <c r="AR40" s="170">
        <v>395</v>
      </c>
      <c r="AS40" s="170">
        <v>378</v>
      </c>
      <c r="AT40" s="170">
        <v>150</v>
      </c>
      <c r="AU40" s="170">
        <f t="shared" si="8"/>
        <v>8280</v>
      </c>
      <c r="AV40" s="170"/>
      <c r="AW40" s="170">
        <v>8280</v>
      </c>
      <c r="AX40" s="170">
        <v>1680</v>
      </c>
      <c r="AY40" s="170">
        <v>220</v>
      </c>
      <c r="AZ40" s="170">
        <v>719</v>
      </c>
      <c r="BA40" s="170">
        <v>719</v>
      </c>
      <c r="BB40" s="170">
        <v>36</v>
      </c>
      <c r="BC40" s="170">
        <v>40</v>
      </c>
      <c r="BD40" s="170">
        <v>264</v>
      </c>
      <c r="BE40" s="170">
        <v>476</v>
      </c>
      <c r="BF40" s="170">
        <v>1</v>
      </c>
      <c r="BG40" s="170">
        <v>7600</v>
      </c>
      <c r="BH40" s="170">
        <v>3270</v>
      </c>
      <c r="BI40" s="170">
        <v>90</v>
      </c>
      <c r="BJ40" s="115" t="str">
        <f t="shared" si="9"/>
        <v>0</v>
      </c>
      <c r="BK40" s="115" t="str">
        <f t="shared" si="10"/>
        <v>0</v>
      </c>
      <c r="BL40" s="115" t="str">
        <f t="shared" si="11"/>
        <v>0</v>
      </c>
      <c r="BM40" s="115">
        <f t="shared" si="12"/>
        <v>1</v>
      </c>
      <c r="BN40" s="115">
        <f t="shared" si="13"/>
        <v>4429.8999999999996</v>
      </c>
      <c r="BO40" s="115">
        <f t="shared" si="14"/>
        <v>2799.9</v>
      </c>
      <c r="BP40" s="115" t="str">
        <f t="shared" si="15"/>
        <v>0</v>
      </c>
      <c r="BQ40" s="115" t="str">
        <f t="shared" si="16"/>
        <v>0</v>
      </c>
      <c r="BR40" s="115" t="str">
        <f t="shared" si="17"/>
        <v>0</v>
      </c>
      <c r="BS40" s="115"/>
      <c r="BT40" s="115">
        <v>2</v>
      </c>
      <c r="BU40" s="115"/>
      <c r="BV40" s="115"/>
      <c r="BW40" s="115"/>
      <c r="BX40" s="115"/>
      <c r="BY40" s="275">
        <v>1444.6000000000001</v>
      </c>
      <c r="BZ40" s="253">
        <v>771.8</v>
      </c>
      <c r="CA40" s="354">
        <f>461.8-2.9*2+315.8</f>
        <v>771.8</v>
      </c>
      <c r="CB40" s="354">
        <f>2.9*2</f>
        <v>5.8</v>
      </c>
      <c r="CC40" s="354"/>
      <c r="CD40" s="354">
        <v>625.4</v>
      </c>
      <c r="CE40" s="354">
        <v>32.200000000000003</v>
      </c>
      <c r="CF40" s="354"/>
      <c r="CG40" s="354">
        <v>9.4</v>
      </c>
      <c r="CH40" s="355"/>
      <c r="CI40" s="356">
        <f t="shared" si="1"/>
        <v>1444.6</v>
      </c>
      <c r="CJ40" s="356">
        <f t="shared" si="0"/>
        <v>771.8</v>
      </c>
      <c r="CK40" s="357">
        <v>719</v>
      </c>
      <c r="CL40" s="358">
        <f t="shared" si="2"/>
        <v>2163.6</v>
      </c>
      <c r="CM40" s="205">
        <v>1748</v>
      </c>
      <c r="CN40" s="282">
        <f t="shared" si="18"/>
        <v>969</v>
      </c>
      <c r="CO40" s="209" t="str">
        <f t="shared" si="19"/>
        <v>0</v>
      </c>
      <c r="CP40" s="235">
        <f t="shared" si="20"/>
        <v>0</v>
      </c>
      <c r="CQ40" s="209">
        <f t="shared" si="21"/>
        <v>1</v>
      </c>
      <c r="CR40" s="235">
        <f t="shared" si="22"/>
        <v>8280</v>
      </c>
      <c r="CS40" s="235">
        <f t="shared" si="23"/>
        <v>1</v>
      </c>
      <c r="CT40" s="235">
        <f t="shared" si="23"/>
        <v>8280</v>
      </c>
      <c r="CU40" s="156">
        <v>52</v>
      </c>
      <c r="CV40" s="284" t="str">
        <f t="shared" si="24"/>
        <v>0</v>
      </c>
      <c r="CW40" s="284" t="str">
        <f t="shared" si="25"/>
        <v>0</v>
      </c>
      <c r="CX40" s="243">
        <f t="shared" si="26"/>
        <v>5.3567800627553677</v>
      </c>
      <c r="CY40" s="216" t="str">
        <f t="shared" si="27"/>
        <v>0</v>
      </c>
      <c r="CZ40" s="216" t="str">
        <f t="shared" si="28"/>
        <v>0</v>
      </c>
      <c r="DA40" s="243">
        <f t="shared" si="29"/>
        <v>5.2394515466649016</v>
      </c>
      <c r="DB40" s="306">
        <v>1</v>
      </c>
      <c r="DC40" s="306">
        <v>0</v>
      </c>
      <c r="DD40" s="306">
        <v>0</v>
      </c>
      <c r="DE40" s="306">
        <v>1</v>
      </c>
      <c r="DF40" s="306">
        <v>2</v>
      </c>
      <c r="DG40" s="306">
        <v>0</v>
      </c>
      <c r="DH40" s="306">
        <v>0</v>
      </c>
      <c r="DI40" s="306">
        <v>1</v>
      </c>
      <c r="DJ40" s="306">
        <v>0</v>
      </c>
      <c r="DK40" s="306">
        <v>69</v>
      </c>
      <c r="DL40" s="306">
        <f t="shared" si="30"/>
        <v>67</v>
      </c>
      <c r="DM40" s="306">
        <v>2</v>
      </c>
      <c r="DN40" s="306">
        <v>67</v>
      </c>
      <c r="DO40" s="306">
        <v>36</v>
      </c>
      <c r="DP40" s="306">
        <v>50</v>
      </c>
      <c r="DQ40" s="306">
        <v>46</v>
      </c>
      <c r="DR40" s="306">
        <v>45</v>
      </c>
      <c r="DS40" s="306">
        <v>40</v>
      </c>
      <c r="DT40" s="306">
        <v>56</v>
      </c>
      <c r="DU40" s="306">
        <v>1</v>
      </c>
      <c r="DV40" s="306">
        <v>1</v>
      </c>
      <c r="DW40" s="306">
        <v>1</v>
      </c>
      <c r="DX40" s="306">
        <v>2</v>
      </c>
      <c r="DY40" s="306">
        <v>1</v>
      </c>
      <c r="DZ40" s="306">
        <v>1</v>
      </c>
      <c r="EA40" s="306">
        <v>2</v>
      </c>
      <c r="EB40" s="306">
        <v>69</v>
      </c>
      <c r="EC40" s="306">
        <v>69</v>
      </c>
      <c r="ED40" s="342"/>
      <c r="EE40" s="342"/>
    </row>
    <row r="41" spans="1:138" x14ac:dyDescent="0.2">
      <c r="A41" s="149" t="s">
        <v>197</v>
      </c>
      <c r="B41" s="169">
        <v>31</v>
      </c>
      <c r="C41" s="12" t="s">
        <v>234</v>
      </c>
      <c r="D41" s="200">
        <v>1952</v>
      </c>
      <c r="E41" s="11"/>
      <c r="F41" s="169" t="s">
        <v>207</v>
      </c>
      <c r="G41" s="35">
        <v>1</v>
      </c>
      <c r="H41" s="201">
        <v>5</v>
      </c>
      <c r="I41" s="201" t="s">
        <v>19</v>
      </c>
      <c r="J41" s="115">
        <v>24904</v>
      </c>
      <c r="K41" s="115">
        <v>1559</v>
      </c>
      <c r="L41" s="157">
        <v>1900</v>
      </c>
      <c r="M41" s="115"/>
      <c r="N41" s="115">
        <v>86</v>
      </c>
      <c r="O41" s="115">
        <v>196</v>
      </c>
      <c r="P41" s="115">
        <v>86</v>
      </c>
      <c r="Q41" s="115">
        <v>141</v>
      </c>
      <c r="R41" s="228">
        <v>5270.44</v>
      </c>
      <c r="S41" s="230">
        <v>3223.2</v>
      </c>
      <c r="T41" s="115">
        <f t="shared" si="3"/>
        <v>70</v>
      </c>
      <c r="U41" s="203">
        <f t="shared" si="4"/>
        <v>4216.1399999999994</v>
      </c>
      <c r="V41" s="180">
        <f t="shared" si="4"/>
        <v>2569.5299999999997</v>
      </c>
      <c r="W41" s="115">
        <v>16</v>
      </c>
      <c r="X41" s="207">
        <v>1054.3</v>
      </c>
      <c r="Y41" s="207">
        <v>653.66999999999996</v>
      </c>
      <c r="Z41" s="204"/>
      <c r="AA41" s="207"/>
      <c r="AB41" s="207"/>
      <c r="AC41" s="207">
        <f t="shared" si="5"/>
        <v>279.3</v>
      </c>
      <c r="AD41" s="248">
        <f t="shared" si="6"/>
        <v>279.3</v>
      </c>
      <c r="AE41" s="275"/>
      <c r="AF41" s="248">
        <v>279.3</v>
      </c>
      <c r="AG41" s="207"/>
      <c r="AH41" s="207"/>
      <c r="AI41" s="207">
        <f t="shared" si="7"/>
        <v>5549.74</v>
      </c>
      <c r="AJ41" s="170"/>
      <c r="AK41" s="170"/>
      <c r="AL41" s="170">
        <v>4</v>
      </c>
      <c r="AM41" s="170"/>
      <c r="AN41" s="170"/>
      <c r="AO41" s="170">
        <v>1</v>
      </c>
      <c r="AP41" s="170">
        <v>3684</v>
      </c>
      <c r="AQ41" s="170">
        <v>824.75</v>
      </c>
      <c r="AR41" s="170">
        <v>340</v>
      </c>
      <c r="AS41" s="170">
        <v>454</v>
      </c>
      <c r="AT41" s="170">
        <v>60</v>
      </c>
      <c r="AU41" s="170">
        <f t="shared" si="8"/>
        <v>3492</v>
      </c>
      <c r="AV41" s="170"/>
      <c r="AW41" s="170">
        <v>3492</v>
      </c>
      <c r="AX41" s="170"/>
      <c r="AY41" s="170">
        <v>122</v>
      </c>
      <c r="AZ41" s="170">
        <v>1535</v>
      </c>
      <c r="BA41" s="170">
        <v>1535</v>
      </c>
      <c r="BB41" s="170">
        <v>16</v>
      </c>
      <c r="BC41" s="170">
        <v>8</v>
      </c>
      <c r="BD41" s="170">
        <v>310</v>
      </c>
      <c r="BE41" s="170">
        <v>529</v>
      </c>
      <c r="BF41" s="170">
        <v>0</v>
      </c>
      <c r="BG41" s="170">
        <v>6023</v>
      </c>
      <c r="BH41" s="170">
        <v>152</v>
      </c>
      <c r="BI41" s="170">
        <v>0</v>
      </c>
      <c r="BJ41" s="115">
        <f t="shared" si="9"/>
        <v>1</v>
      </c>
      <c r="BK41" s="115">
        <f t="shared" si="10"/>
        <v>5270.44</v>
      </c>
      <c r="BL41" s="115">
        <f t="shared" si="11"/>
        <v>3223.2</v>
      </c>
      <c r="BM41" s="115" t="str">
        <f t="shared" si="12"/>
        <v>0</v>
      </c>
      <c r="BN41" s="115" t="str">
        <f t="shared" si="13"/>
        <v>0</v>
      </c>
      <c r="BO41" s="115" t="str">
        <f t="shared" si="14"/>
        <v>0</v>
      </c>
      <c r="BP41" s="115" t="str">
        <f t="shared" si="15"/>
        <v>0</v>
      </c>
      <c r="BQ41" s="115" t="str">
        <f t="shared" si="16"/>
        <v>0</v>
      </c>
      <c r="BR41" s="115" t="str">
        <f t="shared" si="17"/>
        <v>0</v>
      </c>
      <c r="BS41" s="115"/>
      <c r="BT41" s="115">
        <v>2</v>
      </c>
      <c r="BU41" s="115">
        <f>BA41</f>
        <v>1535</v>
      </c>
      <c r="BV41" s="115">
        <v>3166</v>
      </c>
      <c r="BW41" s="115">
        <v>3</v>
      </c>
      <c r="BX41" s="115">
        <f>AP41</f>
        <v>3684</v>
      </c>
      <c r="BY41" s="275">
        <v>1992.7</v>
      </c>
      <c r="BZ41" s="253">
        <v>442.7</v>
      </c>
      <c r="CA41" s="354">
        <v>442.7</v>
      </c>
      <c r="CB41" s="354"/>
      <c r="CC41" s="354"/>
      <c r="CD41" s="354">
        <v>1535</v>
      </c>
      <c r="CE41" s="354">
        <v>15</v>
      </c>
      <c r="CF41" s="354"/>
      <c r="CG41" s="354"/>
      <c r="CH41" s="355"/>
      <c r="CI41" s="356">
        <f t="shared" si="1"/>
        <v>1992.7</v>
      </c>
      <c r="CJ41" s="356">
        <f t="shared" si="0"/>
        <v>442.7</v>
      </c>
      <c r="CK41" s="357">
        <v>1535</v>
      </c>
      <c r="CL41" s="358">
        <f t="shared" si="2"/>
        <v>3527.7</v>
      </c>
      <c r="CM41" s="205">
        <f>3770+2896</f>
        <v>6666</v>
      </c>
      <c r="CN41" s="282">
        <f t="shared" si="18"/>
        <v>5107</v>
      </c>
      <c r="CO41" s="209" t="str">
        <f t="shared" si="19"/>
        <v>0</v>
      </c>
      <c r="CP41" s="235">
        <f t="shared" si="20"/>
        <v>0</v>
      </c>
      <c r="CQ41" s="209">
        <f t="shared" si="21"/>
        <v>1</v>
      </c>
      <c r="CR41" s="235">
        <f t="shared" si="22"/>
        <v>3492</v>
      </c>
      <c r="CS41" s="235">
        <f t="shared" si="23"/>
        <v>1</v>
      </c>
      <c r="CT41" s="235">
        <f t="shared" si="23"/>
        <v>3492</v>
      </c>
      <c r="CU41" s="156">
        <v>52</v>
      </c>
      <c r="CV41" s="284" t="str">
        <f t="shared" si="24"/>
        <v>0</v>
      </c>
      <c r="CW41" s="284" t="str">
        <f t="shared" si="25"/>
        <v>0</v>
      </c>
      <c r="CX41" s="243">
        <f t="shared" si="26"/>
        <v>20.004022434559545</v>
      </c>
      <c r="CY41" s="216" t="str">
        <f t="shared" si="27"/>
        <v>0</v>
      </c>
      <c r="CZ41" s="216" t="str">
        <f t="shared" si="28"/>
        <v>0</v>
      </c>
      <c r="DA41" s="243">
        <f t="shared" si="29"/>
        <v>24.029954556429669</v>
      </c>
      <c r="DB41" s="306">
        <v>1</v>
      </c>
      <c r="DC41" s="306">
        <v>0</v>
      </c>
      <c r="DD41" s="306">
        <v>0</v>
      </c>
      <c r="DE41" s="306">
        <v>0</v>
      </c>
      <c r="DF41" s="306">
        <v>1</v>
      </c>
      <c r="DG41" s="306">
        <v>0</v>
      </c>
      <c r="DH41" s="306">
        <v>0</v>
      </c>
      <c r="DI41" s="306">
        <v>0</v>
      </c>
      <c r="DJ41" s="306">
        <v>0</v>
      </c>
      <c r="DK41" s="306">
        <v>86</v>
      </c>
      <c r="DL41" s="306">
        <f t="shared" si="30"/>
        <v>79</v>
      </c>
      <c r="DM41" s="306">
        <v>7</v>
      </c>
      <c r="DN41" s="306">
        <v>49</v>
      </c>
      <c r="DO41" s="306">
        <v>23</v>
      </c>
      <c r="DP41" s="306">
        <v>63</v>
      </c>
      <c r="DQ41" s="306">
        <v>24</v>
      </c>
      <c r="DR41" s="306">
        <v>28</v>
      </c>
      <c r="DS41" s="306">
        <v>58</v>
      </c>
      <c r="DT41" s="306">
        <v>30</v>
      </c>
      <c r="DU41" s="306">
        <v>5</v>
      </c>
      <c r="DV41" s="306">
        <v>2</v>
      </c>
      <c r="DW41" s="306">
        <v>6</v>
      </c>
      <c r="DX41" s="306">
        <v>2</v>
      </c>
      <c r="DY41" s="306">
        <v>2</v>
      </c>
      <c r="DZ41" s="306">
        <v>6</v>
      </c>
      <c r="EA41" s="306">
        <v>2</v>
      </c>
      <c r="EB41" s="306">
        <v>86</v>
      </c>
      <c r="EC41" s="306">
        <f>86-5</f>
        <v>81</v>
      </c>
      <c r="ED41" s="342"/>
      <c r="EE41" s="342"/>
    </row>
    <row r="42" spans="1:138" x14ac:dyDescent="0.2">
      <c r="A42" s="149" t="s">
        <v>197</v>
      </c>
      <c r="B42" s="169">
        <v>32</v>
      </c>
      <c r="C42" s="12" t="s">
        <v>235</v>
      </c>
      <c r="D42" s="200">
        <v>1984</v>
      </c>
      <c r="E42" s="11"/>
      <c r="F42" s="169">
        <v>84</v>
      </c>
      <c r="G42" s="35">
        <v>1</v>
      </c>
      <c r="H42" s="201">
        <v>9</v>
      </c>
      <c r="I42" s="201" t="s">
        <v>22</v>
      </c>
      <c r="J42" s="115">
        <v>22193</v>
      </c>
      <c r="K42" s="115">
        <v>956</v>
      </c>
      <c r="L42" s="157"/>
      <c r="M42" s="115">
        <v>874</v>
      </c>
      <c r="N42" s="115">
        <v>108</v>
      </c>
      <c r="O42" s="115">
        <v>231</v>
      </c>
      <c r="P42" s="115">
        <v>109</v>
      </c>
      <c r="Q42" s="115">
        <v>244</v>
      </c>
      <c r="R42" s="228">
        <v>5633.2</v>
      </c>
      <c r="S42" s="230">
        <v>3345.9</v>
      </c>
      <c r="T42" s="115">
        <f t="shared" si="3"/>
        <v>103</v>
      </c>
      <c r="U42" s="203">
        <f t="shared" si="4"/>
        <v>5403.0999999999995</v>
      </c>
      <c r="V42" s="180">
        <f t="shared" si="4"/>
        <v>3203.2400000000002</v>
      </c>
      <c r="W42" s="115">
        <v>5</v>
      </c>
      <c r="X42" s="207">
        <v>230.1</v>
      </c>
      <c r="Y42" s="207">
        <v>142.66</v>
      </c>
      <c r="Z42" s="204"/>
      <c r="AA42" s="207"/>
      <c r="AB42" s="207"/>
      <c r="AC42" s="207">
        <f t="shared" si="5"/>
        <v>0</v>
      </c>
      <c r="AD42" s="248">
        <f t="shared" si="6"/>
        <v>0</v>
      </c>
      <c r="AE42" s="275"/>
      <c r="AF42" s="248"/>
      <c r="AG42" s="207"/>
      <c r="AH42" s="207"/>
      <c r="AI42" s="207">
        <f t="shared" si="7"/>
        <v>5633.2</v>
      </c>
      <c r="AJ42" s="170"/>
      <c r="AK42" s="170">
        <v>3</v>
      </c>
      <c r="AL42" s="170">
        <v>3</v>
      </c>
      <c r="AM42" s="170">
        <v>3</v>
      </c>
      <c r="AN42" s="170"/>
      <c r="AO42" s="170">
        <v>4</v>
      </c>
      <c r="AP42" s="170">
        <v>5722</v>
      </c>
      <c r="AQ42" s="170">
        <v>51.125</v>
      </c>
      <c r="AR42" s="170">
        <v>490</v>
      </c>
      <c r="AS42" s="170">
        <v>336</v>
      </c>
      <c r="AT42" s="170">
        <v>108</v>
      </c>
      <c r="AU42" s="170">
        <f t="shared" si="8"/>
        <v>11020</v>
      </c>
      <c r="AV42" s="170"/>
      <c r="AW42" s="170">
        <v>11020</v>
      </c>
      <c r="AX42" s="170">
        <v>2520</v>
      </c>
      <c r="AY42" s="170">
        <v>299</v>
      </c>
      <c r="AZ42" s="170">
        <v>873</v>
      </c>
      <c r="BA42" s="170">
        <v>873</v>
      </c>
      <c r="BB42" s="170">
        <v>54</v>
      </c>
      <c r="BC42" s="170">
        <v>9</v>
      </c>
      <c r="BD42" s="170">
        <v>375</v>
      </c>
      <c r="BE42" s="170">
        <v>717</v>
      </c>
      <c r="BF42" s="170">
        <v>1</v>
      </c>
      <c r="BG42" s="170">
        <v>10710</v>
      </c>
      <c r="BH42" s="170">
        <v>4905</v>
      </c>
      <c r="BI42" s="170">
        <v>135</v>
      </c>
      <c r="BJ42" s="115" t="str">
        <f t="shared" si="9"/>
        <v>0</v>
      </c>
      <c r="BK42" s="115" t="str">
        <f t="shared" si="10"/>
        <v>0</v>
      </c>
      <c r="BL42" s="115" t="str">
        <f t="shared" si="11"/>
        <v>0</v>
      </c>
      <c r="BM42" s="115">
        <f t="shared" si="12"/>
        <v>1</v>
      </c>
      <c r="BN42" s="115">
        <f t="shared" si="13"/>
        <v>5633.2</v>
      </c>
      <c r="BO42" s="115">
        <f t="shared" si="14"/>
        <v>3345.9</v>
      </c>
      <c r="BP42" s="115" t="str">
        <f t="shared" si="15"/>
        <v>0</v>
      </c>
      <c r="BQ42" s="115" t="str">
        <f t="shared" si="16"/>
        <v>0</v>
      </c>
      <c r="BR42" s="115" t="str">
        <f t="shared" si="17"/>
        <v>0</v>
      </c>
      <c r="BS42" s="115"/>
      <c r="BT42" s="115">
        <v>1</v>
      </c>
      <c r="BU42" s="115">
        <f>BA42</f>
        <v>873</v>
      </c>
      <c r="BV42" s="115">
        <v>4936</v>
      </c>
      <c r="BW42" s="115"/>
      <c r="BX42" s="115"/>
      <c r="BY42" s="253">
        <v>1736.14</v>
      </c>
      <c r="BZ42" s="253">
        <v>804.6</v>
      </c>
      <c r="CA42" s="354">
        <f>812.1-7.5</f>
        <v>804.6</v>
      </c>
      <c r="CB42" s="354">
        <f>7.5*0+2.4+2.5+2.6</f>
        <v>7.5</v>
      </c>
      <c r="CC42" s="354"/>
      <c r="CD42" s="354">
        <v>873.74</v>
      </c>
      <c r="CE42" s="354">
        <f>2.8+2.9+2.9</f>
        <v>8.6</v>
      </c>
      <c r="CF42" s="354">
        <f>8.2+9.6+7.2</f>
        <v>24.999999999999996</v>
      </c>
      <c r="CG42" s="354">
        <f>5.6+5.5+5.6</f>
        <v>16.7</v>
      </c>
      <c r="CH42" s="355"/>
      <c r="CI42" s="356">
        <f t="shared" si="1"/>
        <v>1736.1399999999999</v>
      </c>
      <c r="CJ42" s="356">
        <f t="shared" si="0"/>
        <v>804.6</v>
      </c>
      <c r="CK42" s="357">
        <v>873</v>
      </c>
      <c r="CL42" s="358">
        <f t="shared" si="2"/>
        <v>2609.14</v>
      </c>
      <c r="CM42" s="205">
        <v>2520</v>
      </c>
      <c r="CN42" s="282">
        <f t="shared" si="18"/>
        <v>1564</v>
      </c>
      <c r="CO42" s="209" t="str">
        <f t="shared" si="19"/>
        <v>0</v>
      </c>
      <c r="CP42" s="235">
        <f t="shared" si="20"/>
        <v>0</v>
      </c>
      <c r="CQ42" s="209">
        <f t="shared" si="21"/>
        <v>1</v>
      </c>
      <c r="CR42" s="235">
        <f t="shared" si="22"/>
        <v>11020</v>
      </c>
      <c r="CS42" s="235">
        <f t="shared" si="23"/>
        <v>1</v>
      </c>
      <c r="CT42" s="235">
        <f t="shared" si="23"/>
        <v>11020</v>
      </c>
      <c r="CU42" s="156">
        <v>43</v>
      </c>
      <c r="CV42" s="284" t="str">
        <f t="shared" si="24"/>
        <v>0</v>
      </c>
      <c r="CW42" s="284" t="str">
        <f t="shared" si="25"/>
        <v>0</v>
      </c>
      <c r="CX42" s="243">
        <f t="shared" si="26"/>
        <v>4.0847120641908683</v>
      </c>
      <c r="CY42" s="216" t="str">
        <f t="shared" si="27"/>
        <v>0</v>
      </c>
      <c r="CZ42" s="216" t="str">
        <f t="shared" si="28"/>
        <v>0</v>
      </c>
      <c r="DA42" s="243">
        <f t="shared" si="29"/>
        <v>4.0847120641908683</v>
      </c>
      <c r="DB42" s="306">
        <v>1</v>
      </c>
      <c r="DC42" s="306">
        <v>0</v>
      </c>
      <c r="DD42" s="306">
        <v>0</v>
      </c>
      <c r="DE42" s="306">
        <v>0</v>
      </c>
      <c r="DF42" s="306">
        <v>2</v>
      </c>
      <c r="DG42" s="306">
        <v>0</v>
      </c>
      <c r="DH42" s="306">
        <v>0</v>
      </c>
      <c r="DI42" s="306">
        <v>0</v>
      </c>
      <c r="DJ42" s="306">
        <v>0</v>
      </c>
      <c r="DK42" s="306">
        <v>108</v>
      </c>
      <c r="DL42" s="306">
        <f t="shared" si="30"/>
        <v>105</v>
      </c>
      <c r="DM42" s="306">
        <v>3</v>
      </c>
      <c r="DN42" s="306">
        <v>104</v>
      </c>
      <c r="DO42" s="306">
        <v>64</v>
      </c>
      <c r="DP42" s="306">
        <v>54</v>
      </c>
      <c r="DQ42" s="306">
        <v>87</v>
      </c>
      <c r="DR42" s="306">
        <v>66</v>
      </c>
      <c r="DS42" s="306">
        <v>50</v>
      </c>
      <c r="DT42" s="306">
        <v>91</v>
      </c>
      <c r="DU42" s="306">
        <v>3</v>
      </c>
      <c r="DV42" s="306">
        <v>1</v>
      </c>
      <c r="DW42" s="306">
        <v>7</v>
      </c>
      <c r="DX42" s="306">
        <v>1</v>
      </c>
      <c r="DY42" s="306">
        <v>1</v>
      </c>
      <c r="DZ42" s="306">
        <v>7</v>
      </c>
      <c r="EA42" s="306">
        <v>1</v>
      </c>
      <c r="EB42" s="306">
        <v>108</v>
      </c>
      <c r="EC42" s="306">
        <v>108</v>
      </c>
      <c r="ED42" s="342"/>
      <c r="EE42" s="342"/>
    </row>
    <row r="43" spans="1:138" x14ac:dyDescent="0.2">
      <c r="A43" s="149" t="s">
        <v>197</v>
      </c>
      <c r="B43" s="169">
        <v>34</v>
      </c>
      <c r="C43" s="12" t="s">
        <v>236</v>
      </c>
      <c r="D43" s="200">
        <v>1987</v>
      </c>
      <c r="E43" s="11"/>
      <c r="F43" s="206" t="s">
        <v>24</v>
      </c>
      <c r="G43" s="35">
        <v>1</v>
      </c>
      <c r="H43" s="201">
        <v>9</v>
      </c>
      <c r="I43" s="201" t="s">
        <v>22</v>
      </c>
      <c r="J43" s="115">
        <v>19816</v>
      </c>
      <c r="K43" s="115">
        <v>857</v>
      </c>
      <c r="L43" s="157"/>
      <c r="M43" s="115">
        <v>735</v>
      </c>
      <c r="N43" s="115">
        <v>67</v>
      </c>
      <c r="O43" s="115">
        <v>186</v>
      </c>
      <c r="P43" s="115">
        <v>68</v>
      </c>
      <c r="Q43" s="115">
        <v>165</v>
      </c>
      <c r="R43" s="228">
        <f>4365.76+1</f>
        <v>4366.76</v>
      </c>
      <c r="S43" s="230">
        <v>2734.9</v>
      </c>
      <c r="T43" s="115">
        <f t="shared" si="3"/>
        <v>65</v>
      </c>
      <c r="U43" s="203">
        <f t="shared" ref="U43:V70" si="36">R43-X43-AA43</f>
        <v>4231.8600000000006</v>
      </c>
      <c r="V43" s="180">
        <f t="shared" si="36"/>
        <v>2651.27</v>
      </c>
      <c r="W43" s="115">
        <v>2</v>
      </c>
      <c r="X43" s="207">
        <v>134.9</v>
      </c>
      <c r="Y43" s="207">
        <v>83.63</v>
      </c>
      <c r="Z43" s="204"/>
      <c r="AA43" s="207"/>
      <c r="AB43" s="207"/>
      <c r="AC43" s="207">
        <f t="shared" si="5"/>
        <v>236</v>
      </c>
      <c r="AD43" s="248">
        <f t="shared" si="6"/>
        <v>236</v>
      </c>
      <c r="AE43" s="275"/>
      <c r="AF43" s="248">
        <f>236</f>
        <v>236</v>
      </c>
      <c r="AG43" s="207"/>
      <c r="AH43" s="207"/>
      <c r="AI43" s="207">
        <f t="shared" si="7"/>
        <v>4602.76</v>
      </c>
      <c r="AJ43" s="170"/>
      <c r="AK43" s="170">
        <v>2</v>
      </c>
      <c r="AL43" s="170">
        <v>2</v>
      </c>
      <c r="AM43" s="170">
        <v>2</v>
      </c>
      <c r="AN43" s="170"/>
      <c r="AO43" s="170">
        <v>2</v>
      </c>
      <c r="AP43" s="170">
        <v>4320</v>
      </c>
      <c r="AQ43" s="170"/>
      <c r="AR43" s="170">
        <v>674</v>
      </c>
      <c r="AS43" s="170">
        <v>280</v>
      </c>
      <c r="AT43" s="170">
        <v>150</v>
      </c>
      <c r="AU43" s="170">
        <f t="shared" si="8"/>
        <v>10400</v>
      </c>
      <c r="AV43" s="170">
        <v>2350</v>
      </c>
      <c r="AW43" s="170">
        <v>8050</v>
      </c>
      <c r="AX43" s="170">
        <v>1680</v>
      </c>
      <c r="AY43" s="170">
        <v>232</v>
      </c>
      <c r="AZ43" s="170">
        <v>725</v>
      </c>
      <c r="BA43" s="170">
        <v>725</v>
      </c>
      <c r="BB43" s="170">
        <v>36</v>
      </c>
      <c r="BC43" s="170">
        <v>40</v>
      </c>
      <c r="BD43" s="170">
        <v>253</v>
      </c>
      <c r="BE43" s="170">
        <v>454</v>
      </c>
      <c r="BF43" s="170">
        <v>1</v>
      </c>
      <c r="BG43" s="170">
        <v>7600</v>
      </c>
      <c r="BH43" s="170">
        <v>3270</v>
      </c>
      <c r="BI43" s="170">
        <v>90</v>
      </c>
      <c r="BJ43" s="115" t="str">
        <f t="shared" si="9"/>
        <v>0</v>
      </c>
      <c r="BK43" s="115" t="str">
        <f t="shared" si="10"/>
        <v>0</v>
      </c>
      <c r="BL43" s="115" t="str">
        <f t="shared" si="11"/>
        <v>0</v>
      </c>
      <c r="BM43" s="115">
        <f t="shared" si="12"/>
        <v>1</v>
      </c>
      <c r="BN43" s="115">
        <f t="shared" si="13"/>
        <v>4366.76</v>
      </c>
      <c r="BO43" s="115">
        <f t="shared" si="14"/>
        <v>2734.9</v>
      </c>
      <c r="BP43" s="115" t="str">
        <f t="shared" si="15"/>
        <v>0</v>
      </c>
      <c r="BQ43" s="115" t="str">
        <f t="shared" si="16"/>
        <v>0</v>
      </c>
      <c r="BR43" s="115" t="str">
        <f t="shared" si="17"/>
        <v>0</v>
      </c>
      <c r="BS43" s="115"/>
      <c r="BT43" s="115">
        <v>2</v>
      </c>
      <c r="BU43" s="115"/>
      <c r="BV43" s="115"/>
      <c r="BW43" s="115"/>
      <c r="BX43" s="115"/>
      <c r="BY43" s="253">
        <v>1589.7</v>
      </c>
      <c r="BZ43" s="253">
        <v>784.1</v>
      </c>
      <c r="CA43" s="354">
        <f>312.9-3*2+477.2</f>
        <v>784.09999999999991</v>
      </c>
      <c r="CB43" s="354">
        <f>3*2+33.4</f>
        <v>39.4</v>
      </c>
      <c r="CC43" s="354"/>
      <c r="CD43" s="354">
        <v>724.8</v>
      </c>
      <c r="CE43" s="354">
        <v>32.200000000000003</v>
      </c>
      <c r="CF43" s="354"/>
      <c r="CG43" s="354">
        <v>9.1999999999999993</v>
      </c>
      <c r="CH43" s="355"/>
      <c r="CI43" s="356">
        <f t="shared" si="1"/>
        <v>1589.6999999999998</v>
      </c>
      <c r="CJ43" s="356">
        <f t="shared" si="0"/>
        <v>784.09999999999991</v>
      </c>
      <c r="CK43" s="357">
        <v>725</v>
      </c>
      <c r="CL43" s="358">
        <f t="shared" si="2"/>
        <v>2314.6999999999998</v>
      </c>
      <c r="CM43" s="205">
        <v>1684</v>
      </c>
      <c r="CN43" s="282">
        <f t="shared" si="18"/>
        <v>827</v>
      </c>
      <c r="CO43" s="209"/>
      <c r="CP43" s="235">
        <f t="shared" si="20"/>
        <v>2350</v>
      </c>
      <c r="CQ43" s="209">
        <f t="shared" si="21"/>
        <v>1</v>
      </c>
      <c r="CR43" s="235">
        <f t="shared" si="22"/>
        <v>8050</v>
      </c>
      <c r="CS43" s="235">
        <f t="shared" si="23"/>
        <v>1</v>
      </c>
      <c r="CT43" s="235">
        <f t="shared" si="23"/>
        <v>10400</v>
      </c>
      <c r="CU43" s="156">
        <v>42</v>
      </c>
      <c r="CV43" s="284" t="str">
        <f t="shared" si="24"/>
        <v>0</v>
      </c>
      <c r="CW43" s="284" t="str">
        <f t="shared" si="25"/>
        <v>0</v>
      </c>
      <c r="CX43" s="243">
        <f t="shared" si="26"/>
        <v>3.0892469473934909</v>
      </c>
      <c r="CY43" s="216" t="str">
        <f t="shared" si="27"/>
        <v>0</v>
      </c>
      <c r="CZ43" s="216" t="str">
        <f t="shared" si="28"/>
        <v>0</v>
      </c>
      <c r="DA43" s="243">
        <f t="shared" si="29"/>
        <v>8.058208553128992</v>
      </c>
      <c r="DB43" s="306">
        <v>1</v>
      </c>
      <c r="DC43" s="306">
        <v>0</v>
      </c>
      <c r="DD43" s="306">
        <v>0</v>
      </c>
      <c r="DE43" s="306">
        <v>0</v>
      </c>
      <c r="DF43" s="306">
        <v>2</v>
      </c>
      <c r="DG43" s="306">
        <v>0</v>
      </c>
      <c r="DH43" s="306">
        <v>0</v>
      </c>
      <c r="DI43" s="306">
        <v>0</v>
      </c>
      <c r="DJ43" s="306">
        <v>0</v>
      </c>
      <c r="DK43" s="306">
        <v>67</v>
      </c>
      <c r="DL43" s="306">
        <f t="shared" si="30"/>
        <v>65</v>
      </c>
      <c r="DM43" s="306">
        <v>2</v>
      </c>
      <c r="DN43" s="306">
        <v>64</v>
      </c>
      <c r="DO43" s="306">
        <v>34</v>
      </c>
      <c r="DP43" s="306">
        <v>45</v>
      </c>
      <c r="DQ43" s="306">
        <v>47</v>
      </c>
      <c r="DR43" s="306">
        <v>39</v>
      </c>
      <c r="DS43" s="306">
        <v>38</v>
      </c>
      <c r="DT43" s="306">
        <v>54</v>
      </c>
      <c r="DU43" s="306">
        <v>1</v>
      </c>
      <c r="DV43" s="306">
        <v>1</v>
      </c>
      <c r="DW43" s="306">
        <v>4</v>
      </c>
      <c r="DX43" s="306">
        <v>1</v>
      </c>
      <c r="DY43" s="306">
        <v>1</v>
      </c>
      <c r="DZ43" s="306">
        <v>4</v>
      </c>
      <c r="EA43" s="306">
        <v>1</v>
      </c>
      <c r="EB43" s="306">
        <v>67</v>
      </c>
      <c r="EC43" s="306">
        <v>67</v>
      </c>
      <c r="ED43" s="342"/>
      <c r="EE43" s="342"/>
    </row>
    <row r="44" spans="1:138" x14ac:dyDescent="0.2">
      <c r="A44" s="149" t="s">
        <v>197</v>
      </c>
      <c r="B44" s="169">
        <v>35</v>
      </c>
      <c r="C44" s="12" t="s">
        <v>237</v>
      </c>
      <c r="D44" s="200">
        <v>1990</v>
      </c>
      <c r="E44" s="11"/>
      <c r="F44" s="169" t="s">
        <v>149</v>
      </c>
      <c r="G44" s="35">
        <v>1</v>
      </c>
      <c r="H44" s="201">
        <v>12</v>
      </c>
      <c r="I44" s="201" t="s">
        <v>19</v>
      </c>
      <c r="J44" s="115">
        <v>21604</v>
      </c>
      <c r="K44" s="115">
        <v>1049</v>
      </c>
      <c r="L44" s="157"/>
      <c r="M44" s="115">
        <v>547</v>
      </c>
      <c r="N44" s="115">
        <v>55</v>
      </c>
      <c r="O44" s="115">
        <v>121</v>
      </c>
      <c r="P44" s="115">
        <v>55</v>
      </c>
      <c r="Q44" s="115">
        <v>106</v>
      </c>
      <c r="R44" s="228">
        <v>3233.5</v>
      </c>
      <c r="S44" s="230">
        <v>1775.2</v>
      </c>
      <c r="T44" s="115">
        <f t="shared" si="3"/>
        <v>54</v>
      </c>
      <c r="U44" s="203">
        <f t="shared" si="36"/>
        <v>3178.7</v>
      </c>
      <c r="V44" s="180">
        <f t="shared" si="36"/>
        <v>1741.23</v>
      </c>
      <c r="W44" s="115">
        <v>1</v>
      </c>
      <c r="X44" s="207">
        <v>54.8</v>
      </c>
      <c r="Y44" s="207">
        <v>33.97</v>
      </c>
      <c r="Z44" s="204"/>
      <c r="AA44" s="207"/>
      <c r="AB44" s="207"/>
      <c r="AC44" s="207">
        <f t="shared" si="5"/>
        <v>517.1</v>
      </c>
      <c r="AD44" s="248">
        <f t="shared" si="6"/>
        <v>517.1</v>
      </c>
      <c r="AE44" s="275"/>
      <c r="AF44" s="248">
        <f>525.1-8</f>
        <v>517.1</v>
      </c>
      <c r="AG44" s="207"/>
      <c r="AH44" s="207"/>
      <c r="AI44" s="207">
        <f t="shared" si="7"/>
        <v>3750.6</v>
      </c>
      <c r="AJ44" s="170"/>
      <c r="AK44" s="170">
        <v>2</v>
      </c>
      <c r="AL44" s="170">
        <v>1</v>
      </c>
      <c r="AM44" s="170">
        <v>1</v>
      </c>
      <c r="AN44" s="170"/>
      <c r="AO44" s="170">
        <v>1</v>
      </c>
      <c r="AP44" s="170">
        <v>3300</v>
      </c>
      <c r="AQ44" s="170"/>
      <c r="AR44" s="170">
        <v>390</v>
      </c>
      <c r="AS44" s="170">
        <v>332</v>
      </c>
      <c r="AT44" s="170">
        <v>39</v>
      </c>
      <c r="AU44" s="170">
        <f t="shared" si="8"/>
        <v>4390</v>
      </c>
      <c r="AV44" s="170"/>
      <c r="AW44" s="170">
        <v>4390</v>
      </c>
      <c r="AX44" s="170">
        <v>0</v>
      </c>
      <c r="AY44" s="170">
        <v>278</v>
      </c>
      <c r="AZ44" s="170">
        <v>979</v>
      </c>
      <c r="BA44" s="170">
        <v>551</v>
      </c>
      <c r="BB44" s="170">
        <v>1</v>
      </c>
      <c r="BC44" s="170">
        <v>85</v>
      </c>
      <c r="BD44" s="170">
        <v>198</v>
      </c>
      <c r="BE44" s="170">
        <v>341</v>
      </c>
      <c r="BF44" s="170">
        <v>1</v>
      </c>
      <c r="BG44" s="170">
        <v>7600</v>
      </c>
      <c r="BH44" s="170">
        <v>3270</v>
      </c>
      <c r="BI44" s="170">
        <v>120</v>
      </c>
      <c r="BJ44" s="115">
        <f t="shared" si="9"/>
        <v>1</v>
      </c>
      <c r="BK44" s="115">
        <f t="shared" si="10"/>
        <v>3233.5</v>
      </c>
      <c r="BL44" s="115">
        <f t="shared" si="11"/>
        <v>1775.2</v>
      </c>
      <c r="BM44" s="115" t="str">
        <f t="shared" si="12"/>
        <v>0</v>
      </c>
      <c r="BN44" s="115" t="str">
        <f t="shared" si="13"/>
        <v>0</v>
      </c>
      <c r="BO44" s="115" t="str">
        <f t="shared" si="14"/>
        <v>0</v>
      </c>
      <c r="BP44" s="115" t="str">
        <f t="shared" si="15"/>
        <v>0</v>
      </c>
      <c r="BQ44" s="115" t="str">
        <f t="shared" si="16"/>
        <v>0</v>
      </c>
      <c r="BR44" s="115" t="str">
        <f t="shared" si="17"/>
        <v>0</v>
      </c>
      <c r="BS44" s="115"/>
      <c r="BT44" s="115">
        <v>1</v>
      </c>
      <c r="BU44" s="115">
        <f>BA44</f>
        <v>551</v>
      </c>
      <c r="BV44" s="115">
        <v>3668</v>
      </c>
      <c r="BW44" s="115"/>
      <c r="BX44" s="115">
        <f>AP44</f>
        <v>3300</v>
      </c>
      <c r="BY44" s="253">
        <v>1749.8999999999999</v>
      </c>
      <c r="BZ44" s="253">
        <v>1080.0999999999999</v>
      </c>
      <c r="CA44" s="354">
        <f>1083.2-3.1</f>
        <v>1080.1000000000001</v>
      </c>
      <c r="CB44" s="354">
        <f>24.4+3.1</f>
        <v>27.5</v>
      </c>
      <c r="CC44" s="354"/>
      <c r="CD44" s="354">
        <v>550.70000000000005</v>
      </c>
      <c r="CE44" s="354">
        <f>16.8</f>
        <v>16.8</v>
      </c>
      <c r="CF44" s="354">
        <v>47.1</v>
      </c>
      <c r="CG44" s="354">
        <v>16.399999999999999</v>
      </c>
      <c r="CH44" s="355">
        <v>11.3</v>
      </c>
      <c r="CI44" s="356">
        <f t="shared" si="1"/>
        <v>1749.9</v>
      </c>
      <c r="CJ44" s="356">
        <f t="shared" si="0"/>
        <v>1080.1000000000001</v>
      </c>
      <c r="CK44" s="357">
        <v>979</v>
      </c>
      <c r="CL44" s="358">
        <f t="shared" si="2"/>
        <v>2728.9</v>
      </c>
      <c r="CM44" s="205">
        <v>1805</v>
      </c>
      <c r="CN44" s="282">
        <f t="shared" si="18"/>
        <v>756</v>
      </c>
      <c r="CO44" s="209" t="str">
        <f t="shared" ref="CO44:CO52" si="37">IF(CP44&gt;0,G44,"0")</f>
        <v>0</v>
      </c>
      <c r="CP44" s="235">
        <f t="shared" si="20"/>
        <v>0</v>
      </c>
      <c r="CQ44" s="209">
        <f t="shared" si="21"/>
        <v>1</v>
      </c>
      <c r="CR44" s="235">
        <f t="shared" si="22"/>
        <v>4390</v>
      </c>
      <c r="CS44" s="235">
        <f t="shared" si="23"/>
        <v>1</v>
      </c>
      <c r="CT44" s="235">
        <f t="shared" si="23"/>
        <v>4390</v>
      </c>
      <c r="CU44" s="156">
        <v>71</v>
      </c>
      <c r="CV44" s="284" t="str">
        <f t="shared" si="24"/>
        <v>0</v>
      </c>
      <c r="CW44" s="284" t="str">
        <f t="shared" si="25"/>
        <v>0</v>
      </c>
      <c r="CX44" s="243">
        <f t="shared" si="26"/>
        <v>1.6947580021648367</v>
      </c>
      <c r="CY44" s="216" t="str">
        <f t="shared" si="27"/>
        <v>0</v>
      </c>
      <c r="CZ44" s="216" t="str">
        <f t="shared" si="28"/>
        <v>0</v>
      </c>
      <c r="DA44" s="243">
        <f t="shared" si="29"/>
        <v>15.24822695035461</v>
      </c>
      <c r="DB44" s="306">
        <v>1</v>
      </c>
      <c r="DC44" s="306">
        <v>0</v>
      </c>
      <c r="DD44" s="306">
        <v>0</v>
      </c>
      <c r="DE44" s="306">
        <v>0</v>
      </c>
      <c r="DF44" s="306">
        <v>2</v>
      </c>
      <c r="DG44" s="306">
        <v>0</v>
      </c>
      <c r="DH44" s="306">
        <v>0</v>
      </c>
      <c r="DI44" s="306">
        <v>0</v>
      </c>
      <c r="DJ44" s="306">
        <v>0</v>
      </c>
      <c r="DK44" s="306">
        <v>55</v>
      </c>
      <c r="DL44" s="306">
        <f t="shared" si="30"/>
        <v>54</v>
      </c>
      <c r="DM44" s="306">
        <v>1</v>
      </c>
      <c r="DN44" s="306">
        <v>50</v>
      </c>
      <c r="DO44" s="306">
        <v>23</v>
      </c>
      <c r="DP44" s="306">
        <v>40</v>
      </c>
      <c r="DQ44" s="306">
        <v>26</v>
      </c>
      <c r="DR44" s="306">
        <v>28</v>
      </c>
      <c r="DS44" s="306">
        <v>34</v>
      </c>
      <c r="DT44" s="306">
        <v>32</v>
      </c>
      <c r="DU44" s="306">
        <v>1</v>
      </c>
      <c r="DV44" s="306">
        <v>0</v>
      </c>
      <c r="DW44" s="306">
        <v>0</v>
      </c>
      <c r="DX44" s="306">
        <v>0</v>
      </c>
      <c r="DY44" s="306">
        <v>0</v>
      </c>
      <c r="DZ44" s="306">
        <v>0</v>
      </c>
      <c r="EA44" s="306">
        <v>0</v>
      </c>
      <c r="EB44" s="306">
        <v>55</v>
      </c>
      <c r="EC44" s="306">
        <v>55</v>
      </c>
      <c r="ED44" s="342"/>
      <c r="EE44" s="342"/>
    </row>
    <row r="45" spans="1:138" x14ac:dyDescent="0.2">
      <c r="A45" s="149" t="s">
        <v>197</v>
      </c>
      <c r="B45" s="169">
        <v>36</v>
      </c>
      <c r="C45" s="12" t="s">
        <v>238</v>
      </c>
      <c r="D45" s="200">
        <v>1986</v>
      </c>
      <c r="E45" s="11"/>
      <c r="F45" s="169">
        <v>84</v>
      </c>
      <c r="G45" s="35">
        <v>1</v>
      </c>
      <c r="H45" s="201">
        <v>9</v>
      </c>
      <c r="I45" s="201" t="s">
        <v>22</v>
      </c>
      <c r="J45" s="115">
        <v>22612</v>
      </c>
      <c r="K45" s="115">
        <v>962</v>
      </c>
      <c r="L45" s="157"/>
      <c r="M45" s="115">
        <v>890</v>
      </c>
      <c r="N45" s="115">
        <v>108</v>
      </c>
      <c r="O45" s="115">
        <v>231</v>
      </c>
      <c r="P45" s="115">
        <v>108</v>
      </c>
      <c r="Q45" s="115">
        <v>218</v>
      </c>
      <c r="R45" s="228">
        <v>5651.1</v>
      </c>
      <c r="S45" s="230">
        <v>3347.1</v>
      </c>
      <c r="T45" s="115">
        <f t="shared" si="3"/>
        <v>103</v>
      </c>
      <c r="U45" s="203">
        <f t="shared" si="36"/>
        <v>5399.39</v>
      </c>
      <c r="V45" s="180">
        <f t="shared" si="36"/>
        <v>3191.04</v>
      </c>
      <c r="W45" s="115">
        <v>5</v>
      </c>
      <c r="X45" s="207">
        <v>251.71</v>
      </c>
      <c r="Y45" s="207">
        <v>156.06</v>
      </c>
      <c r="Z45" s="204"/>
      <c r="AA45" s="207"/>
      <c r="AB45" s="207"/>
      <c r="AC45" s="207">
        <f t="shared" si="5"/>
        <v>0</v>
      </c>
      <c r="AD45" s="248">
        <f t="shared" si="6"/>
        <v>0</v>
      </c>
      <c r="AE45" s="275"/>
      <c r="AF45" s="248"/>
      <c r="AG45" s="207"/>
      <c r="AH45" s="207"/>
      <c r="AI45" s="207">
        <f t="shared" si="7"/>
        <v>5651.1</v>
      </c>
      <c r="AJ45" s="170"/>
      <c r="AK45" s="170">
        <v>3</v>
      </c>
      <c r="AL45" s="170">
        <v>3</v>
      </c>
      <c r="AM45" s="170">
        <v>3</v>
      </c>
      <c r="AN45" s="170"/>
      <c r="AO45" s="170">
        <v>4</v>
      </c>
      <c r="AP45" s="170">
        <v>4358</v>
      </c>
      <c r="AQ45" s="170"/>
      <c r="AR45" s="170">
        <v>910</v>
      </c>
      <c r="AS45" s="170">
        <v>336</v>
      </c>
      <c r="AT45" s="170">
        <v>108</v>
      </c>
      <c r="AU45" s="170">
        <f t="shared" si="8"/>
        <v>12500</v>
      </c>
      <c r="AV45" s="170"/>
      <c r="AW45" s="170">
        <v>12500</v>
      </c>
      <c r="AX45" s="170">
        <v>2520</v>
      </c>
      <c r="AY45" s="170">
        <v>299</v>
      </c>
      <c r="AZ45" s="170">
        <v>883</v>
      </c>
      <c r="BA45" s="170">
        <v>883</v>
      </c>
      <c r="BB45" s="170">
        <v>54</v>
      </c>
      <c r="BC45" s="170">
        <v>9</v>
      </c>
      <c r="BD45" s="170">
        <v>375</v>
      </c>
      <c r="BE45" s="170">
        <v>717</v>
      </c>
      <c r="BF45" s="170">
        <v>1</v>
      </c>
      <c r="BG45" s="170">
        <v>10710</v>
      </c>
      <c r="BH45" s="170">
        <v>4905</v>
      </c>
      <c r="BI45" s="170">
        <v>135</v>
      </c>
      <c r="BJ45" s="115" t="str">
        <f t="shared" si="9"/>
        <v>0</v>
      </c>
      <c r="BK45" s="115" t="str">
        <f t="shared" si="10"/>
        <v>0</v>
      </c>
      <c r="BL45" s="115" t="str">
        <f t="shared" si="11"/>
        <v>0</v>
      </c>
      <c r="BM45" s="115">
        <f t="shared" si="12"/>
        <v>1</v>
      </c>
      <c r="BN45" s="115">
        <f t="shared" si="13"/>
        <v>5651.1</v>
      </c>
      <c r="BO45" s="115">
        <f t="shared" si="14"/>
        <v>3347.1</v>
      </c>
      <c r="BP45" s="115" t="str">
        <f t="shared" si="15"/>
        <v>0</v>
      </c>
      <c r="BQ45" s="115" t="str">
        <f t="shared" si="16"/>
        <v>0</v>
      </c>
      <c r="BR45" s="115" t="str">
        <f t="shared" si="17"/>
        <v>0</v>
      </c>
      <c r="BS45" s="115"/>
      <c r="BT45" s="115">
        <v>2</v>
      </c>
      <c r="BU45" s="115">
        <f>BA45</f>
        <v>883</v>
      </c>
      <c r="BV45" s="115">
        <v>4936</v>
      </c>
      <c r="BW45" s="115"/>
      <c r="BX45" s="115"/>
      <c r="BY45" s="253">
        <v>1607.7</v>
      </c>
      <c r="BZ45" s="253">
        <v>816.9</v>
      </c>
      <c r="CA45" s="354">
        <f>807.8-2.7*3</f>
        <v>799.69999999999993</v>
      </c>
      <c r="CB45" s="354">
        <f>33.5+2.7*3</f>
        <v>41.6</v>
      </c>
      <c r="CC45" s="354">
        <f>9.5+7.7</f>
        <v>17.2</v>
      </c>
      <c r="CD45" s="354">
        <v>714.9</v>
      </c>
      <c r="CE45" s="354">
        <f>2.8+9.6+2.8+2.9</f>
        <v>18.099999999999998</v>
      </c>
      <c r="CF45" s="354"/>
      <c r="CG45" s="355">
        <f>5.4+5.5+5.3</f>
        <v>16.2</v>
      </c>
      <c r="CH45" s="355"/>
      <c r="CI45" s="356">
        <f t="shared" si="1"/>
        <v>1607.6999999999998</v>
      </c>
      <c r="CJ45" s="356">
        <f t="shared" si="0"/>
        <v>816.9</v>
      </c>
      <c r="CK45" s="357">
        <v>883</v>
      </c>
      <c r="CL45" s="358">
        <f t="shared" si="2"/>
        <v>2490.6999999999998</v>
      </c>
      <c r="CM45" s="205">
        <v>2196</v>
      </c>
      <c r="CN45" s="282">
        <f t="shared" si="18"/>
        <v>1234</v>
      </c>
      <c r="CO45" s="209" t="str">
        <f t="shared" si="37"/>
        <v>0</v>
      </c>
      <c r="CP45" s="235">
        <f t="shared" si="20"/>
        <v>0</v>
      </c>
      <c r="CQ45" s="209">
        <f t="shared" si="21"/>
        <v>1</v>
      </c>
      <c r="CR45" s="235">
        <f t="shared" si="22"/>
        <v>12500</v>
      </c>
      <c r="CS45" s="235">
        <f t="shared" si="23"/>
        <v>1</v>
      </c>
      <c r="CT45" s="235">
        <f t="shared" si="23"/>
        <v>12500</v>
      </c>
      <c r="CU45" s="156">
        <v>44</v>
      </c>
      <c r="CV45" s="284" t="str">
        <f t="shared" si="24"/>
        <v>0</v>
      </c>
      <c r="CW45" s="284" t="str">
        <f t="shared" si="25"/>
        <v>0</v>
      </c>
      <c r="CX45" s="243">
        <f t="shared" si="26"/>
        <v>4.4541770628727146</v>
      </c>
      <c r="CY45" s="216" t="str">
        <f t="shared" si="27"/>
        <v>0</v>
      </c>
      <c r="CZ45" s="216" t="str">
        <f t="shared" si="28"/>
        <v>0</v>
      </c>
      <c r="DA45" s="243">
        <f t="shared" si="29"/>
        <v>4.4541770628727146</v>
      </c>
      <c r="DB45" s="306">
        <v>1</v>
      </c>
      <c r="DC45" s="306">
        <v>0</v>
      </c>
      <c r="DD45" s="306">
        <v>0</v>
      </c>
      <c r="DE45" s="306">
        <v>0</v>
      </c>
      <c r="DF45" s="306">
        <v>2</v>
      </c>
      <c r="DG45" s="306">
        <v>0</v>
      </c>
      <c r="DH45" s="306">
        <v>0</v>
      </c>
      <c r="DI45" s="306">
        <v>0</v>
      </c>
      <c r="DJ45" s="306">
        <v>0</v>
      </c>
      <c r="DK45" s="306">
        <v>108</v>
      </c>
      <c r="DL45" s="306">
        <f t="shared" si="30"/>
        <v>102</v>
      </c>
      <c r="DM45" s="306">
        <v>6</v>
      </c>
      <c r="DN45" s="306">
        <v>102</v>
      </c>
      <c r="DO45" s="306">
        <v>50</v>
      </c>
      <c r="DP45" s="306">
        <v>75</v>
      </c>
      <c r="DQ45" s="306">
        <v>67</v>
      </c>
      <c r="DR45" s="306">
        <v>58</v>
      </c>
      <c r="DS45" s="306">
        <v>63</v>
      </c>
      <c r="DT45" s="306">
        <v>79</v>
      </c>
      <c r="DU45" s="306">
        <v>6</v>
      </c>
      <c r="DV45" s="306">
        <v>2</v>
      </c>
      <c r="DW45" s="306">
        <v>4</v>
      </c>
      <c r="DX45" s="306">
        <v>3</v>
      </c>
      <c r="DY45" s="306">
        <v>2</v>
      </c>
      <c r="DZ45" s="306">
        <v>4</v>
      </c>
      <c r="EA45" s="306">
        <v>3</v>
      </c>
      <c r="EB45" s="306">
        <v>108</v>
      </c>
      <c r="EC45" s="306">
        <v>108</v>
      </c>
      <c r="ED45" s="342"/>
      <c r="EE45" s="342"/>
    </row>
    <row r="46" spans="1:138" x14ac:dyDescent="0.2">
      <c r="A46" s="359" t="s">
        <v>203</v>
      </c>
      <c r="B46" s="169">
        <v>37</v>
      </c>
      <c r="C46" s="12" t="s">
        <v>239</v>
      </c>
      <c r="D46" s="200">
        <v>1993</v>
      </c>
      <c r="E46" s="11"/>
      <c r="F46" s="169" t="s">
        <v>149</v>
      </c>
      <c r="G46" s="35">
        <v>1</v>
      </c>
      <c r="H46" s="201">
        <v>12</v>
      </c>
      <c r="I46" s="201" t="s">
        <v>19</v>
      </c>
      <c r="J46" s="115">
        <v>24604</v>
      </c>
      <c r="K46" s="115">
        <v>1051</v>
      </c>
      <c r="L46" s="157"/>
      <c r="M46" s="115">
        <v>547</v>
      </c>
      <c r="N46" s="115">
        <v>55</v>
      </c>
      <c r="O46" s="115">
        <v>121</v>
      </c>
      <c r="P46" s="115">
        <v>55</v>
      </c>
      <c r="Q46" s="115">
        <v>98</v>
      </c>
      <c r="R46" s="228">
        <v>3163.2</v>
      </c>
      <c r="S46" s="230">
        <v>1753.2</v>
      </c>
      <c r="T46" s="115">
        <f t="shared" si="3"/>
        <v>53</v>
      </c>
      <c r="U46" s="203">
        <f t="shared" si="36"/>
        <v>3072.5</v>
      </c>
      <c r="V46" s="180">
        <f t="shared" si="36"/>
        <v>1696.97</v>
      </c>
      <c r="W46" s="115">
        <v>2</v>
      </c>
      <c r="X46" s="207">
        <v>90.7</v>
      </c>
      <c r="Y46" s="207">
        <v>56.23</v>
      </c>
      <c r="Z46" s="204"/>
      <c r="AA46" s="207"/>
      <c r="AB46" s="207"/>
      <c r="AC46" s="207">
        <f t="shared" si="5"/>
        <v>554.59999999999991</v>
      </c>
      <c r="AD46" s="248">
        <f t="shared" si="6"/>
        <v>534.29999999999995</v>
      </c>
      <c r="AE46" s="275"/>
      <c r="AF46" s="248">
        <v>534.29999999999995</v>
      </c>
      <c r="AG46" s="207">
        <v>20.3</v>
      </c>
      <c r="AH46" s="207"/>
      <c r="AI46" s="207">
        <f t="shared" si="7"/>
        <v>3717.7999999999997</v>
      </c>
      <c r="AJ46" s="170"/>
      <c r="AK46" s="170">
        <v>2</v>
      </c>
      <c r="AL46" s="170">
        <v>1</v>
      </c>
      <c r="AM46" s="170">
        <v>1</v>
      </c>
      <c r="AN46" s="170"/>
      <c r="AO46" s="170">
        <v>1</v>
      </c>
      <c r="AP46" s="170">
        <v>3300</v>
      </c>
      <c r="AQ46" s="170"/>
      <c r="AR46" s="170">
        <v>905</v>
      </c>
      <c r="AS46" s="170">
        <v>332</v>
      </c>
      <c r="AT46" s="170">
        <v>39</v>
      </c>
      <c r="AU46" s="170">
        <f t="shared" si="8"/>
        <v>4390</v>
      </c>
      <c r="AV46" s="170"/>
      <c r="AW46" s="170">
        <v>4390</v>
      </c>
      <c r="AX46" s="170">
        <v>0</v>
      </c>
      <c r="AY46" s="170">
        <v>278</v>
      </c>
      <c r="AZ46" s="170">
        <v>972</v>
      </c>
      <c r="BA46" s="170">
        <v>549</v>
      </c>
      <c r="BB46" s="170">
        <v>13</v>
      </c>
      <c r="BC46" s="170">
        <v>87</v>
      </c>
      <c r="BD46" s="170">
        <v>198</v>
      </c>
      <c r="BE46" s="170">
        <v>341</v>
      </c>
      <c r="BF46" s="170">
        <v>1</v>
      </c>
      <c r="BG46" s="170">
        <v>7600</v>
      </c>
      <c r="BH46" s="170">
        <v>3270</v>
      </c>
      <c r="BI46" s="170">
        <v>120</v>
      </c>
      <c r="BJ46" s="115">
        <f t="shared" si="9"/>
        <v>1</v>
      </c>
      <c r="BK46" s="115">
        <f t="shared" si="10"/>
        <v>3163.2</v>
      </c>
      <c r="BL46" s="115">
        <f t="shared" si="11"/>
        <v>1753.2</v>
      </c>
      <c r="BM46" s="115" t="str">
        <f t="shared" si="12"/>
        <v>0</v>
      </c>
      <c r="BN46" s="115" t="str">
        <f t="shared" si="13"/>
        <v>0</v>
      </c>
      <c r="BO46" s="115" t="str">
        <f t="shared" si="14"/>
        <v>0</v>
      </c>
      <c r="BP46" s="115" t="str">
        <f t="shared" si="15"/>
        <v>0</v>
      </c>
      <c r="BQ46" s="115" t="str">
        <f t="shared" si="16"/>
        <v>0</v>
      </c>
      <c r="BR46" s="115" t="str">
        <f t="shared" si="17"/>
        <v>0</v>
      </c>
      <c r="BS46" s="115"/>
      <c r="BT46" s="115">
        <v>1</v>
      </c>
      <c r="BU46" s="115">
        <f>BA46</f>
        <v>549</v>
      </c>
      <c r="BV46" s="115">
        <v>3668</v>
      </c>
      <c r="BW46" s="115"/>
      <c r="BX46" s="115">
        <f>AP46</f>
        <v>3300</v>
      </c>
      <c r="BY46" s="253">
        <v>1862.4</v>
      </c>
      <c r="BZ46" s="253">
        <v>1181.5</v>
      </c>
      <c r="CA46" s="354">
        <f>197+984.5</f>
        <v>1181.5</v>
      </c>
      <c r="CB46" s="354">
        <f>5.2+26.9</f>
        <v>32.1</v>
      </c>
      <c r="CC46" s="354"/>
      <c r="CD46" s="354">
        <v>549.20000000000005</v>
      </c>
      <c r="CE46" s="354">
        <f>41+16.8</f>
        <v>57.8</v>
      </c>
      <c r="CF46" s="354">
        <v>7.1</v>
      </c>
      <c r="CG46" s="354">
        <v>17.399999999999999</v>
      </c>
      <c r="CH46" s="355">
        <v>17.3</v>
      </c>
      <c r="CI46" s="356">
        <f t="shared" si="1"/>
        <v>1862.4</v>
      </c>
      <c r="CJ46" s="356">
        <f t="shared" si="0"/>
        <v>1181.5</v>
      </c>
      <c r="CK46" s="357">
        <v>972</v>
      </c>
      <c r="CL46" s="358">
        <f t="shared" si="2"/>
        <v>2834.4</v>
      </c>
      <c r="CM46" s="205">
        <v>1769</v>
      </c>
      <c r="CN46" s="282">
        <f t="shared" si="18"/>
        <v>718</v>
      </c>
      <c r="CO46" s="209" t="str">
        <f t="shared" si="37"/>
        <v>0</v>
      </c>
      <c r="CP46" s="235">
        <f t="shared" si="20"/>
        <v>0</v>
      </c>
      <c r="CQ46" s="209">
        <f t="shared" si="21"/>
        <v>1</v>
      </c>
      <c r="CR46" s="235">
        <f t="shared" si="22"/>
        <v>4390</v>
      </c>
      <c r="CS46" s="235">
        <f t="shared" si="23"/>
        <v>1</v>
      </c>
      <c r="CT46" s="235">
        <f t="shared" si="23"/>
        <v>4390</v>
      </c>
      <c r="CU46" s="156">
        <v>66</v>
      </c>
      <c r="CV46" s="284" t="str">
        <f t="shared" si="24"/>
        <v>0</v>
      </c>
      <c r="CW46" s="284" t="str">
        <f t="shared" si="25"/>
        <v>0</v>
      </c>
      <c r="CX46" s="243">
        <f t="shared" si="26"/>
        <v>2.8673495194739504</v>
      </c>
      <c r="CY46" s="216" t="str">
        <f t="shared" si="27"/>
        <v>0</v>
      </c>
      <c r="CZ46" s="216" t="str">
        <f t="shared" si="28"/>
        <v>0</v>
      </c>
      <c r="DA46" s="243">
        <f t="shared" si="29"/>
        <v>16.811017268276942</v>
      </c>
      <c r="DB46" s="306">
        <v>1</v>
      </c>
      <c r="DC46" s="306">
        <v>0</v>
      </c>
      <c r="DD46" s="306">
        <v>0</v>
      </c>
      <c r="DE46" s="306">
        <v>0</v>
      </c>
      <c r="DF46" s="306">
        <v>2</v>
      </c>
      <c r="DG46" s="306">
        <v>0</v>
      </c>
      <c r="DH46" s="306">
        <v>0</v>
      </c>
      <c r="DI46" s="306">
        <v>0</v>
      </c>
      <c r="DJ46" s="306">
        <v>0</v>
      </c>
      <c r="DK46" s="306">
        <v>55</v>
      </c>
      <c r="DL46" s="306">
        <f t="shared" si="30"/>
        <v>53</v>
      </c>
      <c r="DM46" s="306">
        <v>2</v>
      </c>
      <c r="DN46" s="306">
        <v>51</v>
      </c>
      <c r="DO46" s="306">
        <v>22</v>
      </c>
      <c r="DP46" s="306">
        <v>39</v>
      </c>
      <c r="DQ46" s="306">
        <v>27</v>
      </c>
      <c r="DR46" s="306">
        <v>28</v>
      </c>
      <c r="DS46" s="306">
        <v>32</v>
      </c>
      <c r="DT46" s="306">
        <v>34</v>
      </c>
      <c r="DU46" s="306">
        <v>2</v>
      </c>
      <c r="DV46" s="306">
        <v>0</v>
      </c>
      <c r="DW46" s="306">
        <v>2</v>
      </c>
      <c r="DX46" s="306">
        <v>0</v>
      </c>
      <c r="DY46" s="306">
        <v>0</v>
      </c>
      <c r="DZ46" s="306">
        <v>2</v>
      </c>
      <c r="EA46" s="306">
        <v>0</v>
      </c>
      <c r="EB46" s="306">
        <v>55</v>
      </c>
      <c r="EC46" s="306">
        <v>55</v>
      </c>
      <c r="ED46" s="342"/>
      <c r="EE46" s="342"/>
    </row>
    <row r="47" spans="1:138" x14ac:dyDescent="0.2">
      <c r="A47" s="149" t="s">
        <v>197</v>
      </c>
      <c r="B47" s="169">
        <v>38</v>
      </c>
      <c r="C47" s="12" t="s">
        <v>240</v>
      </c>
      <c r="D47" s="200">
        <v>1958</v>
      </c>
      <c r="E47" s="11"/>
      <c r="F47" s="169" t="s">
        <v>207</v>
      </c>
      <c r="G47" s="35">
        <v>1</v>
      </c>
      <c r="H47" s="201">
        <v>5</v>
      </c>
      <c r="I47" s="201" t="s">
        <v>19</v>
      </c>
      <c r="J47" s="115">
        <v>49235</v>
      </c>
      <c r="K47" s="115">
        <v>2979</v>
      </c>
      <c r="L47" s="157">
        <v>3636</v>
      </c>
      <c r="M47" s="115"/>
      <c r="N47" s="115">
        <v>166</v>
      </c>
      <c r="O47" s="115">
        <v>373</v>
      </c>
      <c r="P47" s="115">
        <v>166</v>
      </c>
      <c r="Q47" s="115">
        <v>308</v>
      </c>
      <c r="R47" s="228">
        <f>10263.43+0.11</f>
        <v>10263.540000000001</v>
      </c>
      <c r="S47" s="230">
        <v>5797.41</v>
      </c>
      <c r="T47" s="115">
        <f t="shared" si="3"/>
        <v>157</v>
      </c>
      <c r="U47" s="203">
        <f t="shared" si="36"/>
        <v>9662.43</v>
      </c>
      <c r="V47" s="180">
        <f t="shared" si="36"/>
        <v>5471.97</v>
      </c>
      <c r="W47" s="115">
        <v>8</v>
      </c>
      <c r="X47" s="207">
        <v>524.91</v>
      </c>
      <c r="Y47" s="207">
        <v>325.44</v>
      </c>
      <c r="Z47" s="115">
        <v>1</v>
      </c>
      <c r="AA47" s="207">
        <v>76.2</v>
      </c>
      <c r="AB47" s="207"/>
      <c r="AC47" s="207">
        <f t="shared" si="5"/>
        <v>125.8</v>
      </c>
      <c r="AD47" s="248">
        <f t="shared" si="6"/>
        <v>0</v>
      </c>
      <c r="AE47" s="275"/>
      <c r="AF47" s="248"/>
      <c r="AG47" s="207">
        <v>125.8</v>
      </c>
      <c r="AH47" s="207"/>
      <c r="AI47" s="207">
        <f t="shared" si="7"/>
        <v>10389.34</v>
      </c>
      <c r="AJ47" s="170"/>
      <c r="AK47" s="170"/>
      <c r="AL47" s="170">
        <v>8</v>
      </c>
      <c r="AM47" s="170"/>
      <c r="AN47" s="170">
        <v>1</v>
      </c>
      <c r="AO47" s="170">
        <v>2</v>
      </c>
      <c r="AP47" s="170">
        <v>10290</v>
      </c>
      <c r="AQ47" s="170"/>
      <c r="AR47" s="170">
        <v>634</v>
      </c>
      <c r="AS47" s="170">
        <v>478</v>
      </c>
      <c r="AT47" s="170">
        <v>240</v>
      </c>
      <c r="AU47" s="170">
        <f t="shared" si="8"/>
        <v>8375</v>
      </c>
      <c r="AV47" s="170"/>
      <c r="AW47" s="170">
        <v>8375</v>
      </c>
      <c r="AX47" s="170"/>
      <c r="AY47" s="170">
        <v>204</v>
      </c>
      <c r="AZ47" s="170">
        <v>2948</v>
      </c>
      <c r="BA47" s="170">
        <v>2948</v>
      </c>
      <c r="BB47" s="170">
        <v>32</v>
      </c>
      <c r="BC47" s="170">
        <v>16</v>
      </c>
      <c r="BD47" s="170">
        <v>565</v>
      </c>
      <c r="BE47" s="170">
        <v>170</v>
      </c>
      <c r="BF47" s="170">
        <v>1</v>
      </c>
      <c r="BG47" s="170">
        <v>13600</v>
      </c>
      <c r="BH47" s="170">
        <v>240</v>
      </c>
      <c r="BI47" s="170"/>
      <c r="BJ47" s="115">
        <f t="shared" si="9"/>
        <v>1</v>
      </c>
      <c r="BK47" s="115">
        <f t="shared" si="10"/>
        <v>10263.540000000001</v>
      </c>
      <c r="BL47" s="115">
        <f t="shared" si="11"/>
        <v>5797.41</v>
      </c>
      <c r="BM47" s="115" t="str">
        <f t="shared" si="12"/>
        <v>0</v>
      </c>
      <c r="BN47" s="115" t="str">
        <f t="shared" si="13"/>
        <v>0</v>
      </c>
      <c r="BO47" s="115" t="str">
        <f t="shared" si="14"/>
        <v>0</v>
      </c>
      <c r="BP47" s="115" t="str">
        <f t="shared" si="15"/>
        <v>0</v>
      </c>
      <c r="BQ47" s="115" t="str">
        <f t="shared" si="16"/>
        <v>0</v>
      </c>
      <c r="BR47" s="115" t="str">
        <f t="shared" si="17"/>
        <v>0</v>
      </c>
      <c r="BS47" s="209"/>
      <c r="BT47" s="209">
        <v>4</v>
      </c>
      <c r="BU47" s="115">
        <f>BA47</f>
        <v>2948</v>
      </c>
      <c r="BV47" s="209">
        <v>9828</v>
      </c>
      <c r="BW47" s="115">
        <v>8</v>
      </c>
      <c r="BX47" s="115">
        <f>AP47</f>
        <v>10290</v>
      </c>
      <c r="BY47" s="253">
        <v>4030.63</v>
      </c>
      <c r="BZ47" s="253">
        <v>1032.05</v>
      </c>
      <c r="CA47" s="354">
        <v>1032.05</v>
      </c>
      <c r="CB47" s="354"/>
      <c r="CC47" s="354"/>
      <c r="CD47" s="354">
        <v>2948</v>
      </c>
      <c r="CE47" s="354">
        <f>5.91+4.87</f>
        <v>10.780000000000001</v>
      </c>
      <c r="CF47" s="354">
        <v>13.95</v>
      </c>
      <c r="CG47" s="354"/>
      <c r="CH47" s="354">
        <f>10.75+15.1</f>
        <v>25.85</v>
      </c>
      <c r="CI47" s="356">
        <f t="shared" si="1"/>
        <v>4030.63</v>
      </c>
      <c r="CJ47" s="356">
        <f t="shared" si="0"/>
        <v>1032.05</v>
      </c>
      <c r="CK47" s="357">
        <v>2948</v>
      </c>
      <c r="CL47" s="358">
        <f t="shared" si="2"/>
        <v>6978.63</v>
      </c>
      <c r="CM47" s="205">
        <v>5932</v>
      </c>
      <c r="CN47" s="282">
        <f t="shared" si="18"/>
        <v>2953</v>
      </c>
      <c r="CO47" s="209" t="str">
        <f t="shared" si="37"/>
        <v>0</v>
      </c>
      <c r="CP47" s="235">
        <f t="shared" si="20"/>
        <v>0</v>
      </c>
      <c r="CQ47" s="209">
        <f t="shared" si="21"/>
        <v>1</v>
      </c>
      <c r="CR47" s="235">
        <f t="shared" si="22"/>
        <v>8375</v>
      </c>
      <c r="CS47" s="235">
        <f t="shared" si="23"/>
        <v>1</v>
      </c>
      <c r="CT47" s="235">
        <f t="shared" si="23"/>
        <v>8375</v>
      </c>
      <c r="CU47" s="156">
        <v>67</v>
      </c>
      <c r="CV47" s="284" t="str">
        <f t="shared" si="24"/>
        <v>0</v>
      </c>
      <c r="CW47" s="284" t="str">
        <f t="shared" si="25"/>
        <v>0</v>
      </c>
      <c r="CX47" s="243">
        <f t="shared" si="26"/>
        <v>5.1143172823411795</v>
      </c>
      <c r="CY47" s="216" t="str">
        <f t="shared" si="27"/>
        <v>0</v>
      </c>
      <c r="CZ47" s="216" t="str">
        <f t="shared" si="28"/>
        <v>0</v>
      </c>
      <c r="DA47" s="243">
        <f t="shared" si="29"/>
        <v>5.0523902384559554</v>
      </c>
      <c r="DB47" s="306">
        <v>1</v>
      </c>
      <c r="DC47" s="306">
        <v>0</v>
      </c>
      <c r="DD47" s="306">
        <v>0</v>
      </c>
      <c r="DE47" s="306">
        <v>0</v>
      </c>
      <c r="DF47" s="306">
        <v>2</v>
      </c>
      <c r="DG47" s="306">
        <v>0</v>
      </c>
      <c r="DH47" s="306">
        <v>0</v>
      </c>
      <c r="DI47" s="306">
        <v>0</v>
      </c>
      <c r="DJ47" s="306">
        <v>0</v>
      </c>
      <c r="DK47" s="306">
        <v>167</v>
      </c>
      <c r="DL47" s="306">
        <f t="shared" si="30"/>
        <v>153</v>
      </c>
      <c r="DM47" s="306">
        <v>14</v>
      </c>
      <c r="DN47" s="306">
        <v>104</v>
      </c>
      <c r="DO47" s="306">
        <v>42</v>
      </c>
      <c r="DP47" s="306">
        <v>129</v>
      </c>
      <c r="DQ47" s="306">
        <v>43</v>
      </c>
      <c r="DR47" s="306">
        <v>55</v>
      </c>
      <c r="DS47" s="306">
        <v>116</v>
      </c>
      <c r="DT47" s="306">
        <v>56</v>
      </c>
      <c r="DU47" s="306">
        <v>5</v>
      </c>
      <c r="DV47" s="306">
        <v>1</v>
      </c>
      <c r="DW47" s="306">
        <v>13</v>
      </c>
      <c r="DX47" s="306">
        <v>1</v>
      </c>
      <c r="DY47" s="306">
        <v>1</v>
      </c>
      <c r="DZ47" s="306">
        <v>13</v>
      </c>
      <c r="EA47" s="306">
        <v>1</v>
      </c>
      <c r="EB47" s="306">
        <v>167</v>
      </c>
      <c r="EC47" s="306">
        <f>167-4</f>
        <v>163</v>
      </c>
      <c r="ED47" s="342"/>
      <c r="EE47" s="342"/>
    </row>
    <row r="48" spans="1:138" x14ac:dyDescent="0.2">
      <c r="A48" s="149" t="s">
        <v>197</v>
      </c>
      <c r="B48" s="169">
        <v>39</v>
      </c>
      <c r="C48" s="12" t="s">
        <v>241</v>
      </c>
      <c r="D48" s="200">
        <v>1987</v>
      </c>
      <c r="E48" s="11"/>
      <c r="F48" s="206" t="s">
        <v>24</v>
      </c>
      <c r="G48" s="35">
        <v>1</v>
      </c>
      <c r="H48" s="201">
        <v>9</v>
      </c>
      <c r="I48" s="201" t="s">
        <v>22</v>
      </c>
      <c r="J48" s="115">
        <v>19803</v>
      </c>
      <c r="K48" s="115">
        <v>787</v>
      </c>
      <c r="L48" s="157"/>
      <c r="M48" s="115">
        <v>723</v>
      </c>
      <c r="N48" s="115">
        <v>70</v>
      </c>
      <c r="O48" s="115">
        <v>196</v>
      </c>
      <c r="P48" s="115">
        <v>70</v>
      </c>
      <c r="Q48" s="115">
        <v>194</v>
      </c>
      <c r="R48" s="228">
        <v>4601.3</v>
      </c>
      <c r="S48" s="230">
        <v>2878</v>
      </c>
      <c r="T48" s="115">
        <f t="shared" si="3"/>
        <v>68</v>
      </c>
      <c r="U48" s="203">
        <f t="shared" si="36"/>
        <v>4462.4000000000005</v>
      </c>
      <c r="V48" s="180">
        <f t="shared" si="36"/>
        <v>2791.88</v>
      </c>
      <c r="W48" s="115">
        <v>2</v>
      </c>
      <c r="X48" s="207">
        <v>138.9</v>
      </c>
      <c r="Y48" s="207">
        <v>86.12</v>
      </c>
      <c r="Z48" s="204"/>
      <c r="AA48" s="207"/>
      <c r="AB48" s="207"/>
      <c r="AC48" s="207">
        <f t="shared" si="5"/>
        <v>0</v>
      </c>
      <c r="AD48" s="248">
        <f t="shared" si="6"/>
        <v>0</v>
      </c>
      <c r="AE48" s="275"/>
      <c r="AF48" s="248"/>
      <c r="AG48" s="207"/>
      <c r="AH48" s="207"/>
      <c r="AI48" s="207">
        <f t="shared" si="7"/>
        <v>4601.3</v>
      </c>
      <c r="AJ48" s="170"/>
      <c r="AK48" s="170">
        <v>2</v>
      </c>
      <c r="AL48" s="170">
        <v>2</v>
      </c>
      <c r="AM48" s="170">
        <v>2</v>
      </c>
      <c r="AN48" s="170"/>
      <c r="AO48" s="170">
        <v>2</v>
      </c>
      <c r="AP48" s="170">
        <v>3575</v>
      </c>
      <c r="AQ48" s="170"/>
      <c r="AR48" s="170">
        <v>910</v>
      </c>
      <c r="AS48" s="170">
        <v>280</v>
      </c>
      <c r="AT48" s="170">
        <v>150</v>
      </c>
      <c r="AU48" s="170">
        <f t="shared" si="8"/>
        <v>8180</v>
      </c>
      <c r="AV48" s="170"/>
      <c r="AW48" s="170">
        <v>8180</v>
      </c>
      <c r="AX48" s="170">
        <v>1680</v>
      </c>
      <c r="AY48" s="170">
        <v>220</v>
      </c>
      <c r="AZ48" s="170">
        <v>725</v>
      </c>
      <c r="BA48" s="170">
        <v>725</v>
      </c>
      <c r="BB48" s="170">
        <v>32</v>
      </c>
      <c r="BC48" s="170">
        <v>40</v>
      </c>
      <c r="BD48" s="170">
        <v>266</v>
      </c>
      <c r="BE48" s="170">
        <v>476</v>
      </c>
      <c r="BF48" s="170">
        <v>1</v>
      </c>
      <c r="BG48" s="170">
        <v>7600</v>
      </c>
      <c r="BH48" s="170">
        <v>3270</v>
      </c>
      <c r="BI48" s="170">
        <v>90</v>
      </c>
      <c r="BJ48" s="115" t="str">
        <f t="shared" si="9"/>
        <v>0</v>
      </c>
      <c r="BK48" s="115" t="str">
        <f t="shared" si="10"/>
        <v>0</v>
      </c>
      <c r="BL48" s="115" t="str">
        <f t="shared" si="11"/>
        <v>0</v>
      </c>
      <c r="BM48" s="115">
        <f t="shared" si="12"/>
        <v>1</v>
      </c>
      <c r="BN48" s="115">
        <f t="shared" si="13"/>
        <v>4601.3</v>
      </c>
      <c r="BO48" s="115">
        <f t="shared" si="14"/>
        <v>2878</v>
      </c>
      <c r="BP48" s="115" t="str">
        <f t="shared" si="15"/>
        <v>0</v>
      </c>
      <c r="BQ48" s="115" t="str">
        <f t="shared" si="16"/>
        <v>0</v>
      </c>
      <c r="BR48" s="115" t="str">
        <f t="shared" si="17"/>
        <v>0</v>
      </c>
      <c r="BS48" s="115"/>
      <c r="BT48" s="115">
        <v>2</v>
      </c>
      <c r="BU48" s="115"/>
      <c r="BV48" s="115"/>
      <c r="BW48" s="115"/>
      <c r="BX48" s="115"/>
      <c r="BY48" s="253">
        <v>1569.5</v>
      </c>
      <c r="BZ48" s="253">
        <v>764.5</v>
      </c>
      <c r="CA48" s="354">
        <f>307.6+456.9</f>
        <v>764.5</v>
      </c>
      <c r="CB48" s="354">
        <f>32.8+3.2+3.3</f>
        <v>39.299999999999997</v>
      </c>
      <c r="CC48" s="354"/>
      <c r="CD48" s="354">
        <v>725.4</v>
      </c>
      <c r="CE48" s="354">
        <v>31.3</v>
      </c>
      <c r="CF48" s="354"/>
      <c r="CG48" s="354">
        <v>9</v>
      </c>
      <c r="CH48" s="355"/>
      <c r="CI48" s="356">
        <f t="shared" si="1"/>
        <v>1569.5</v>
      </c>
      <c r="CJ48" s="356">
        <f t="shared" si="0"/>
        <v>764.5</v>
      </c>
      <c r="CK48" s="357">
        <v>725</v>
      </c>
      <c r="CL48" s="358">
        <f t="shared" si="2"/>
        <v>2294.5</v>
      </c>
      <c r="CM48" s="205">
        <v>1774</v>
      </c>
      <c r="CN48" s="282">
        <f t="shared" si="18"/>
        <v>987</v>
      </c>
      <c r="CO48" s="209" t="str">
        <f t="shared" si="37"/>
        <v>0</v>
      </c>
      <c r="CP48" s="235">
        <f t="shared" si="20"/>
        <v>0</v>
      </c>
      <c r="CQ48" s="209">
        <f t="shared" si="21"/>
        <v>1</v>
      </c>
      <c r="CR48" s="235">
        <f t="shared" si="22"/>
        <v>8180</v>
      </c>
      <c r="CS48" s="235">
        <f t="shared" si="23"/>
        <v>1</v>
      </c>
      <c r="CT48" s="235">
        <f t="shared" si="23"/>
        <v>8180</v>
      </c>
      <c r="CU48" s="156">
        <v>42</v>
      </c>
      <c r="CV48" s="284" t="str">
        <f t="shared" si="24"/>
        <v>0</v>
      </c>
      <c r="CW48" s="284" t="str">
        <f t="shared" si="25"/>
        <v>0</v>
      </c>
      <c r="CX48" s="243">
        <f t="shared" si="26"/>
        <v>3.0187121031012976</v>
      </c>
      <c r="CY48" s="216" t="str">
        <f t="shared" si="27"/>
        <v>0</v>
      </c>
      <c r="CZ48" s="216" t="str">
        <f t="shared" si="28"/>
        <v>0</v>
      </c>
      <c r="DA48" s="243">
        <f t="shared" si="29"/>
        <v>3.0187121031012976</v>
      </c>
      <c r="DB48" s="306">
        <v>1</v>
      </c>
      <c r="DC48" s="306">
        <v>0</v>
      </c>
      <c r="DD48" s="306">
        <v>0</v>
      </c>
      <c r="DE48" s="306">
        <v>0</v>
      </c>
      <c r="DF48" s="306">
        <v>2</v>
      </c>
      <c r="DG48" s="306">
        <v>0</v>
      </c>
      <c r="DH48" s="306">
        <v>0</v>
      </c>
      <c r="DI48" s="306">
        <v>0</v>
      </c>
      <c r="DJ48" s="306">
        <v>0</v>
      </c>
      <c r="DK48" s="306">
        <v>70</v>
      </c>
      <c r="DL48" s="306">
        <f t="shared" si="30"/>
        <v>68</v>
      </c>
      <c r="DM48" s="306">
        <v>2</v>
      </c>
      <c r="DN48" s="306">
        <v>67</v>
      </c>
      <c r="DO48" s="306">
        <v>42</v>
      </c>
      <c r="DP48" s="306">
        <v>39</v>
      </c>
      <c r="DQ48" s="306">
        <v>51</v>
      </c>
      <c r="DR48" s="306">
        <v>47</v>
      </c>
      <c r="DS48" s="306">
        <v>33</v>
      </c>
      <c r="DT48" s="306">
        <v>57</v>
      </c>
      <c r="DU48" s="306">
        <v>2</v>
      </c>
      <c r="DV48" s="306">
        <v>0</v>
      </c>
      <c r="DW48" s="306">
        <v>6</v>
      </c>
      <c r="DX48" s="306">
        <v>0</v>
      </c>
      <c r="DY48" s="306">
        <v>0</v>
      </c>
      <c r="DZ48" s="306">
        <v>6</v>
      </c>
      <c r="EA48" s="306">
        <v>0</v>
      </c>
      <c r="EB48" s="306">
        <v>70</v>
      </c>
      <c r="EC48" s="306">
        <v>70</v>
      </c>
      <c r="ED48" s="342"/>
      <c r="EE48" s="342"/>
    </row>
    <row r="49" spans="1:138" x14ac:dyDescent="0.2">
      <c r="A49" s="149" t="s">
        <v>197</v>
      </c>
      <c r="B49" s="169">
        <v>40</v>
      </c>
      <c r="C49" s="12" t="s">
        <v>242</v>
      </c>
      <c r="D49" s="200">
        <v>1984</v>
      </c>
      <c r="E49" s="11"/>
      <c r="F49" s="169">
        <v>84</v>
      </c>
      <c r="G49" s="35">
        <v>1</v>
      </c>
      <c r="H49" s="201">
        <v>9</v>
      </c>
      <c r="I49" s="201" t="s">
        <v>22</v>
      </c>
      <c r="J49" s="115">
        <v>31228</v>
      </c>
      <c r="K49" s="115">
        <v>1319</v>
      </c>
      <c r="L49" s="157"/>
      <c r="M49" s="115">
        <v>1196</v>
      </c>
      <c r="N49" s="115">
        <v>144</v>
      </c>
      <c r="O49" s="115">
        <v>320</v>
      </c>
      <c r="P49" s="115">
        <v>144</v>
      </c>
      <c r="Q49" s="115">
        <v>311</v>
      </c>
      <c r="R49" s="228">
        <v>7756</v>
      </c>
      <c r="S49" s="230">
        <v>4614.1000000000004</v>
      </c>
      <c r="T49" s="115">
        <f t="shared" si="3"/>
        <v>135</v>
      </c>
      <c r="U49" s="203">
        <f t="shared" si="36"/>
        <v>7222.05</v>
      </c>
      <c r="V49" s="180">
        <f t="shared" si="36"/>
        <v>4283.05</v>
      </c>
      <c r="W49" s="115">
        <v>9</v>
      </c>
      <c r="X49" s="207">
        <v>533.95000000000005</v>
      </c>
      <c r="Y49" s="207">
        <v>331.05</v>
      </c>
      <c r="Z49" s="204"/>
      <c r="AA49" s="207"/>
      <c r="AB49" s="207"/>
      <c r="AC49" s="207">
        <f t="shared" si="5"/>
        <v>0</v>
      </c>
      <c r="AD49" s="248">
        <f t="shared" si="6"/>
        <v>0</v>
      </c>
      <c r="AE49" s="275"/>
      <c r="AF49" s="248"/>
      <c r="AG49" s="207"/>
      <c r="AH49" s="207"/>
      <c r="AI49" s="207">
        <f t="shared" si="7"/>
        <v>7756</v>
      </c>
      <c r="AJ49" s="170"/>
      <c r="AK49" s="170">
        <v>4</v>
      </c>
      <c r="AL49" s="170">
        <v>4</v>
      </c>
      <c r="AM49" s="170">
        <v>4</v>
      </c>
      <c r="AN49" s="170"/>
      <c r="AO49" s="170">
        <v>4</v>
      </c>
      <c r="AP49" s="170">
        <v>5460</v>
      </c>
      <c r="AQ49" s="170">
        <v>525.625</v>
      </c>
      <c r="AR49" s="170">
        <v>737</v>
      </c>
      <c r="AS49" s="170">
        <v>348</v>
      </c>
      <c r="AT49" s="170">
        <v>80</v>
      </c>
      <c r="AU49" s="170">
        <f t="shared" si="8"/>
        <v>9113</v>
      </c>
      <c r="AV49" s="170">
        <v>9113</v>
      </c>
      <c r="AW49" s="170"/>
      <c r="AX49" s="170">
        <v>3484</v>
      </c>
      <c r="AY49" s="170">
        <v>289</v>
      </c>
      <c r="AZ49" s="170">
        <v>1215</v>
      </c>
      <c r="BA49" s="170">
        <v>1215</v>
      </c>
      <c r="BB49" s="170">
        <v>64</v>
      </c>
      <c r="BC49" s="170">
        <v>12</v>
      </c>
      <c r="BD49" s="170">
        <v>500</v>
      </c>
      <c r="BE49" s="170">
        <v>144</v>
      </c>
      <c r="BF49" s="170"/>
      <c r="BG49" s="170">
        <v>14580</v>
      </c>
      <c r="BH49" s="170">
        <v>6540</v>
      </c>
      <c r="BI49" s="170">
        <v>180</v>
      </c>
      <c r="BJ49" s="115" t="str">
        <f t="shared" si="9"/>
        <v>0</v>
      </c>
      <c r="BK49" s="115" t="str">
        <f t="shared" si="10"/>
        <v>0</v>
      </c>
      <c r="BL49" s="115" t="str">
        <f t="shared" si="11"/>
        <v>0</v>
      </c>
      <c r="BM49" s="115">
        <f t="shared" si="12"/>
        <v>1</v>
      </c>
      <c r="BN49" s="115">
        <f t="shared" si="13"/>
        <v>7756</v>
      </c>
      <c r="BO49" s="115">
        <f t="shared" si="14"/>
        <v>4614.1000000000004</v>
      </c>
      <c r="BP49" s="115" t="str">
        <f t="shared" si="15"/>
        <v>0</v>
      </c>
      <c r="BQ49" s="115" t="str">
        <f t="shared" si="16"/>
        <v>0</v>
      </c>
      <c r="BR49" s="115" t="str">
        <f t="shared" si="17"/>
        <v>0</v>
      </c>
      <c r="BS49" s="209"/>
      <c r="BT49" s="209">
        <v>2</v>
      </c>
      <c r="BU49" s="115">
        <f>BA49</f>
        <v>1215</v>
      </c>
      <c r="BV49" s="209">
        <v>5732</v>
      </c>
      <c r="BW49" s="115"/>
      <c r="BX49" s="115"/>
      <c r="BY49" s="253">
        <v>2397.9</v>
      </c>
      <c r="BZ49" s="253">
        <v>1075.7</v>
      </c>
      <c r="CA49" s="354">
        <f>1069.8-(3.7+2.7*3)</f>
        <v>1058</v>
      </c>
      <c r="CB49" s="354">
        <f>43.6+(3.7+2.7*3)</f>
        <v>55.400000000000006</v>
      </c>
      <c r="CC49" s="354">
        <v>17.7</v>
      </c>
      <c r="CD49" s="354">
        <v>1215</v>
      </c>
      <c r="CE49" s="354">
        <v>20.6</v>
      </c>
      <c r="CF49" s="354"/>
      <c r="CG49" s="354">
        <v>22.1</v>
      </c>
      <c r="CH49" s="355">
        <v>9.1</v>
      </c>
      <c r="CI49" s="356">
        <f t="shared" si="1"/>
        <v>2397.9</v>
      </c>
      <c r="CJ49" s="356">
        <f t="shared" si="0"/>
        <v>1075.7</v>
      </c>
      <c r="CK49" s="357">
        <v>1215</v>
      </c>
      <c r="CL49" s="358">
        <f t="shared" si="2"/>
        <v>3612.9</v>
      </c>
      <c r="CM49" s="205">
        <v>3445</v>
      </c>
      <c r="CN49" s="282">
        <f t="shared" si="18"/>
        <v>2126</v>
      </c>
      <c r="CO49" s="209">
        <f t="shared" si="37"/>
        <v>1</v>
      </c>
      <c r="CP49" s="235">
        <f t="shared" si="20"/>
        <v>9113</v>
      </c>
      <c r="CQ49" s="209" t="str">
        <f t="shared" si="21"/>
        <v>0</v>
      </c>
      <c r="CR49" s="235">
        <f t="shared" si="22"/>
        <v>0</v>
      </c>
      <c r="CS49" s="235">
        <f t="shared" si="23"/>
        <v>1</v>
      </c>
      <c r="CT49" s="235">
        <f t="shared" si="23"/>
        <v>9113</v>
      </c>
      <c r="CU49" s="156">
        <v>43</v>
      </c>
      <c r="CV49" s="284" t="str">
        <f t="shared" si="24"/>
        <v>0</v>
      </c>
      <c r="CW49" s="284" t="str">
        <f t="shared" si="25"/>
        <v>0</v>
      </c>
      <c r="CX49" s="243">
        <f t="shared" si="26"/>
        <v>6.8843476018566276</v>
      </c>
      <c r="CY49" s="216" t="str">
        <f t="shared" si="27"/>
        <v>0</v>
      </c>
      <c r="CZ49" s="216" t="str">
        <f t="shared" si="28"/>
        <v>0</v>
      </c>
      <c r="DA49" s="243">
        <f t="shared" si="29"/>
        <v>6.8843476018566276</v>
      </c>
      <c r="DB49" s="306">
        <v>1</v>
      </c>
      <c r="DC49" s="306">
        <v>0</v>
      </c>
      <c r="DD49" s="306">
        <v>0</v>
      </c>
      <c r="DE49" s="306">
        <v>0</v>
      </c>
      <c r="DF49" s="306">
        <v>2</v>
      </c>
      <c r="DG49" s="306">
        <v>0</v>
      </c>
      <c r="DH49" s="306">
        <v>0</v>
      </c>
      <c r="DI49" s="306">
        <v>0</v>
      </c>
      <c r="DJ49" s="306">
        <v>0</v>
      </c>
      <c r="DK49" s="306">
        <v>144</v>
      </c>
      <c r="DL49" s="306">
        <f t="shared" si="30"/>
        <v>141</v>
      </c>
      <c r="DM49" s="306">
        <v>3</v>
      </c>
      <c r="DN49" s="306">
        <v>140</v>
      </c>
      <c r="DO49" s="306">
        <v>71</v>
      </c>
      <c r="DP49" s="306">
        <v>95</v>
      </c>
      <c r="DQ49" s="306">
        <v>99</v>
      </c>
      <c r="DR49" s="306">
        <v>83</v>
      </c>
      <c r="DS49" s="306">
        <v>80</v>
      </c>
      <c r="DT49" s="306">
        <v>114</v>
      </c>
      <c r="DU49" s="306">
        <v>3</v>
      </c>
      <c r="DV49" s="306">
        <v>2</v>
      </c>
      <c r="DW49" s="306">
        <v>0</v>
      </c>
      <c r="DX49" s="306">
        <v>4</v>
      </c>
      <c r="DY49" s="306">
        <v>2</v>
      </c>
      <c r="DZ49" s="306">
        <v>0</v>
      </c>
      <c r="EA49" s="306">
        <v>4</v>
      </c>
      <c r="EB49" s="306">
        <v>144</v>
      </c>
      <c r="EC49" s="306">
        <v>144</v>
      </c>
      <c r="ED49" s="342"/>
      <c r="EE49" s="342"/>
    </row>
    <row r="50" spans="1:138" s="7" customFormat="1" x14ac:dyDescent="0.2">
      <c r="A50" s="359" t="s">
        <v>203</v>
      </c>
      <c r="B50" s="169">
        <v>41</v>
      </c>
      <c r="C50" s="12" t="s">
        <v>243</v>
      </c>
      <c r="D50" s="200">
        <v>1958</v>
      </c>
      <c r="E50" s="11"/>
      <c r="F50" s="169" t="s">
        <v>207</v>
      </c>
      <c r="G50" s="35">
        <v>1</v>
      </c>
      <c r="H50" s="201">
        <v>5</v>
      </c>
      <c r="I50" s="201" t="s">
        <v>19</v>
      </c>
      <c r="J50" s="115">
        <v>49233</v>
      </c>
      <c r="K50" s="115">
        <v>3003</v>
      </c>
      <c r="L50" s="157">
        <v>3651</v>
      </c>
      <c r="M50" s="115"/>
      <c r="N50" s="115">
        <v>150</v>
      </c>
      <c r="O50" s="115">
        <v>333</v>
      </c>
      <c r="P50" s="115">
        <v>150</v>
      </c>
      <c r="Q50" s="115">
        <v>287</v>
      </c>
      <c r="R50" s="228">
        <f>9298.18+0.04-51.1-72.1</f>
        <v>9175.02</v>
      </c>
      <c r="S50" s="230">
        <f>5135.51-40-58</f>
        <v>5037.51</v>
      </c>
      <c r="T50" s="115">
        <f t="shared" si="3"/>
        <v>134</v>
      </c>
      <c r="U50" s="203">
        <f>R50-X50-AA50</f>
        <v>8158.02</v>
      </c>
      <c r="V50" s="180">
        <f t="shared" si="36"/>
        <v>4406.97</v>
      </c>
      <c r="W50" s="115">
        <v>16</v>
      </c>
      <c r="X50" s="207">
        <v>1017</v>
      </c>
      <c r="Y50" s="207">
        <v>630.54</v>
      </c>
      <c r="Z50" s="204"/>
      <c r="AA50" s="207"/>
      <c r="AB50" s="207"/>
      <c r="AC50" s="207">
        <f t="shared" si="5"/>
        <v>1204</v>
      </c>
      <c r="AD50" s="248">
        <f t="shared" si="6"/>
        <v>1082</v>
      </c>
      <c r="AE50" s="275"/>
      <c r="AF50" s="248">
        <f>1082+111.02-111.02</f>
        <v>1082</v>
      </c>
      <c r="AG50" s="207">
        <f>123-1</f>
        <v>122</v>
      </c>
      <c r="AH50" s="207"/>
      <c r="AI50" s="207">
        <f t="shared" si="7"/>
        <v>10379.02</v>
      </c>
      <c r="AJ50" s="170"/>
      <c r="AK50" s="170"/>
      <c r="AL50" s="170">
        <v>8</v>
      </c>
      <c r="AM50" s="170"/>
      <c r="AN50" s="170"/>
      <c r="AO50" s="170">
        <v>2</v>
      </c>
      <c r="AP50" s="170">
        <v>10290</v>
      </c>
      <c r="AQ50" s="170"/>
      <c r="AR50" s="170">
        <v>634</v>
      </c>
      <c r="AS50" s="170">
        <v>258</v>
      </c>
      <c r="AT50" s="170">
        <v>250</v>
      </c>
      <c r="AU50" s="170">
        <f t="shared" si="8"/>
        <v>8375</v>
      </c>
      <c r="AV50" s="170"/>
      <c r="AW50" s="170">
        <v>8375</v>
      </c>
      <c r="AX50" s="170"/>
      <c r="AY50" s="170">
        <v>271</v>
      </c>
      <c r="AZ50" s="170">
        <v>2948</v>
      </c>
      <c r="BA50" s="170">
        <v>2948</v>
      </c>
      <c r="BB50" s="170">
        <v>32</v>
      </c>
      <c r="BC50" s="170">
        <v>16</v>
      </c>
      <c r="BD50" s="170">
        <v>605</v>
      </c>
      <c r="BE50" s="170">
        <v>155</v>
      </c>
      <c r="BF50" s="170">
        <v>1</v>
      </c>
      <c r="BG50" s="170">
        <v>13600</v>
      </c>
      <c r="BH50" s="170">
        <v>240</v>
      </c>
      <c r="BI50" s="170"/>
      <c r="BJ50" s="115">
        <f t="shared" si="9"/>
        <v>1</v>
      </c>
      <c r="BK50" s="115">
        <f t="shared" si="10"/>
        <v>9175.02</v>
      </c>
      <c r="BL50" s="115">
        <f t="shared" si="11"/>
        <v>5037.51</v>
      </c>
      <c r="BM50" s="115" t="str">
        <f t="shared" si="12"/>
        <v>0</v>
      </c>
      <c r="BN50" s="115" t="str">
        <f t="shared" si="13"/>
        <v>0</v>
      </c>
      <c r="BO50" s="115" t="str">
        <f t="shared" si="14"/>
        <v>0</v>
      </c>
      <c r="BP50" s="115" t="str">
        <f t="shared" si="15"/>
        <v>0</v>
      </c>
      <c r="BQ50" s="115" t="str">
        <f t="shared" si="16"/>
        <v>0</v>
      </c>
      <c r="BR50" s="115" t="str">
        <f t="shared" si="17"/>
        <v>0</v>
      </c>
      <c r="BS50" s="209"/>
      <c r="BT50" s="209">
        <v>4</v>
      </c>
      <c r="BU50" s="115">
        <f>BA50</f>
        <v>2948</v>
      </c>
      <c r="BV50" s="209">
        <v>9838</v>
      </c>
      <c r="BW50" s="115">
        <v>2</v>
      </c>
      <c r="BX50" s="115">
        <f>AP50</f>
        <v>10290</v>
      </c>
      <c r="BY50" s="253">
        <v>4025.73</v>
      </c>
      <c r="BZ50" s="253">
        <v>1011.91</v>
      </c>
      <c r="CA50" s="354">
        <v>1011.91</v>
      </c>
      <c r="CB50" s="354"/>
      <c r="CC50" s="354"/>
      <c r="CD50" s="354">
        <f>2948 +0.1*0</f>
        <v>2948</v>
      </c>
      <c r="CE50" s="354">
        <f>5.91+5.45</f>
        <v>11.36</v>
      </c>
      <c r="CF50" s="354">
        <v>26.62</v>
      </c>
      <c r="CG50" s="354"/>
      <c r="CH50" s="355">
        <f>15.25+6.89+5.7</f>
        <v>27.84</v>
      </c>
      <c r="CI50" s="356">
        <f t="shared" si="1"/>
        <v>4025.73</v>
      </c>
      <c r="CJ50" s="356">
        <f t="shared" si="0"/>
        <v>1011.91</v>
      </c>
      <c r="CK50" s="357">
        <v>2948</v>
      </c>
      <c r="CL50" s="358">
        <f t="shared" si="2"/>
        <v>6973.73</v>
      </c>
      <c r="CM50" s="205">
        <v>5990</v>
      </c>
      <c r="CN50" s="282">
        <f t="shared" si="18"/>
        <v>2987</v>
      </c>
      <c r="CO50" s="209" t="str">
        <f t="shared" si="37"/>
        <v>0</v>
      </c>
      <c r="CP50" s="235">
        <f t="shared" si="20"/>
        <v>0</v>
      </c>
      <c r="CQ50" s="209">
        <f t="shared" si="21"/>
        <v>1</v>
      </c>
      <c r="CR50" s="235">
        <f t="shared" si="22"/>
        <v>8375</v>
      </c>
      <c r="CS50" s="235">
        <f t="shared" si="23"/>
        <v>1</v>
      </c>
      <c r="CT50" s="235">
        <f t="shared" si="23"/>
        <v>8375</v>
      </c>
      <c r="CU50" s="156">
        <v>68</v>
      </c>
      <c r="CV50" s="284" t="str">
        <f t="shared" si="24"/>
        <v>0</v>
      </c>
      <c r="CW50" s="284" t="str">
        <f t="shared" si="25"/>
        <v>0</v>
      </c>
      <c r="CX50" s="243">
        <f t="shared" si="26"/>
        <v>11.084444502573291</v>
      </c>
      <c r="CY50" s="216" t="str">
        <f t="shared" si="27"/>
        <v>0</v>
      </c>
      <c r="CZ50" s="216" t="str">
        <f t="shared" si="28"/>
        <v>0</v>
      </c>
      <c r="DA50" s="243">
        <f t="shared" si="29"/>
        <v>20.22348930823912</v>
      </c>
      <c r="DB50" s="306">
        <v>1</v>
      </c>
      <c r="DC50" s="306">
        <v>0</v>
      </c>
      <c r="DD50" s="306">
        <v>0</v>
      </c>
      <c r="DE50" s="306">
        <v>0</v>
      </c>
      <c r="DF50" s="306">
        <v>2</v>
      </c>
      <c r="DG50" s="306">
        <v>0</v>
      </c>
      <c r="DH50" s="306">
        <v>0</v>
      </c>
      <c r="DI50" s="306">
        <v>0</v>
      </c>
      <c r="DJ50" s="306">
        <v>0</v>
      </c>
      <c r="DK50" s="306">
        <v>151</v>
      </c>
      <c r="DL50" s="306">
        <f t="shared" si="30"/>
        <v>145</v>
      </c>
      <c r="DM50" s="306">
        <v>6</v>
      </c>
      <c r="DN50" s="306">
        <v>101</v>
      </c>
      <c r="DO50" s="306">
        <v>45</v>
      </c>
      <c r="DP50" s="306">
        <v>108</v>
      </c>
      <c r="DQ50" s="306">
        <v>45</v>
      </c>
      <c r="DR50" s="306">
        <v>58</v>
      </c>
      <c r="DS50" s="306">
        <v>95</v>
      </c>
      <c r="DT50" s="306">
        <v>58</v>
      </c>
      <c r="DU50" s="306">
        <v>3</v>
      </c>
      <c r="DV50" s="306">
        <v>3</v>
      </c>
      <c r="DW50" s="306">
        <v>8</v>
      </c>
      <c r="DX50" s="306">
        <v>3</v>
      </c>
      <c r="DY50" s="306">
        <v>3</v>
      </c>
      <c r="DZ50" s="306">
        <v>8</v>
      </c>
      <c r="EA50" s="306">
        <v>3</v>
      </c>
      <c r="EB50" s="306">
        <v>151</v>
      </c>
      <c r="EC50" s="306">
        <f>151-1</f>
        <v>150</v>
      </c>
      <c r="ED50" s="342"/>
      <c r="EE50" s="342"/>
      <c r="EF50" s="3"/>
      <c r="EG50" s="3"/>
      <c r="EH50" s="3"/>
    </row>
    <row r="51" spans="1:138" s="7" customFormat="1" x14ac:dyDescent="0.2">
      <c r="A51" s="149" t="s">
        <v>197</v>
      </c>
      <c r="B51" s="169">
        <v>42</v>
      </c>
      <c r="C51" s="12" t="s">
        <v>244</v>
      </c>
      <c r="D51" s="200">
        <v>1983</v>
      </c>
      <c r="E51" s="11"/>
      <c r="F51" s="169">
        <v>84</v>
      </c>
      <c r="G51" s="35">
        <v>1</v>
      </c>
      <c r="H51" s="201">
        <v>9</v>
      </c>
      <c r="I51" s="201" t="s">
        <v>22</v>
      </c>
      <c r="J51" s="115">
        <v>38481</v>
      </c>
      <c r="K51" s="115">
        <v>1695</v>
      </c>
      <c r="L51" s="157"/>
      <c r="M51" s="115">
        <v>1517</v>
      </c>
      <c r="N51" s="115">
        <v>178</v>
      </c>
      <c r="O51" s="115">
        <v>407</v>
      </c>
      <c r="P51" s="115">
        <v>178</v>
      </c>
      <c r="Q51" s="115">
        <v>395</v>
      </c>
      <c r="R51" s="228">
        <f>9608-2.1+1.3</f>
        <v>9607.1999999999989</v>
      </c>
      <c r="S51" s="230">
        <v>5731.9</v>
      </c>
      <c r="T51" s="115">
        <f t="shared" si="3"/>
        <v>164</v>
      </c>
      <c r="U51" s="203">
        <f t="shared" si="36"/>
        <v>8859.1999999999989</v>
      </c>
      <c r="V51" s="180">
        <f t="shared" si="36"/>
        <v>5268.1299999999992</v>
      </c>
      <c r="W51" s="115">
        <v>14</v>
      </c>
      <c r="X51" s="207">
        <v>748</v>
      </c>
      <c r="Y51" s="207">
        <v>463.77</v>
      </c>
      <c r="Z51" s="204"/>
      <c r="AA51" s="207"/>
      <c r="AB51" s="207"/>
      <c r="AC51" s="207">
        <f t="shared" si="5"/>
        <v>36</v>
      </c>
      <c r="AD51" s="248">
        <f t="shared" si="6"/>
        <v>36</v>
      </c>
      <c r="AE51" s="275"/>
      <c r="AF51" s="275">
        <v>36</v>
      </c>
      <c r="AG51" s="207"/>
      <c r="AH51" s="207"/>
      <c r="AI51" s="207">
        <f t="shared" si="7"/>
        <v>9643.1999999999989</v>
      </c>
      <c r="AJ51" s="170"/>
      <c r="AK51" s="170">
        <v>5</v>
      </c>
      <c r="AL51" s="170">
        <v>5</v>
      </c>
      <c r="AM51" s="170">
        <v>5</v>
      </c>
      <c r="AN51" s="170"/>
      <c r="AO51" s="170">
        <v>5</v>
      </c>
      <c r="AP51" s="170">
        <v>8500</v>
      </c>
      <c r="AQ51" s="170"/>
      <c r="AR51" s="170">
        <v>995</v>
      </c>
      <c r="AS51" s="170">
        <v>598</v>
      </c>
      <c r="AT51" s="170">
        <v>100</v>
      </c>
      <c r="AU51" s="170">
        <f t="shared" si="8"/>
        <v>11392</v>
      </c>
      <c r="AV51" s="170"/>
      <c r="AW51" s="170">
        <v>11392</v>
      </c>
      <c r="AX51" s="170">
        <v>4355</v>
      </c>
      <c r="AY51" s="170">
        <v>402</v>
      </c>
      <c r="AZ51" s="170">
        <v>1587</v>
      </c>
      <c r="BA51" s="170">
        <v>1517</v>
      </c>
      <c r="BB51" s="170">
        <v>80</v>
      </c>
      <c r="BC51" s="170">
        <v>15</v>
      </c>
      <c r="BD51" s="170">
        <v>522</v>
      </c>
      <c r="BE51" s="170">
        <v>175</v>
      </c>
      <c r="BF51" s="170"/>
      <c r="BG51" s="170">
        <v>17850</v>
      </c>
      <c r="BH51" s="170">
        <v>8175</v>
      </c>
      <c r="BI51" s="170">
        <v>225</v>
      </c>
      <c r="BJ51" s="115" t="str">
        <f t="shared" si="9"/>
        <v>0</v>
      </c>
      <c r="BK51" s="115" t="str">
        <f t="shared" si="10"/>
        <v>0</v>
      </c>
      <c r="BL51" s="115" t="str">
        <f t="shared" si="11"/>
        <v>0</v>
      </c>
      <c r="BM51" s="115">
        <f t="shared" si="12"/>
        <v>1</v>
      </c>
      <c r="BN51" s="115">
        <f t="shared" si="13"/>
        <v>9607.1999999999989</v>
      </c>
      <c r="BO51" s="115">
        <f t="shared" si="14"/>
        <v>5731.9</v>
      </c>
      <c r="BP51" s="115" t="str">
        <f t="shared" si="15"/>
        <v>0</v>
      </c>
      <c r="BQ51" s="115" t="str">
        <f t="shared" si="16"/>
        <v>0</v>
      </c>
      <c r="BR51" s="115" t="str">
        <f t="shared" si="17"/>
        <v>0</v>
      </c>
      <c r="BS51" s="209"/>
      <c r="BT51" s="209">
        <v>5</v>
      </c>
      <c r="BU51" s="115">
        <f>BA51</f>
        <v>1517</v>
      </c>
      <c r="BV51" s="209">
        <v>7242</v>
      </c>
      <c r="BW51" s="115"/>
      <c r="BX51" s="115"/>
      <c r="BY51" s="253">
        <v>2763.2</v>
      </c>
      <c r="BZ51" s="253">
        <v>1344.6</v>
      </c>
      <c r="CA51" s="354">
        <f>800.3+523.1-(2.9+2.9+2.7)-(2.7+2.9)</f>
        <v>1309.3000000000002</v>
      </c>
      <c r="CB51" s="354">
        <f>(2.9+2.9+2.7)+(2.7+2.9)+36</f>
        <v>50.1</v>
      </c>
      <c r="CC51" s="354">
        <f>26.1+9.2</f>
        <v>35.299999999999997</v>
      </c>
      <c r="CD51" s="354">
        <f>782+507.1</f>
        <v>1289.0999999999999</v>
      </c>
      <c r="CE51" s="354">
        <f>8.6+5.1</f>
        <v>13.7</v>
      </c>
      <c r="CF51" s="354">
        <f>30.5+8.8</f>
        <v>39.299999999999997</v>
      </c>
      <c r="CG51" s="354">
        <f>16.4+10</f>
        <v>26.4</v>
      </c>
      <c r="CH51" s="355"/>
      <c r="CI51" s="356">
        <f t="shared" si="1"/>
        <v>2763.2</v>
      </c>
      <c r="CJ51" s="356">
        <f t="shared" si="0"/>
        <v>1344.6000000000001</v>
      </c>
      <c r="CK51" s="357">
        <v>1587</v>
      </c>
      <c r="CL51" s="358">
        <f t="shared" si="2"/>
        <v>4350.2</v>
      </c>
      <c r="CM51" s="205">
        <v>3995</v>
      </c>
      <c r="CN51" s="282">
        <f t="shared" si="18"/>
        <v>2300</v>
      </c>
      <c r="CO51" s="209" t="str">
        <f t="shared" si="37"/>
        <v>0</v>
      </c>
      <c r="CP51" s="235">
        <f t="shared" si="20"/>
        <v>0</v>
      </c>
      <c r="CQ51" s="209">
        <f t="shared" si="21"/>
        <v>1</v>
      </c>
      <c r="CR51" s="235">
        <f t="shared" si="22"/>
        <v>11392</v>
      </c>
      <c r="CS51" s="235">
        <f t="shared" si="23"/>
        <v>1</v>
      </c>
      <c r="CT51" s="235">
        <f t="shared" si="23"/>
        <v>11392</v>
      </c>
      <c r="CU51" s="156">
        <v>43</v>
      </c>
      <c r="CV51" s="284" t="str">
        <f t="shared" si="24"/>
        <v>0</v>
      </c>
      <c r="CW51" s="284" t="str">
        <f t="shared" si="25"/>
        <v>0</v>
      </c>
      <c r="CX51" s="243">
        <f t="shared" si="26"/>
        <v>7.7858272961945207</v>
      </c>
      <c r="CY51" s="216" t="str">
        <f t="shared" si="27"/>
        <v>0</v>
      </c>
      <c r="CZ51" s="216" t="str">
        <f t="shared" si="28"/>
        <v>0</v>
      </c>
      <c r="DA51" s="243">
        <f t="shared" si="29"/>
        <v>8.1300813008130088</v>
      </c>
      <c r="DB51" s="306">
        <v>1</v>
      </c>
      <c r="DC51" s="306">
        <v>0</v>
      </c>
      <c r="DD51" s="306">
        <v>0</v>
      </c>
      <c r="DE51" s="306">
        <v>0</v>
      </c>
      <c r="DF51" s="306">
        <v>3</v>
      </c>
      <c r="DG51" s="306">
        <v>0</v>
      </c>
      <c r="DH51" s="306">
        <v>0</v>
      </c>
      <c r="DI51" s="306">
        <v>0</v>
      </c>
      <c r="DJ51" s="306">
        <v>0</v>
      </c>
      <c r="DK51" s="306">
        <v>178</v>
      </c>
      <c r="DL51" s="306">
        <f t="shared" si="30"/>
        <v>166</v>
      </c>
      <c r="DM51" s="306">
        <v>12</v>
      </c>
      <c r="DN51" s="306">
        <v>122</v>
      </c>
      <c r="DO51" s="306">
        <v>94</v>
      </c>
      <c r="DP51" s="306">
        <v>119</v>
      </c>
      <c r="DQ51" s="306">
        <v>127</v>
      </c>
      <c r="DR51" s="306">
        <v>104</v>
      </c>
      <c r="DS51" s="306">
        <v>104</v>
      </c>
      <c r="DT51" s="306">
        <v>142</v>
      </c>
      <c r="DU51" s="306">
        <v>6</v>
      </c>
      <c r="DV51" s="306">
        <v>6</v>
      </c>
      <c r="DW51" s="306">
        <v>7</v>
      </c>
      <c r="DX51" s="306">
        <v>8</v>
      </c>
      <c r="DY51" s="306">
        <v>6</v>
      </c>
      <c r="DZ51" s="306">
        <v>7</v>
      </c>
      <c r="EA51" s="306">
        <v>8</v>
      </c>
      <c r="EB51" s="306">
        <v>178</v>
      </c>
      <c r="EC51" s="306">
        <v>178</v>
      </c>
      <c r="ED51" s="342"/>
      <c r="EE51" s="342"/>
      <c r="EF51" s="3"/>
      <c r="EG51" s="3"/>
      <c r="EH51" s="3"/>
    </row>
    <row r="52" spans="1:138" s="7" customFormat="1" x14ac:dyDescent="0.2">
      <c r="A52" s="359" t="s">
        <v>203</v>
      </c>
      <c r="B52" s="169">
        <v>43</v>
      </c>
      <c r="C52" s="12" t="s">
        <v>245</v>
      </c>
      <c r="D52" s="200">
        <v>1973</v>
      </c>
      <c r="E52" s="11"/>
      <c r="F52" s="169" t="s">
        <v>20</v>
      </c>
      <c r="G52" s="35">
        <v>1</v>
      </c>
      <c r="H52" s="201">
        <v>5</v>
      </c>
      <c r="I52" s="201" t="s">
        <v>22</v>
      </c>
      <c r="J52" s="115">
        <v>17023</v>
      </c>
      <c r="K52" s="115">
        <v>1264</v>
      </c>
      <c r="L52" s="157">
        <v>1422</v>
      </c>
      <c r="M52" s="115"/>
      <c r="N52" s="115">
        <v>120</v>
      </c>
      <c r="O52" s="115">
        <v>210</v>
      </c>
      <c r="P52" s="115">
        <v>121</v>
      </c>
      <c r="Q52" s="115">
        <v>183</v>
      </c>
      <c r="R52" s="228">
        <f>4891.95-2.56+0.07</f>
        <v>4889.4599999999991</v>
      </c>
      <c r="S52" s="230">
        <v>3226.43</v>
      </c>
      <c r="T52" s="115">
        <f t="shared" si="3"/>
        <v>106</v>
      </c>
      <c r="U52" s="203">
        <f t="shared" si="36"/>
        <v>4297.0399999999991</v>
      </c>
      <c r="V52" s="180">
        <f t="shared" si="36"/>
        <v>2853.21</v>
      </c>
      <c r="W52" s="115">
        <v>14</v>
      </c>
      <c r="X52" s="207">
        <v>592.41999999999996</v>
      </c>
      <c r="Y52" s="207">
        <v>373.22</v>
      </c>
      <c r="Z52" s="204"/>
      <c r="AA52" s="207"/>
      <c r="AB52" s="207"/>
      <c r="AC52" s="207">
        <f t="shared" si="5"/>
        <v>0</v>
      </c>
      <c r="AD52" s="248">
        <f t="shared" si="6"/>
        <v>0</v>
      </c>
      <c r="AE52" s="275"/>
      <c r="AF52" s="275"/>
      <c r="AG52" s="207"/>
      <c r="AH52" s="207"/>
      <c r="AI52" s="207">
        <f t="shared" si="7"/>
        <v>4889.4599999999991</v>
      </c>
      <c r="AJ52" s="170"/>
      <c r="AK52" s="170"/>
      <c r="AL52" s="170">
        <v>6</v>
      </c>
      <c r="AM52" s="170"/>
      <c r="AN52" s="170"/>
      <c r="AO52" s="170">
        <v>1</v>
      </c>
      <c r="AP52" s="170">
        <v>3192</v>
      </c>
      <c r="AQ52" s="170"/>
      <c r="AR52" s="170">
        <v>486</v>
      </c>
      <c r="AS52" s="170">
        <v>322</v>
      </c>
      <c r="AT52" s="170">
        <v>108</v>
      </c>
      <c r="AU52" s="170">
        <f t="shared" si="8"/>
        <v>5310</v>
      </c>
      <c r="AV52" s="170"/>
      <c r="AW52" s="170">
        <v>5310</v>
      </c>
      <c r="AX52" s="170">
        <v>2904</v>
      </c>
      <c r="AY52" s="170">
        <v>188</v>
      </c>
      <c r="AZ52" s="170">
        <v>1227</v>
      </c>
      <c r="BA52" s="170">
        <v>1227</v>
      </c>
      <c r="BB52" s="170">
        <v>24</v>
      </c>
      <c r="BC52" s="170">
        <v>12</v>
      </c>
      <c r="BD52" s="170">
        <v>330</v>
      </c>
      <c r="BE52" s="170">
        <v>120</v>
      </c>
      <c r="BF52" s="170"/>
      <c r="BG52" s="170">
        <v>600</v>
      </c>
      <c r="BH52" s="170">
        <v>120</v>
      </c>
      <c r="BI52" s="170"/>
      <c r="BJ52" s="115" t="str">
        <f t="shared" si="9"/>
        <v>0</v>
      </c>
      <c r="BK52" s="115" t="str">
        <f t="shared" si="10"/>
        <v>0</v>
      </c>
      <c r="BL52" s="115" t="str">
        <f t="shared" si="11"/>
        <v>0</v>
      </c>
      <c r="BM52" s="115">
        <f t="shared" si="12"/>
        <v>1</v>
      </c>
      <c r="BN52" s="115">
        <f t="shared" si="13"/>
        <v>4889.4599999999991</v>
      </c>
      <c r="BO52" s="115">
        <f t="shared" si="14"/>
        <v>3226.43</v>
      </c>
      <c r="BP52" s="115" t="str">
        <f t="shared" si="15"/>
        <v>0</v>
      </c>
      <c r="BQ52" s="115" t="str">
        <f t="shared" si="16"/>
        <v>0</v>
      </c>
      <c r="BR52" s="115" t="str">
        <f t="shared" si="17"/>
        <v>0</v>
      </c>
      <c r="BS52" s="209"/>
      <c r="BT52" s="209">
        <v>4</v>
      </c>
      <c r="BU52" s="115">
        <f>BA52</f>
        <v>1227</v>
      </c>
      <c r="BV52" s="209">
        <v>4190</v>
      </c>
      <c r="BW52" s="115"/>
      <c r="BX52" s="115"/>
      <c r="BY52" s="253">
        <v>1499.84</v>
      </c>
      <c r="BZ52" s="253">
        <v>272.54000000000002</v>
      </c>
      <c r="CA52" s="354">
        <f>67.86+68.4+68.4+67.88</f>
        <v>272.53999999999996</v>
      </c>
      <c r="CB52" s="354"/>
      <c r="CC52" s="354"/>
      <c r="CD52" s="354">
        <v>1227.3</v>
      </c>
      <c r="CE52" s="354"/>
      <c r="CF52" s="354"/>
      <c r="CG52" s="354"/>
      <c r="CH52" s="355"/>
      <c r="CI52" s="356">
        <f t="shared" si="1"/>
        <v>1499.84</v>
      </c>
      <c r="CJ52" s="356">
        <f t="shared" si="0"/>
        <v>272.53999999999996</v>
      </c>
      <c r="CK52" s="357">
        <v>1227</v>
      </c>
      <c r="CL52" s="358">
        <f t="shared" si="2"/>
        <v>2726.84</v>
      </c>
      <c r="CM52" s="205">
        <v>3401</v>
      </c>
      <c r="CN52" s="282">
        <f t="shared" si="18"/>
        <v>2137</v>
      </c>
      <c r="CO52" s="209" t="str">
        <f t="shared" si="37"/>
        <v>0</v>
      </c>
      <c r="CP52" s="235">
        <f t="shared" si="20"/>
        <v>0</v>
      </c>
      <c r="CQ52" s="209">
        <f t="shared" si="21"/>
        <v>1</v>
      </c>
      <c r="CR52" s="235">
        <f t="shared" si="22"/>
        <v>5310</v>
      </c>
      <c r="CS52" s="235">
        <f t="shared" si="23"/>
        <v>1</v>
      </c>
      <c r="CT52" s="235">
        <f t="shared" si="23"/>
        <v>5310</v>
      </c>
      <c r="CU52" s="156">
        <v>37</v>
      </c>
      <c r="CV52" s="284" t="str">
        <f t="shared" si="24"/>
        <v>0</v>
      </c>
      <c r="CW52" s="284" t="str">
        <f t="shared" si="25"/>
        <v>0</v>
      </c>
      <c r="CX52" s="243">
        <f t="shared" si="26"/>
        <v>12.116266417968449</v>
      </c>
      <c r="CY52" s="216" t="str">
        <f t="shared" si="27"/>
        <v>0</v>
      </c>
      <c r="CZ52" s="216" t="str">
        <f t="shared" si="28"/>
        <v>0</v>
      </c>
      <c r="DA52" s="243">
        <f t="shared" si="29"/>
        <v>12.116266417968449</v>
      </c>
      <c r="DB52" s="306">
        <v>1</v>
      </c>
      <c r="DC52" s="306">
        <v>0</v>
      </c>
      <c r="DD52" s="306">
        <v>0</v>
      </c>
      <c r="DE52" s="306">
        <v>0</v>
      </c>
      <c r="DF52" s="306">
        <v>1</v>
      </c>
      <c r="DG52" s="306">
        <v>0</v>
      </c>
      <c r="DH52" s="306">
        <v>0</v>
      </c>
      <c r="DI52" s="306">
        <v>0</v>
      </c>
      <c r="DJ52" s="306">
        <v>0</v>
      </c>
      <c r="DK52" s="306">
        <v>120</v>
      </c>
      <c r="DL52" s="306">
        <f t="shared" si="30"/>
        <v>105</v>
      </c>
      <c r="DM52" s="306">
        <v>15</v>
      </c>
      <c r="DN52" s="306">
        <v>63</v>
      </c>
      <c r="DO52" s="306">
        <v>35</v>
      </c>
      <c r="DP52" s="306">
        <v>85</v>
      </c>
      <c r="DQ52" s="306">
        <v>35</v>
      </c>
      <c r="DR52" s="306">
        <v>41</v>
      </c>
      <c r="DS52" s="306">
        <v>79</v>
      </c>
      <c r="DT52" s="306">
        <v>41</v>
      </c>
      <c r="DU52" s="306">
        <v>6</v>
      </c>
      <c r="DV52" s="306">
        <v>5</v>
      </c>
      <c r="DW52" s="306">
        <v>11</v>
      </c>
      <c r="DX52" s="306">
        <v>5</v>
      </c>
      <c r="DY52" s="306">
        <v>5</v>
      </c>
      <c r="DZ52" s="306">
        <v>11</v>
      </c>
      <c r="EA52" s="306">
        <v>5</v>
      </c>
      <c r="EB52" s="306">
        <v>120</v>
      </c>
      <c r="EC52" s="306">
        <v>120</v>
      </c>
      <c r="ED52" s="342"/>
      <c r="EE52" s="342"/>
      <c r="EF52" s="3"/>
      <c r="EG52" s="3"/>
      <c r="EH52" s="3"/>
    </row>
    <row r="53" spans="1:138" s="7" customFormat="1" x14ac:dyDescent="0.2">
      <c r="A53" s="149" t="s">
        <v>197</v>
      </c>
      <c r="B53" s="169">
        <v>47</v>
      </c>
      <c r="C53" s="12" t="s">
        <v>246</v>
      </c>
      <c r="D53" s="200">
        <v>1977</v>
      </c>
      <c r="E53" s="11"/>
      <c r="F53" s="169">
        <v>84</v>
      </c>
      <c r="G53" s="35">
        <v>1</v>
      </c>
      <c r="H53" s="201">
        <v>9</v>
      </c>
      <c r="I53" s="201" t="s">
        <v>22</v>
      </c>
      <c r="J53" s="115">
        <v>14254</v>
      </c>
      <c r="K53" s="115">
        <v>589</v>
      </c>
      <c r="L53" s="157"/>
      <c r="M53" s="115">
        <v>673</v>
      </c>
      <c r="N53" s="115">
        <v>72</v>
      </c>
      <c r="O53" s="115">
        <v>143</v>
      </c>
      <c r="P53" s="115">
        <v>72</v>
      </c>
      <c r="Q53" s="115">
        <v>147</v>
      </c>
      <c r="R53" s="228">
        <v>3620.69</v>
      </c>
      <c r="S53" s="230">
        <v>2134.46</v>
      </c>
      <c r="T53" s="115">
        <f t="shared" si="3"/>
        <v>70</v>
      </c>
      <c r="U53" s="203">
        <f t="shared" si="36"/>
        <v>3530.9900000000002</v>
      </c>
      <c r="V53" s="180">
        <f t="shared" si="36"/>
        <v>2078.85</v>
      </c>
      <c r="W53" s="115">
        <v>2</v>
      </c>
      <c r="X53" s="207">
        <v>89.7</v>
      </c>
      <c r="Y53" s="207">
        <v>55.61</v>
      </c>
      <c r="Z53" s="204"/>
      <c r="AA53" s="207"/>
      <c r="AB53" s="207"/>
      <c r="AC53" s="207">
        <f t="shared" si="5"/>
        <v>0</v>
      </c>
      <c r="AD53" s="248">
        <f t="shared" si="6"/>
        <v>0</v>
      </c>
      <c r="AE53" s="275"/>
      <c r="AF53" s="275"/>
      <c r="AG53" s="207"/>
      <c r="AH53" s="207"/>
      <c r="AI53" s="207">
        <f t="shared" si="7"/>
        <v>3620.69</v>
      </c>
      <c r="AJ53" s="170"/>
      <c r="AK53" s="170">
        <v>2</v>
      </c>
      <c r="AL53" s="170">
        <v>2</v>
      </c>
      <c r="AM53" s="170">
        <v>2</v>
      </c>
      <c r="AN53" s="170"/>
      <c r="AO53" s="170">
        <v>2</v>
      </c>
      <c r="AP53" s="170">
        <v>3177</v>
      </c>
      <c r="AQ53" s="170"/>
      <c r="AR53" s="170">
        <v>600</v>
      </c>
      <c r="AS53" s="170">
        <v>213</v>
      </c>
      <c r="AT53" s="170">
        <v>40</v>
      </c>
      <c r="AU53" s="170">
        <f t="shared" ref="AU53:AU122" si="38">AV53+AW53</f>
        <v>4557</v>
      </c>
      <c r="AV53" s="170">
        <v>4557</v>
      </c>
      <c r="AW53" s="170"/>
      <c r="AX53" s="170">
        <v>1742</v>
      </c>
      <c r="AY53" s="170">
        <v>141</v>
      </c>
      <c r="AZ53" s="170">
        <v>559</v>
      </c>
      <c r="BA53" s="170">
        <v>559</v>
      </c>
      <c r="BB53" s="170">
        <v>32</v>
      </c>
      <c r="BC53" s="170">
        <v>6</v>
      </c>
      <c r="BD53" s="170">
        <v>248</v>
      </c>
      <c r="BE53" s="170">
        <v>74</v>
      </c>
      <c r="BF53" s="170"/>
      <c r="BG53" s="170">
        <v>7140</v>
      </c>
      <c r="BH53" s="170">
        <v>3270</v>
      </c>
      <c r="BI53" s="170">
        <v>90</v>
      </c>
      <c r="BJ53" s="115" t="str">
        <f t="shared" si="9"/>
        <v>0</v>
      </c>
      <c r="BK53" s="115" t="str">
        <f t="shared" si="10"/>
        <v>0</v>
      </c>
      <c r="BL53" s="115" t="str">
        <f t="shared" si="11"/>
        <v>0</v>
      </c>
      <c r="BM53" s="115">
        <f t="shared" si="12"/>
        <v>1</v>
      </c>
      <c r="BN53" s="115">
        <f t="shared" si="13"/>
        <v>3620.69</v>
      </c>
      <c r="BO53" s="115">
        <f t="shared" si="14"/>
        <v>2134.46</v>
      </c>
      <c r="BP53" s="115" t="str">
        <f t="shared" si="15"/>
        <v>0</v>
      </c>
      <c r="BQ53" s="115" t="str">
        <f t="shared" si="16"/>
        <v>0</v>
      </c>
      <c r="BR53" s="115" t="str">
        <f t="shared" si="17"/>
        <v>0</v>
      </c>
      <c r="BS53" s="115"/>
      <c r="BT53" s="115">
        <v>1</v>
      </c>
      <c r="BU53" s="115">
        <f t="shared" ref="BU53:BU59" si="39">BA53</f>
        <v>559</v>
      </c>
      <c r="BV53" s="115">
        <v>2424</v>
      </c>
      <c r="BW53" s="115"/>
      <c r="BX53" s="115"/>
      <c r="BY53" s="253">
        <v>1102.74</v>
      </c>
      <c r="BZ53" s="253">
        <v>509.65</v>
      </c>
      <c r="CA53" s="354">
        <f>415.38+99.9-(2.84+2.79)</f>
        <v>509.65</v>
      </c>
      <c r="CB53" s="354">
        <f>2.84+2.79</f>
        <v>5.63</v>
      </c>
      <c r="CC53" s="354"/>
      <c r="CD53" s="354">
        <v>559.29999999999995</v>
      </c>
      <c r="CE53" s="354">
        <f>17.07</f>
        <v>17.07</v>
      </c>
      <c r="CF53" s="354"/>
      <c r="CG53" s="355">
        <f>5.95+5.14</f>
        <v>11.09</v>
      </c>
      <c r="CH53" s="355"/>
      <c r="CI53" s="356">
        <f t="shared" si="1"/>
        <v>1102.7399999999998</v>
      </c>
      <c r="CJ53" s="356">
        <f t="shared" si="0"/>
        <v>509.65</v>
      </c>
      <c r="CK53" s="357">
        <v>559</v>
      </c>
      <c r="CL53" s="358">
        <f t="shared" si="2"/>
        <v>1661.7399999999998</v>
      </c>
      <c r="CM53" s="205">
        <v>2467</v>
      </c>
      <c r="CN53" s="282">
        <f t="shared" si="18"/>
        <v>1878</v>
      </c>
      <c r="CO53" s="209">
        <f t="shared" ref="CO53:CO122" si="40">IF(CP53&gt;0,G53,"0")</f>
        <v>1</v>
      </c>
      <c r="CP53" s="235">
        <f t="shared" ref="CP53:CP122" si="41">AV53</f>
        <v>4557</v>
      </c>
      <c r="CQ53" s="209" t="str">
        <f t="shared" ref="CQ53:CQ59" si="42">IF(CR53&gt;0,G53,"0")</f>
        <v>0</v>
      </c>
      <c r="CR53" s="235">
        <f t="shared" ref="CR53:CR122" si="43">AW53</f>
        <v>0</v>
      </c>
      <c r="CS53" s="235">
        <f t="shared" ref="CS53:CT84" si="44">CO53+CQ53</f>
        <v>1</v>
      </c>
      <c r="CT53" s="235">
        <f t="shared" si="44"/>
        <v>4557</v>
      </c>
      <c r="CU53" s="234">
        <v>45</v>
      </c>
      <c r="CV53" s="284" t="str">
        <f t="shared" si="24"/>
        <v>0</v>
      </c>
      <c r="CW53" s="284" t="str">
        <f t="shared" si="25"/>
        <v>0</v>
      </c>
      <c r="CX53" s="243">
        <f t="shared" si="26"/>
        <v>2.4774283354830158</v>
      </c>
      <c r="CY53" s="216" t="str">
        <f t="shared" si="27"/>
        <v>0</v>
      </c>
      <c r="CZ53" s="216" t="str">
        <f t="shared" si="28"/>
        <v>0</v>
      </c>
      <c r="DA53" s="243">
        <f t="shared" si="29"/>
        <v>2.4774283354830158</v>
      </c>
      <c r="DB53" s="306">
        <v>1</v>
      </c>
      <c r="DC53" s="306">
        <v>0</v>
      </c>
      <c r="DD53" s="306">
        <v>0</v>
      </c>
      <c r="DE53" s="306">
        <v>0</v>
      </c>
      <c r="DF53" s="306">
        <v>2</v>
      </c>
      <c r="DG53" s="306">
        <v>0</v>
      </c>
      <c r="DH53" s="306">
        <v>0</v>
      </c>
      <c r="DI53" s="306">
        <v>0</v>
      </c>
      <c r="DJ53" s="306">
        <v>0</v>
      </c>
      <c r="DK53" s="306">
        <v>72</v>
      </c>
      <c r="DL53" s="306">
        <f t="shared" ref="DL53:DL122" si="45">DK53-DM53</f>
        <v>71</v>
      </c>
      <c r="DM53" s="306">
        <v>1</v>
      </c>
      <c r="DN53" s="306">
        <v>59</v>
      </c>
      <c r="DO53" s="306">
        <v>29</v>
      </c>
      <c r="DP53" s="306">
        <v>56</v>
      </c>
      <c r="DQ53" s="306">
        <v>34</v>
      </c>
      <c r="DR53" s="306">
        <v>32</v>
      </c>
      <c r="DS53" s="306">
        <v>51</v>
      </c>
      <c r="DT53" s="306">
        <v>39</v>
      </c>
      <c r="DU53" s="306">
        <v>0</v>
      </c>
      <c r="DV53" s="306">
        <v>0</v>
      </c>
      <c r="DW53" s="306">
        <v>4</v>
      </c>
      <c r="DX53" s="306">
        <v>0</v>
      </c>
      <c r="DY53" s="306">
        <v>0</v>
      </c>
      <c r="DZ53" s="306">
        <v>4</v>
      </c>
      <c r="EA53" s="306">
        <v>0</v>
      </c>
      <c r="EB53" s="306">
        <v>72</v>
      </c>
      <c r="EC53" s="306">
        <v>72</v>
      </c>
      <c r="ED53" s="342"/>
      <c r="EE53" s="342"/>
      <c r="EF53" s="210"/>
      <c r="EG53" s="210"/>
      <c r="EH53" s="210"/>
    </row>
    <row r="54" spans="1:138" s="7" customFormat="1" x14ac:dyDescent="0.2">
      <c r="A54" s="149" t="s">
        <v>197</v>
      </c>
      <c r="B54" s="169">
        <v>48</v>
      </c>
      <c r="C54" s="12" t="s">
        <v>247</v>
      </c>
      <c r="D54" s="200">
        <v>1976</v>
      </c>
      <c r="E54" s="11"/>
      <c r="F54" s="169">
        <v>84</v>
      </c>
      <c r="G54" s="35">
        <v>1</v>
      </c>
      <c r="H54" s="201">
        <v>9</v>
      </c>
      <c r="I54" s="201" t="s">
        <v>22</v>
      </c>
      <c r="J54" s="115">
        <v>30451</v>
      </c>
      <c r="K54" s="115">
        <v>1265</v>
      </c>
      <c r="L54" s="157"/>
      <c r="M54" s="115">
        <v>1197</v>
      </c>
      <c r="N54" s="115">
        <v>144</v>
      </c>
      <c r="O54" s="115">
        <v>320</v>
      </c>
      <c r="P54" s="115">
        <v>144</v>
      </c>
      <c r="Q54" s="115">
        <v>258</v>
      </c>
      <c r="R54" s="228">
        <f>7704.07+0.03-0.04</f>
        <v>7704.0599999999995</v>
      </c>
      <c r="S54" s="230">
        <v>4583.08</v>
      </c>
      <c r="T54" s="115">
        <f t="shared" si="3"/>
        <v>128</v>
      </c>
      <c r="U54" s="203">
        <f t="shared" si="36"/>
        <v>6929.71</v>
      </c>
      <c r="V54" s="180">
        <f t="shared" si="36"/>
        <v>4102.62</v>
      </c>
      <c r="W54" s="115">
        <v>15</v>
      </c>
      <c r="X54" s="207">
        <v>708.65</v>
      </c>
      <c r="Y54" s="207">
        <v>439.34</v>
      </c>
      <c r="Z54" s="115">
        <v>1</v>
      </c>
      <c r="AA54" s="207">
        <v>65.7</v>
      </c>
      <c r="AB54" s="207">
        <v>41.12</v>
      </c>
      <c r="AC54" s="207">
        <f t="shared" si="5"/>
        <v>0</v>
      </c>
      <c r="AD54" s="248">
        <f t="shared" si="6"/>
        <v>0</v>
      </c>
      <c r="AE54" s="275"/>
      <c r="AF54" s="275"/>
      <c r="AG54" s="207"/>
      <c r="AH54" s="207"/>
      <c r="AI54" s="207">
        <f t="shared" si="7"/>
        <v>7704.0599999999995</v>
      </c>
      <c r="AJ54" s="170"/>
      <c r="AK54" s="170">
        <v>4</v>
      </c>
      <c r="AL54" s="170">
        <v>4</v>
      </c>
      <c r="AM54" s="170">
        <v>4</v>
      </c>
      <c r="AN54" s="170"/>
      <c r="AO54" s="170">
        <v>4</v>
      </c>
      <c r="AP54" s="170">
        <v>4533</v>
      </c>
      <c r="AQ54" s="170"/>
      <c r="AR54" s="170">
        <v>666</v>
      </c>
      <c r="AS54" s="170">
        <v>413</v>
      </c>
      <c r="AT54" s="170">
        <v>80</v>
      </c>
      <c r="AU54" s="170">
        <f t="shared" si="38"/>
        <v>9113</v>
      </c>
      <c r="AV54" s="170">
        <v>9113</v>
      </c>
      <c r="AW54" s="170"/>
      <c r="AX54" s="170">
        <v>3484</v>
      </c>
      <c r="AY54" s="170">
        <v>303</v>
      </c>
      <c r="AZ54" s="170">
        <v>1197</v>
      </c>
      <c r="BA54" s="170">
        <v>1197</v>
      </c>
      <c r="BB54" s="170">
        <v>64</v>
      </c>
      <c r="BC54" s="170">
        <v>12</v>
      </c>
      <c r="BD54" s="170">
        <v>231</v>
      </c>
      <c r="BE54" s="170">
        <v>144</v>
      </c>
      <c r="BF54" s="170"/>
      <c r="BG54" s="170">
        <v>14280</v>
      </c>
      <c r="BH54" s="170">
        <v>6540</v>
      </c>
      <c r="BI54" s="170">
        <v>180</v>
      </c>
      <c r="BJ54" s="115" t="str">
        <f t="shared" si="9"/>
        <v>0</v>
      </c>
      <c r="BK54" s="115" t="str">
        <f t="shared" si="10"/>
        <v>0</v>
      </c>
      <c r="BL54" s="115" t="str">
        <f t="shared" si="11"/>
        <v>0</v>
      </c>
      <c r="BM54" s="115">
        <f t="shared" si="12"/>
        <v>1</v>
      </c>
      <c r="BN54" s="115">
        <f t="shared" si="13"/>
        <v>7704.0599999999995</v>
      </c>
      <c r="BO54" s="115">
        <f t="shared" si="14"/>
        <v>4583.08</v>
      </c>
      <c r="BP54" s="115" t="str">
        <f t="shared" si="15"/>
        <v>0</v>
      </c>
      <c r="BQ54" s="115" t="str">
        <f t="shared" si="16"/>
        <v>0</v>
      </c>
      <c r="BR54" s="115" t="str">
        <f t="shared" si="17"/>
        <v>0</v>
      </c>
      <c r="BS54" s="115"/>
      <c r="BT54" s="115">
        <v>3</v>
      </c>
      <c r="BU54" s="115">
        <f t="shared" si="39"/>
        <v>1197</v>
      </c>
      <c r="BV54" s="115">
        <v>5158</v>
      </c>
      <c r="BW54" s="115"/>
      <c r="BX54" s="115"/>
      <c r="BY54" s="253">
        <v>2496.39</v>
      </c>
      <c r="BZ54" s="253">
        <v>1197.3699999999999</v>
      </c>
      <c r="CA54" s="354">
        <f>157.42-(2.75+2.66+2.74+2.52)+1044.3-(2.4+2.6+2.5+2.5)</f>
        <v>1181.05</v>
      </c>
      <c r="CB54" s="354">
        <f>8.8+(2.75+2.66+2.74+2.52)+41.08</f>
        <v>60.55</v>
      </c>
      <c r="CC54" s="354">
        <f>7.29+9.03</f>
        <v>16.32</v>
      </c>
      <c r="CD54" s="354">
        <v>1196.5</v>
      </c>
      <c r="CE54" s="355">
        <f>8.49+(2.4+2.6+2.5+2.5)</f>
        <v>18.490000000000002</v>
      </c>
      <c r="CF54" s="354"/>
      <c r="CG54" s="355">
        <f>5.88+5.84+5.95+5.81</f>
        <v>23.479999999999997</v>
      </c>
      <c r="CH54" s="355"/>
      <c r="CI54" s="356">
        <f t="shared" si="1"/>
        <v>2496.39</v>
      </c>
      <c r="CJ54" s="356">
        <f t="shared" si="0"/>
        <v>1197.3699999999999</v>
      </c>
      <c r="CK54" s="357">
        <v>1197</v>
      </c>
      <c r="CL54" s="358">
        <f t="shared" si="2"/>
        <v>3693.39</v>
      </c>
      <c r="CM54" s="205">
        <v>3441</v>
      </c>
      <c r="CN54" s="282">
        <f t="shared" si="18"/>
        <v>2176</v>
      </c>
      <c r="CO54" s="209">
        <f t="shared" si="40"/>
        <v>1</v>
      </c>
      <c r="CP54" s="235">
        <f t="shared" si="41"/>
        <v>9113</v>
      </c>
      <c r="CQ54" s="209" t="str">
        <f t="shared" si="42"/>
        <v>0</v>
      </c>
      <c r="CR54" s="235">
        <f t="shared" si="43"/>
        <v>0</v>
      </c>
      <c r="CS54" s="235">
        <f t="shared" si="44"/>
        <v>1</v>
      </c>
      <c r="CT54" s="235">
        <f t="shared" si="44"/>
        <v>9113</v>
      </c>
      <c r="CU54" s="234">
        <v>60</v>
      </c>
      <c r="CV54" s="284" t="str">
        <f t="shared" si="24"/>
        <v>0</v>
      </c>
      <c r="CW54" s="284" t="str">
        <f t="shared" si="25"/>
        <v>0</v>
      </c>
      <c r="CX54" s="243">
        <f t="shared" si="26"/>
        <v>9.1983966895377236</v>
      </c>
      <c r="CY54" s="216" t="str">
        <f t="shared" si="27"/>
        <v>0</v>
      </c>
      <c r="CZ54" s="216" t="str">
        <f t="shared" si="28"/>
        <v>0</v>
      </c>
      <c r="DA54" s="243">
        <f t="shared" si="29"/>
        <v>9.1983966895377236</v>
      </c>
      <c r="DB54" s="306">
        <v>1</v>
      </c>
      <c r="DC54" s="306">
        <v>0</v>
      </c>
      <c r="DD54" s="306">
        <v>0</v>
      </c>
      <c r="DE54" s="306">
        <v>0</v>
      </c>
      <c r="DF54" s="306">
        <v>2</v>
      </c>
      <c r="DG54" s="306">
        <v>0</v>
      </c>
      <c r="DH54" s="306">
        <v>0</v>
      </c>
      <c r="DI54" s="306">
        <v>0</v>
      </c>
      <c r="DJ54" s="306">
        <v>0</v>
      </c>
      <c r="DK54" s="306">
        <v>144</v>
      </c>
      <c r="DL54" s="306">
        <f t="shared" si="45"/>
        <v>135</v>
      </c>
      <c r="DM54" s="306">
        <v>9</v>
      </c>
      <c r="DN54" s="306">
        <v>104</v>
      </c>
      <c r="DO54" s="306">
        <v>67</v>
      </c>
      <c r="DP54" s="306">
        <v>99</v>
      </c>
      <c r="DQ54" s="306">
        <v>97</v>
      </c>
      <c r="DR54" s="306">
        <v>80</v>
      </c>
      <c r="DS54" s="306">
        <v>82</v>
      </c>
      <c r="DT54" s="306">
        <v>114</v>
      </c>
      <c r="DU54" s="306">
        <v>6</v>
      </c>
      <c r="DV54" s="306">
        <v>1</v>
      </c>
      <c r="DW54" s="306">
        <v>19</v>
      </c>
      <c r="DX54" s="306">
        <v>1</v>
      </c>
      <c r="DY54" s="306">
        <v>1</v>
      </c>
      <c r="DZ54" s="306">
        <v>19</v>
      </c>
      <c r="EA54" s="306">
        <v>1</v>
      </c>
      <c r="EB54" s="306">
        <v>144</v>
      </c>
      <c r="EC54" s="306">
        <v>144</v>
      </c>
      <c r="ED54" s="342"/>
      <c r="EE54" s="342"/>
      <c r="EF54" s="210"/>
      <c r="EG54" s="210"/>
      <c r="EH54" s="210"/>
    </row>
    <row r="55" spans="1:138" s="7" customFormat="1" x14ac:dyDescent="0.2">
      <c r="A55" s="359" t="s">
        <v>203</v>
      </c>
      <c r="B55" s="169">
        <v>49</v>
      </c>
      <c r="C55" s="12" t="s">
        <v>248</v>
      </c>
      <c r="D55" s="200">
        <v>1982</v>
      </c>
      <c r="E55" s="11"/>
      <c r="F55" s="169" t="s">
        <v>21</v>
      </c>
      <c r="G55" s="35">
        <v>1</v>
      </c>
      <c r="H55" s="201">
        <v>9</v>
      </c>
      <c r="I55" s="201" t="s">
        <v>19</v>
      </c>
      <c r="J55" s="115">
        <v>50115</v>
      </c>
      <c r="K55" s="115">
        <v>1962</v>
      </c>
      <c r="L55" s="157"/>
      <c r="M55" s="115">
        <v>1424</v>
      </c>
      <c r="N55" s="115">
        <v>128</v>
      </c>
      <c r="O55" s="115">
        <v>256</v>
      </c>
      <c r="P55" s="115">
        <v>128</v>
      </c>
      <c r="Q55" s="115">
        <v>231</v>
      </c>
      <c r="R55" s="228">
        <f>7415.4-1</f>
        <v>7414.4</v>
      </c>
      <c r="S55" s="230">
        <v>4007.4</v>
      </c>
      <c r="T55" s="115">
        <f t="shared" si="3"/>
        <v>117</v>
      </c>
      <c r="U55" s="203">
        <f t="shared" si="36"/>
        <v>6783.5</v>
      </c>
      <c r="V55" s="180">
        <f t="shared" si="36"/>
        <v>3616.2400000000002</v>
      </c>
      <c r="W55" s="115">
        <v>11</v>
      </c>
      <c r="X55" s="207">
        <v>630.9</v>
      </c>
      <c r="Y55" s="207">
        <v>391.16</v>
      </c>
      <c r="Z55" s="204"/>
      <c r="AA55" s="207"/>
      <c r="AB55" s="207"/>
      <c r="AC55" s="207">
        <f t="shared" si="5"/>
        <v>1270.7</v>
      </c>
      <c r="AD55" s="248">
        <f t="shared" si="6"/>
        <v>1270.7</v>
      </c>
      <c r="AE55" s="275"/>
      <c r="AF55" s="248">
        <f>1291.2-20.5</f>
        <v>1270.7</v>
      </c>
      <c r="AG55" s="207"/>
      <c r="AH55" s="207"/>
      <c r="AI55" s="207">
        <f t="shared" si="7"/>
        <v>8685.1</v>
      </c>
      <c r="AJ55" s="170"/>
      <c r="AK55" s="170">
        <v>4</v>
      </c>
      <c r="AL55" s="170">
        <v>4</v>
      </c>
      <c r="AM55" s="170">
        <v>4</v>
      </c>
      <c r="AN55" s="170">
        <v>1</v>
      </c>
      <c r="AO55" s="170">
        <v>1</v>
      </c>
      <c r="AP55" s="170">
        <v>7570</v>
      </c>
      <c r="AQ55" s="170"/>
      <c r="AR55" s="170">
        <v>764</v>
      </c>
      <c r="AS55" s="170">
        <v>514</v>
      </c>
      <c r="AT55" s="170">
        <v>140</v>
      </c>
      <c r="AU55" s="170">
        <f t="shared" si="38"/>
        <v>10099</v>
      </c>
      <c r="AV55" s="170">
        <v>10099</v>
      </c>
      <c r="AW55" s="170"/>
      <c r="AX55" s="170"/>
      <c r="AY55" s="170">
        <v>483</v>
      </c>
      <c r="AZ55" s="170">
        <v>1767</v>
      </c>
      <c r="BA55" s="170">
        <v>1424</v>
      </c>
      <c r="BB55" s="170"/>
      <c r="BC55" s="170">
        <v>12</v>
      </c>
      <c r="BD55" s="170">
        <v>447</v>
      </c>
      <c r="BE55" s="170">
        <v>128</v>
      </c>
      <c r="BF55" s="170"/>
      <c r="BG55" s="170">
        <v>22800</v>
      </c>
      <c r="BH55" s="170">
        <v>6540</v>
      </c>
      <c r="BI55" s="170">
        <v>180</v>
      </c>
      <c r="BJ55" s="115">
        <f t="shared" si="9"/>
        <v>1</v>
      </c>
      <c r="BK55" s="115">
        <f t="shared" si="10"/>
        <v>7414.4</v>
      </c>
      <c r="BL55" s="115">
        <f t="shared" si="11"/>
        <v>4007.4</v>
      </c>
      <c r="BM55" s="115" t="str">
        <f t="shared" si="12"/>
        <v>0</v>
      </c>
      <c r="BN55" s="115" t="str">
        <f t="shared" si="13"/>
        <v>0</v>
      </c>
      <c r="BO55" s="115" t="str">
        <f t="shared" si="14"/>
        <v>0</v>
      </c>
      <c r="BP55" s="115" t="str">
        <f t="shared" si="15"/>
        <v>0</v>
      </c>
      <c r="BQ55" s="115" t="str">
        <f t="shared" si="16"/>
        <v>0</v>
      </c>
      <c r="BR55" s="115" t="str">
        <f t="shared" si="17"/>
        <v>0</v>
      </c>
      <c r="BS55" s="115"/>
      <c r="BT55" s="115">
        <v>3</v>
      </c>
      <c r="BU55" s="115">
        <f t="shared" si="39"/>
        <v>1424</v>
      </c>
      <c r="BV55" s="115">
        <v>5604</v>
      </c>
      <c r="BW55" s="115"/>
      <c r="BX55" s="115">
        <f>AP55</f>
        <v>7570</v>
      </c>
      <c r="BY55" s="253">
        <v>2915.3</v>
      </c>
      <c r="BZ55" s="253">
        <v>1583.4</v>
      </c>
      <c r="CA55" s="354">
        <v>1551.9</v>
      </c>
      <c r="CB55" s="354">
        <v>12.8</v>
      </c>
      <c r="CC55" s="354">
        <f>16.1+15.4</f>
        <v>31.5</v>
      </c>
      <c r="CD55" s="354">
        <v>1203.4000000000001</v>
      </c>
      <c r="CE55" s="354"/>
      <c r="CF55" s="355">
        <f>12.4+16+16+13.6</f>
        <v>58</v>
      </c>
      <c r="CG55" s="355">
        <f>(14.4+13.5)+(4.3+10.3+4.6+10.6)</f>
        <v>57.7</v>
      </c>
      <c r="CH55" s="355"/>
      <c r="CI55" s="356">
        <f t="shared" si="1"/>
        <v>2915.3</v>
      </c>
      <c r="CJ55" s="356">
        <f t="shared" si="0"/>
        <v>1583.4</v>
      </c>
      <c r="CK55" s="357">
        <v>1767</v>
      </c>
      <c r="CL55" s="358">
        <f t="shared" si="2"/>
        <v>4682.3</v>
      </c>
      <c r="CM55" s="205">
        <v>3454</v>
      </c>
      <c r="CN55" s="282">
        <f t="shared" si="18"/>
        <v>1492</v>
      </c>
      <c r="CO55" s="209">
        <f t="shared" si="40"/>
        <v>1</v>
      </c>
      <c r="CP55" s="235">
        <f t="shared" si="41"/>
        <v>10099</v>
      </c>
      <c r="CQ55" s="209" t="str">
        <f t="shared" si="42"/>
        <v>0</v>
      </c>
      <c r="CR55" s="235">
        <f t="shared" si="43"/>
        <v>0</v>
      </c>
      <c r="CS55" s="235">
        <f t="shared" si="44"/>
        <v>1</v>
      </c>
      <c r="CT55" s="235">
        <f t="shared" si="44"/>
        <v>10099</v>
      </c>
      <c r="CU55" s="234">
        <v>64</v>
      </c>
      <c r="CV55" s="284" t="str">
        <f t="shared" si="24"/>
        <v>0</v>
      </c>
      <c r="CW55" s="284" t="str">
        <f t="shared" si="25"/>
        <v>0</v>
      </c>
      <c r="CX55" s="243">
        <f t="shared" si="26"/>
        <v>8.509117393180837</v>
      </c>
      <c r="CY55" s="216" t="str">
        <f t="shared" si="27"/>
        <v>0</v>
      </c>
      <c r="CZ55" s="216" t="str">
        <f t="shared" si="28"/>
        <v>0</v>
      </c>
      <c r="DA55" s="243">
        <f t="shared" si="29"/>
        <v>21.894969545543518</v>
      </c>
      <c r="DB55" s="306">
        <v>1</v>
      </c>
      <c r="DC55" s="306">
        <v>0</v>
      </c>
      <c r="DD55" s="306">
        <v>0</v>
      </c>
      <c r="DE55" s="306">
        <v>0</v>
      </c>
      <c r="DF55" s="306">
        <v>2</v>
      </c>
      <c r="DG55" s="306">
        <v>0</v>
      </c>
      <c r="DH55" s="306">
        <v>0</v>
      </c>
      <c r="DI55" s="306">
        <v>0</v>
      </c>
      <c r="DJ55" s="306">
        <v>0</v>
      </c>
      <c r="DK55" s="306">
        <v>128</v>
      </c>
      <c r="DL55" s="306">
        <f t="shared" si="45"/>
        <v>120</v>
      </c>
      <c r="DM55" s="306">
        <v>8</v>
      </c>
      <c r="DN55" s="306">
        <v>90</v>
      </c>
      <c r="DO55" s="306">
        <v>54</v>
      </c>
      <c r="DP55" s="306">
        <v>148</v>
      </c>
      <c r="DQ55" s="306">
        <v>108</v>
      </c>
      <c r="DR55" s="306">
        <v>64</v>
      </c>
      <c r="DS55" s="306">
        <v>128</v>
      </c>
      <c r="DT55" s="306">
        <v>128</v>
      </c>
      <c r="DU55" s="306">
        <v>4</v>
      </c>
      <c r="DV55" s="306">
        <v>3</v>
      </c>
      <c r="DW55" s="306">
        <v>8</v>
      </c>
      <c r="DX55" s="306">
        <v>6</v>
      </c>
      <c r="DY55" s="306">
        <v>3</v>
      </c>
      <c r="DZ55" s="306">
        <v>8</v>
      </c>
      <c r="EA55" s="306">
        <v>6</v>
      </c>
      <c r="EB55" s="306">
        <v>128</v>
      </c>
      <c r="EC55" s="306">
        <v>128</v>
      </c>
      <c r="ED55" s="342"/>
      <c r="EE55" s="342"/>
      <c r="EF55" s="210"/>
      <c r="EG55" s="210"/>
      <c r="EH55" s="210"/>
    </row>
    <row r="56" spans="1:138" s="7" customFormat="1" x14ac:dyDescent="0.2">
      <c r="A56" s="149" t="s">
        <v>197</v>
      </c>
      <c r="B56" s="169">
        <v>50</v>
      </c>
      <c r="C56" s="12" t="s">
        <v>249</v>
      </c>
      <c r="D56" s="200">
        <v>1981</v>
      </c>
      <c r="E56" s="11"/>
      <c r="F56" s="169" t="s">
        <v>21</v>
      </c>
      <c r="G56" s="35">
        <v>1</v>
      </c>
      <c r="H56" s="201">
        <v>9</v>
      </c>
      <c r="I56" s="201" t="s">
        <v>19</v>
      </c>
      <c r="J56" s="115">
        <v>18540</v>
      </c>
      <c r="K56" s="115">
        <v>779</v>
      </c>
      <c r="L56" s="157"/>
      <c r="M56" s="115">
        <v>701</v>
      </c>
      <c r="N56" s="115">
        <v>64</v>
      </c>
      <c r="O56" s="115">
        <v>144</v>
      </c>
      <c r="P56" s="115">
        <v>64</v>
      </c>
      <c r="Q56" s="115">
        <v>123</v>
      </c>
      <c r="R56" s="228">
        <v>3384.2</v>
      </c>
      <c r="S56" s="230">
        <v>1962.1</v>
      </c>
      <c r="T56" s="115">
        <f t="shared" si="3"/>
        <v>59</v>
      </c>
      <c r="U56" s="203">
        <f t="shared" si="36"/>
        <v>3175</v>
      </c>
      <c r="V56" s="180">
        <f t="shared" si="36"/>
        <v>1832.3999999999999</v>
      </c>
      <c r="W56" s="115">
        <v>5</v>
      </c>
      <c r="X56" s="207">
        <v>209.2</v>
      </c>
      <c r="Y56" s="207">
        <v>129.69999999999999</v>
      </c>
      <c r="Z56" s="204"/>
      <c r="AA56" s="207"/>
      <c r="AB56" s="207"/>
      <c r="AC56" s="207">
        <f t="shared" si="5"/>
        <v>380</v>
      </c>
      <c r="AD56" s="248">
        <f t="shared" si="6"/>
        <v>380</v>
      </c>
      <c r="AE56" s="275"/>
      <c r="AF56" s="248">
        <v>380</v>
      </c>
      <c r="AG56" s="207"/>
      <c r="AH56" s="207"/>
      <c r="AI56" s="207">
        <f t="shared" si="7"/>
        <v>3764.2</v>
      </c>
      <c r="AJ56" s="170"/>
      <c r="AK56" s="170">
        <v>2</v>
      </c>
      <c r="AL56" s="170">
        <v>2</v>
      </c>
      <c r="AM56" s="170">
        <v>2</v>
      </c>
      <c r="AN56" s="170"/>
      <c r="AO56" s="170">
        <v>1</v>
      </c>
      <c r="AP56" s="170">
        <v>3785</v>
      </c>
      <c r="AQ56" s="170"/>
      <c r="AR56" s="170">
        <v>566</v>
      </c>
      <c r="AS56" s="170">
        <v>272</v>
      </c>
      <c r="AT56" s="170">
        <v>70</v>
      </c>
      <c r="AU56" s="170">
        <f t="shared" si="38"/>
        <v>5049</v>
      </c>
      <c r="AV56" s="170">
        <v>5049</v>
      </c>
      <c r="AW56" s="170"/>
      <c r="AX56" s="170"/>
      <c r="AY56" s="170">
        <v>163</v>
      </c>
      <c r="AZ56" s="170">
        <v>779</v>
      </c>
      <c r="BA56" s="170">
        <v>682</v>
      </c>
      <c r="BB56" s="170"/>
      <c r="BC56" s="170">
        <v>6</v>
      </c>
      <c r="BD56" s="170">
        <v>276</v>
      </c>
      <c r="BE56" s="170">
        <v>64</v>
      </c>
      <c r="BF56" s="170"/>
      <c r="BG56" s="170">
        <v>11400</v>
      </c>
      <c r="BH56" s="170">
        <v>3270</v>
      </c>
      <c r="BI56" s="170">
        <v>90</v>
      </c>
      <c r="BJ56" s="115">
        <f t="shared" si="9"/>
        <v>1</v>
      </c>
      <c r="BK56" s="115">
        <f t="shared" si="10"/>
        <v>3384.2</v>
      </c>
      <c r="BL56" s="115">
        <f t="shared" si="11"/>
        <v>1962.1</v>
      </c>
      <c r="BM56" s="115" t="str">
        <f t="shared" si="12"/>
        <v>0</v>
      </c>
      <c r="BN56" s="115" t="str">
        <f t="shared" si="13"/>
        <v>0</v>
      </c>
      <c r="BO56" s="115" t="str">
        <f t="shared" si="14"/>
        <v>0</v>
      </c>
      <c r="BP56" s="115" t="str">
        <f t="shared" si="15"/>
        <v>0</v>
      </c>
      <c r="BQ56" s="115" t="str">
        <f t="shared" si="16"/>
        <v>0</v>
      </c>
      <c r="BR56" s="115" t="str">
        <f t="shared" si="17"/>
        <v>0</v>
      </c>
      <c r="BS56" s="115"/>
      <c r="BT56" s="115">
        <v>1</v>
      </c>
      <c r="BU56" s="115">
        <f t="shared" si="39"/>
        <v>682</v>
      </c>
      <c r="BV56" s="115">
        <v>2598</v>
      </c>
      <c r="BW56" s="115"/>
      <c r="BX56" s="115">
        <f>AP56</f>
        <v>3785</v>
      </c>
      <c r="BY56" s="253">
        <v>1283.8</v>
      </c>
      <c r="BZ56" s="253">
        <v>690.2</v>
      </c>
      <c r="CA56" s="354">
        <f>694.6-2.2*2</f>
        <v>690.2</v>
      </c>
      <c r="CB56" s="354">
        <f>2.2*2</f>
        <v>4.4000000000000004</v>
      </c>
      <c r="CC56" s="354"/>
      <c r="CD56" s="354">
        <v>550.29999999999995</v>
      </c>
      <c r="CE56" s="354">
        <v>8.6</v>
      </c>
      <c r="CF56" s="354">
        <v>9.1</v>
      </c>
      <c r="CG56" s="354">
        <f>8+8.1+2.6+2.5</f>
        <v>21.200000000000003</v>
      </c>
      <c r="CH56" s="355"/>
      <c r="CI56" s="356">
        <f t="shared" si="1"/>
        <v>1283.8</v>
      </c>
      <c r="CJ56" s="356">
        <f t="shared" si="0"/>
        <v>690.2</v>
      </c>
      <c r="CK56" s="357">
        <v>779</v>
      </c>
      <c r="CL56" s="358">
        <f t="shared" si="2"/>
        <v>2062.8000000000002</v>
      </c>
      <c r="CM56" s="205">
        <v>2317</v>
      </c>
      <c r="CN56" s="282">
        <f t="shared" si="18"/>
        <v>1538</v>
      </c>
      <c r="CO56" s="209">
        <f t="shared" si="40"/>
        <v>1</v>
      </c>
      <c r="CP56" s="235">
        <f t="shared" si="41"/>
        <v>5049</v>
      </c>
      <c r="CQ56" s="209" t="str">
        <f t="shared" si="42"/>
        <v>0</v>
      </c>
      <c r="CR56" s="235">
        <f t="shared" si="43"/>
        <v>0</v>
      </c>
      <c r="CS56" s="235">
        <f t="shared" si="44"/>
        <v>1</v>
      </c>
      <c r="CT56" s="235">
        <f t="shared" si="44"/>
        <v>5049</v>
      </c>
      <c r="CU56" s="234">
        <v>64</v>
      </c>
      <c r="CV56" s="284" t="str">
        <f t="shared" si="24"/>
        <v>0</v>
      </c>
      <c r="CW56" s="284" t="str">
        <f t="shared" si="25"/>
        <v>0</v>
      </c>
      <c r="CX56" s="243">
        <f t="shared" si="26"/>
        <v>6.1816677501329709</v>
      </c>
      <c r="CY56" s="216" t="str">
        <f t="shared" si="27"/>
        <v>0</v>
      </c>
      <c r="CZ56" s="216" t="str">
        <f t="shared" si="28"/>
        <v>0</v>
      </c>
      <c r="DA56" s="243">
        <f t="shared" si="29"/>
        <v>15.652728335370067</v>
      </c>
      <c r="DB56" s="306">
        <v>1</v>
      </c>
      <c r="DC56" s="306">
        <v>0</v>
      </c>
      <c r="DD56" s="306">
        <v>0</v>
      </c>
      <c r="DE56" s="306">
        <v>0</v>
      </c>
      <c r="DF56" s="306">
        <v>2</v>
      </c>
      <c r="DG56" s="306">
        <v>0</v>
      </c>
      <c r="DH56" s="306">
        <v>0</v>
      </c>
      <c r="DI56" s="306">
        <v>0</v>
      </c>
      <c r="DJ56" s="306">
        <v>0</v>
      </c>
      <c r="DK56" s="306">
        <v>64</v>
      </c>
      <c r="DL56" s="306">
        <f t="shared" si="45"/>
        <v>63</v>
      </c>
      <c r="DM56" s="306">
        <v>1</v>
      </c>
      <c r="DN56" s="306">
        <v>45</v>
      </c>
      <c r="DO56" s="306">
        <v>23</v>
      </c>
      <c r="DP56" s="306">
        <v>57</v>
      </c>
      <c r="DQ56" s="306">
        <v>39</v>
      </c>
      <c r="DR56" s="306">
        <v>25</v>
      </c>
      <c r="DS56" s="306">
        <v>54</v>
      </c>
      <c r="DT56" s="306">
        <v>42</v>
      </c>
      <c r="DU56" s="306">
        <v>1</v>
      </c>
      <c r="DV56" s="306">
        <v>0</v>
      </c>
      <c r="DW56" s="306">
        <v>5</v>
      </c>
      <c r="DX56" s="306">
        <v>0</v>
      </c>
      <c r="DY56" s="306">
        <v>0</v>
      </c>
      <c r="DZ56" s="306">
        <v>5</v>
      </c>
      <c r="EA56" s="306">
        <v>0</v>
      </c>
      <c r="EB56" s="306">
        <v>64</v>
      </c>
      <c r="EC56" s="306">
        <v>64</v>
      </c>
      <c r="ED56" s="342"/>
      <c r="EE56" s="342"/>
      <c r="EF56" s="210"/>
      <c r="EG56" s="210"/>
      <c r="EH56" s="210"/>
    </row>
    <row r="57" spans="1:138" x14ac:dyDescent="0.2">
      <c r="A57" s="149" t="s">
        <v>197</v>
      </c>
      <c r="B57" s="169">
        <v>51</v>
      </c>
      <c r="C57" s="12" t="s">
        <v>250</v>
      </c>
      <c r="D57" s="200">
        <v>1979</v>
      </c>
      <c r="E57" s="11"/>
      <c r="F57" s="169">
        <v>84</v>
      </c>
      <c r="G57" s="35">
        <v>1</v>
      </c>
      <c r="H57" s="201">
        <v>9</v>
      </c>
      <c r="I57" s="201" t="s">
        <v>22</v>
      </c>
      <c r="J57" s="115">
        <v>22438</v>
      </c>
      <c r="K57" s="115">
        <v>939</v>
      </c>
      <c r="L57" s="157"/>
      <c r="M57" s="115">
        <v>874</v>
      </c>
      <c r="N57" s="115">
        <v>107</v>
      </c>
      <c r="O57" s="115">
        <v>229</v>
      </c>
      <c r="P57" s="115">
        <v>107</v>
      </c>
      <c r="Q57" s="115">
        <v>209</v>
      </c>
      <c r="R57" s="228">
        <f>5536.51-22.6+23.62+1.28</f>
        <v>5538.8099999999995</v>
      </c>
      <c r="S57" s="230">
        <v>3302.75</v>
      </c>
      <c r="T57" s="115">
        <f t="shared" si="3"/>
        <v>98</v>
      </c>
      <c r="U57" s="203">
        <f t="shared" si="36"/>
        <v>5093.91</v>
      </c>
      <c r="V57" s="180">
        <f t="shared" si="36"/>
        <v>3026.91</v>
      </c>
      <c r="W57" s="115">
        <v>9</v>
      </c>
      <c r="X57" s="207">
        <v>444.9</v>
      </c>
      <c r="Y57" s="207">
        <v>275.83999999999997</v>
      </c>
      <c r="Z57" s="204"/>
      <c r="AA57" s="207"/>
      <c r="AB57" s="207"/>
      <c r="AC57" s="207">
        <f t="shared" si="5"/>
        <v>35.5</v>
      </c>
      <c r="AD57" s="248">
        <f t="shared" si="6"/>
        <v>35.5</v>
      </c>
      <c r="AE57" s="275"/>
      <c r="AF57" s="275">
        <f>35.52-0.02</f>
        <v>35.5</v>
      </c>
      <c r="AG57" s="207"/>
      <c r="AH57" s="207"/>
      <c r="AI57" s="207">
        <f t="shared" si="7"/>
        <v>5574.3099999999995</v>
      </c>
      <c r="AJ57" s="170"/>
      <c r="AK57" s="170">
        <v>3</v>
      </c>
      <c r="AL57" s="170">
        <v>3</v>
      </c>
      <c r="AM57" s="170">
        <v>3</v>
      </c>
      <c r="AN57" s="170"/>
      <c r="AO57" s="170">
        <v>3</v>
      </c>
      <c r="AP57" s="170">
        <v>5910</v>
      </c>
      <c r="AQ57" s="328"/>
      <c r="AR57" s="170">
        <v>622</v>
      </c>
      <c r="AS57" s="170">
        <v>450</v>
      </c>
      <c r="AT57" s="170">
        <v>60</v>
      </c>
      <c r="AU57" s="170">
        <f t="shared" si="38"/>
        <v>6835</v>
      </c>
      <c r="AV57" s="170">
        <v>6835</v>
      </c>
      <c r="AW57" s="170"/>
      <c r="AX57" s="170">
        <v>2613</v>
      </c>
      <c r="AY57" s="170">
        <v>253</v>
      </c>
      <c r="AZ57" s="170">
        <v>873</v>
      </c>
      <c r="BA57" s="170">
        <v>873</v>
      </c>
      <c r="BB57" s="170">
        <v>48</v>
      </c>
      <c r="BC57" s="170">
        <v>9</v>
      </c>
      <c r="BD57" s="170">
        <v>268</v>
      </c>
      <c r="BE57" s="170">
        <v>107</v>
      </c>
      <c r="BF57" s="170"/>
      <c r="BG57" s="170">
        <v>10710</v>
      </c>
      <c r="BH57" s="170">
        <v>4905</v>
      </c>
      <c r="BI57" s="170">
        <v>135</v>
      </c>
      <c r="BJ57" s="115" t="str">
        <f t="shared" si="9"/>
        <v>0</v>
      </c>
      <c r="BK57" s="115" t="str">
        <f t="shared" si="10"/>
        <v>0</v>
      </c>
      <c r="BL57" s="115" t="str">
        <f t="shared" si="11"/>
        <v>0</v>
      </c>
      <c r="BM57" s="115">
        <f t="shared" si="12"/>
        <v>1</v>
      </c>
      <c r="BN57" s="115">
        <f t="shared" si="13"/>
        <v>5538.8099999999995</v>
      </c>
      <c r="BO57" s="115">
        <f t="shared" si="14"/>
        <v>3302.75</v>
      </c>
      <c r="BP57" s="115" t="str">
        <f t="shared" si="15"/>
        <v>0</v>
      </c>
      <c r="BQ57" s="115" t="str">
        <f t="shared" si="16"/>
        <v>0</v>
      </c>
      <c r="BR57" s="115" t="str">
        <f t="shared" si="17"/>
        <v>0</v>
      </c>
      <c r="BS57" s="115"/>
      <c r="BT57" s="115">
        <v>2</v>
      </c>
      <c r="BU57" s="115">
        <f t="shared" si="39"/>
        <v>873</v>
      </c>
      <c r="BV57" s="115">
        <v>3860</v>
      </c>
      <c r="BW57" s="115"/>
      <c r="BX57" s="115"/>
      <c r="BY57" s="253">
        <v>1653.96</v>
      </c>
      <c r="BZ57" s="253">
        <v>852.6</v>
      </c>
      <c r="CA57" s="354">
        <f>861.12-2.84*3</f>
        <v>852.6</v>
      </c>
      <c r="CB57" s="354">
        <f>2.84*3</f>
        <v>8.52</v>
      </c>
      <c r="CC57" s="354"/>
      <c r="CD57" s="354">
        <v>742.74</v>
      </c>
      <c r="CE57" s="354">
        <v>34.39</v>
      </c>
      <c r="CF57" s="354"/>
      <c r="CG57" s="354">
        <v>15.71</v>
      </c>
      <c r="CH57" s="355"/>
      <c r="CI57" s="356">
        <f t="shared" si="1"/>
        <v>1653.96</v>
      </c>
      <c r="CJ57" s="356">
        <f t="shared" si="0"/>
        <v>852.6</v>
      </c>
      <c r="CK57" s="357">
        <v>873</v>
      </c>
      <c r="CL57" s="358">
        <f t="shared" si="2"/>
        <v>2526.96</v>
      </c>
      <c r="CM57" s="205">
        <v>2501</v>
      </c>
      <c r="CN57" s="282">
        <f t="shared" si="18"/>
        <v>1562</v>
      </c>
      <c r="CO57" s="209">
        <f t="shared" si="40"/>
        <v>1</v>
      </c>
      <c r="CP57" s="235">
        <f t="shared" si="41"/>
        <v>6835</v>
      </c>
      <c r="CQ57" s="209" t="str">
        <f t="shared" si="42"/>
        <v>0</v>
      </c>
      <c r="CR57" s="235">
        <f t="shared" si="43"/>
        <v>0</v>
      </c>
      <c r="CS57" s="235">
        <f t="shared" si="44"/>
        <v>1</v>
      </c>
      <c r="CT57" s="235">
        <f t="shared" si="44"/>
        <v>6835</v>
      </c>
      <c r="CU57" s="234">
        <v>48</v>
      </c>
      <c r="CV57" s="284" t="str">
        <f t="shared" si="24"/>
        <v>0</v>
      </c>
      <c r="CW57" s="284" t="str">
        <f t="shared" si="25"/>
        <v>0</v>
      </c>
      <c r="CX57" s="243">
        <f t="shared" si="26"/>
        <v>8.0324112941227455</v>
      </c>
      <c r="CY57" s="216" t="str">
        <f t="shared" si="27"/>
        <v>0</v>
      </c>
      <c r="CZ57" s="216" t="str">
        <f t="shared" si="28"/>
        <v>0</v>
      </c>
      <c r="DA57" s="243">
        <f t="shared" si="29"/>
        <v>8.6181069944082775</v>
      </c>
      <c r="DB57" s="306">
        <v>1</v>
      </c>
      <c r="DC57" s="306">
        <v>0</v>
      </c>
      <c r="DD57" s="306">
        <v>0</v>
      </c>
      <c r="DE57" s="306">
        <v>0</v>
      </c>
      <c r="DF57" s="306">
        <v>2</v>
      </c>
      <c r="DG57" s="306">
        <v>0</v>
      </c>
      <c r="DH57" s="306">
        <v>0</v>
      </c>
      <c r="DI57" s="306">
        <v>0</v>
      </c>
      <c r="DJ57" s="306">
        <v>0</v>
      </c>
      <c r="DK57" s="306">
        <v>107</v>
      </c>
      <c r="DL57" s="306">
        <f t="shared" si="45"/>
        <v>97</v>
      </c>
      <c r="DM57" s="306">
        <v>10</v>
      </c>
      <c r="DN57" s="306">
        <v>70</v>
      </c>
      <c r="DO57" s="306">
        <v>50</v>
      </c>
      <c r="DP57" s="306">
        <v>75</v>
      </c>
      <c r="DQ57" s="306">
        <v>66</v>
      </c>
      <c r="DR57" s="306">
        <v>54</v>
      </c>
      <c r="DS57" s="306">
        <v>69</v>
      </c>
      <c r="DT57" s="306">
        <v>72</v>
      </c>
      <c r="DU57" s="306">
        <v>3</v>
      </c>
      <c r="DV57" s="306">
        <v>4</v>
      </c>
      <c r="DW57" s="306">
        <v>5</v>
      </c>
      <c r="DX57" s="306">
        <v>6</v>
      </c>
      <c r="DY57" s="306">
        <v>4</v>
      </c>
      <c r="DZ57" s="306">
        <v>5</v>
      </c>
      <c r="EA57" s="306">
        <v>6</v>
      </c>
      <c r="EB57" s="306">
        <v>107</v>
      </c>
      <c r="EC57" s="306">
        <v>107</v>
      </c>
      <c r="ED57" s="342"/>
      <c r="EE57" s="342"/>
      <c r="EF57" s="210"/>
      <c r="EG57" s="210"/>
      <c r="EH57" s="210"/>
    </row>
    <row r="58" spans="1:138" x14ac:dyDescent="0.2">
      <c r="A58" s="359" t="s">
        <v>203</v>
      </c>
      <c r="B58" s="169">
        <v>52</v>
      </c>
      <c r="C58" s="12" t="s">
        <v>251</v>
      </c>
      <c r="D58" s="200">
        <v>1983</v>
      </c>
      <c r="E58" s="11"/>
      <c r="F58" s="169" t="s">
        <v>21</v>
      </c>
      <c r="G58" s="35">
        <v>1</v>
      </c>
      <c r="H58" s="201">
        <v>9</v>
      </c>
      <c r="I58" s="201" t="s">
        <v>19</v>
      </c>
      <c r="J58" s="115">
        <v>51253</v>
      </c>
      <c r="K58" s="115">
        <v>2074</v>
      </c>
      <c r="L58" s="157"/>
      <c r="M58" s="115">
        <v>1436</v>
      </c>
      <c r="N58" s="115">
        <v>128</v>
      </c>
      <c r="O58" s="115">
        <v>256</v>
      </c>
      <c r="P58" s="115">
        <v>128</v>
      </c>
      <c r="Q58" s="115">
        <v>269</v>
      </c>
      <c r="R58" s="228">
        <f>7516.6+1</f>
        <v>7517.6</v>
      </c>
      <c r="S58" s="230">
        <v>4075.4</v>
      </c>
      <c r="T58" s="115">
        <f t="shared" si="3"/>
        <v>124</v>
      </c>
      <c r="U58" s="203">
        <f t="shared" si="36"/>
        <v>7285.5</v>
      </c>
      <c r="V58" s="180">
        <f t="shared" si="36"/>
        <v>3931.5</v>
      </c>
      <c r="W58" s="115">
        <v>4</v>
      </c>
      <c r="X58" s="207">
        <v>232.1</v>
      </c>
      <c r="Y58" s="207">
        <v>143.9</v>
      </c>
      <c r="Z58" s="204"/>
      <c r="AA58" s="207"/>
      <c r="AB58" s="207"/>
      <c r="AC58" s="207">
        <f t="shared" si="5"/>
        <v>1460.8</v>
      </c>
      <c r="AD58" s="248">
        <f t="shared" si="6"/>
        <v>1070.3</v>
      </c>
      <c r="AE58" s="275"/>
      <c r="AF58" s="275">
        <v>1070.3</v>
      </c>
      <c r="AG58" s="207">
        <v>390.5</v>
      </c>
      <c r="AH58" s="207"/>
      <c r="AI58" s="207">
        <f t="shared" si="7"/>
        <v>8978.4</v>
      </c>
      <c r="AJ58" s="170"/>
      <c r="AK58" s="170">
        <v>4</v>
      </c>
      <c r="AL58" s="170">
        <v>4</v>
      </c>
      <c r="AM58" s="170">
        <v>4</v>
      </c>
      <c r="AN58" s="170"/>
      <c r="AO58" s="170">
        <v>1</v>
      </c>
      <c r="AP58" s="170">
        <v>7570</v>
      </c>
      <c r="AQ58" s="328"/>
      <c r="AR58" s="170">
        <v>599</v>
      </c>
      <c r="AS58" s="170">
        <v>758</v>
      </c>
      <c r="AT58" s="170">
        <v>140</v>
      </c>
      <c r="AU58" s="170">
        <f t="shared" si="38"/>
        <v>10099</v>
      </c>
      <c r="AV58" s="170">
        <v>10099</v>
      </c>
      <c r="AW58" s="170"/>
      <c r="AX58" s="170"/>
      <c r="AY58" s="170">
        <v>446</v>
      </c>
      <c r="AZ58" s="170">
        <v>1797</v>
      </c>
      <c r="BA58" s="170">
        <v>1436</v>
      </c>
      <c r="BB58" s="170"/>
      <c r="BC58" s="170">
        <v>12</v>
      </c>
      <c r="BD58" s="170">
        <v>436</v>
      </c>
      <c r="BE58" s="170">
        <v>139</v>
      </c>
      <c r="BF58" s="170"/>
      <c r="BG58" s="170">
        <v>22800</v>
      </c>
      <c r="BH58" s="170">
        <v>6540</v>
      </c>
      <c r="BI58" s="170">
        <v>180</v>
      </c>
      <c r="BJ58" s="115">
        <f t="shared" si="9"/>
        <v>1</v>
      </c>
      <c r="BK58" s="115">
        <f t="shared" si="10"/>
        <v>7517.6</v>
      </c>
      <c r="BL58" s="115">
        <f t="shared" si="11"/>
        <v>4075.4</v>
      </c>
      <c r="BM58" s="115" t="str">
        <f t="shared" si="12"/>
        <v>0</v>
      </c>
      <c r="BN58" s="115" t="str">
        <f t="shared" si="13"/>
        <v>0</v>
      </c>
      <c r="BO58" s="115" t="str">
        <f t="shared" si="14"/>
        <v>0</v>
      </c>
      <c r="BP58" s="115" t="str">
        <f t="shared" si="15"/>
        <v>0</v>
      </c>
      <c r="BQ58" s="115" t="str">
        <f t="shared" si="16"/>
        <v>0</v>
      </c>
      <c r="BR58" s="115" t="str">
        <f t="shared" si="17"/>
        <v>0</v>
      </c>
      <c r="BS58" s="115"/>
      <c r="BT58" s="115">
        <v>3</v>
      </c>
      <c r="BU58" s="115">
        <f t="shared" si="39"/>
        <v>1436</v>
      </c>
      <c r="BV58" s="115">
        <v>5604</v>
      </c>
      <c r="BW58" s="115"/>
      <c r="BX58" s="115">
        <f>AP58</f>
        <v>7570</v>
      </c>
      <c r="BY58" s="253">
        <v>3075.4</v>
      </c>
      <c r="BZ58" s="253">
        <v>1550.2</v>
      </c>
      <c r="CA58" s="354">
        <f>1563-3.2*4</f>
        <v>1550.2</v>
      </c>
      <c r="CB58" s="354">
        <f>3.2*4</f>
        <v>12.8</v>
      </c>
      <c r="CC58" s="354"/>
      <c r="CD58" s="354">
        <v>1435.5</v>
      </c>
      <c r="CE58" s="354">
        <v>17.2</v>
      </c>
      <c r="CF58" s="354"/>
      <c r="CG58" s="354">
        <v>59.7</v>
      </c>
      <c r="CH58" s="355"/>
      <c r="CI58" s="356">
        <f t="shared" si="1"/>
        <v>3075.4</v>
      </c>
      <c r="CJ58" s="356">
        <f t="shared" si="0"/>
        <v>1550.2</v>
      </c>
      <c r="CK58" s="357">
        <v>1797</v>
      </c>
      <c r="CL58" s="358">
        <f t="shared" si="2"/>
        <v>4872.3999999999996</v>
      </c>
      <c r="CM58" s="205">
        <v>3346</v>
      </c>
      <c r="CN58" s="282">
        <f t="shared" si="18"/>
        <v>1272</v>
      </c>
      <c r="CO58" s="209">
        <f t="shared" si="40"/>
        <v>1</v>
      </c>
      <c r="CP58" s="235">
        <f t="shared" si="41"/>
        <v>10099</v>
      </c>
      <c r="CQ58" s="209" t="str">
        <f t="shared" si="42"/>
        <v>0</v>
      </c>
      <c r="CR58" s="235">
        <f t="shared" si="43"/>
        <v>0</v>
      </c>
      <c r="CS58" s="235">
        <f t="shared" si="44"/>
        <v>1</v>
      </c>
      <c r="CT58" s="235">
        <f t="shared" si="44"/>
        <v>10099</v>
      </c>
      <c r="CU58" s="234">
        <v>63</v>
      </c>
      <c r="CV58" s="284" t="str">
        <f t="shared" si="24"/>
        <v>0</v>
      </c>
      <c r="CW58" s="284" t="str">
        <f t="shared" si="25"/>
        <v>0</v>
      </c>
      <c r="CX58" s="243">
        <f t="shared" si="26"/>
        <v>3.0874215175055864</v>
      </c>
      <c r="CY58" s="216" t="str">
        <f t="shared" si="27"/>
        <v>0</v>
      </c>
      <c r="CZ58" s="216" t="str">
        <f t="shared" si="28"/>
        <v>0</v>
      </c>
      <c r="DA58" s="243">
        <f t="shared" si="29"/>
        <v>14.505925331907687</v>
      </c>
      <c r="DB58" s="306">
        <v>1</v>
      </c>
      <c r="DC58" s="306">
        <v>0</v>
      </c>
      <c r="DD58" s="306">
        <v>0</v>
      </c>
      <c r="DE58" s="306">
        <v>0</v>
      </c>
      <c r="DF58" s="306">
        <v>2</v>
      </c>
      <c r="DG58" s="306">
        <v>0</v>
      </c>
      <c r="DH58" s="306">
        <v>0</v>
      </c>
      <c r="DI58" s="306">
        <v>0</v>
      </c>
      <c r="DJ58" s="306">
        <v>0</v>
      </c>
      <c r="DK58" s="306">
        <v>128</v>
      </c>
      <c r="DL58" s="306">
        <f t="shared" si="45"/>
        <v>123</v>
      </c>
      <c r="DM58" s="306">
        <v>5</v>
      </c>
      <c r="DN58" s="306">
        <v>85</v>
      </c>
      <c r="DO58" s="306">
        <v>61</v>
      </c>
      <c r="DP58" s="306">
        <v>133</v>
      </c>
      <c r="DQ58" s="306">
        <v>123</v>
      </c>
      <c r="DR58" s="306">
        <v>65</v>
      </c>
      <c r="DS58" s="306">
        <v>125</v>
      </c>
      <c r="DT58" s="306">
        <v>131</v>
      </c>
      <c r="DU58" s="306">
        <v>1</v>
      </c>
      <c r="DV58" s="306">
        <v>2</v>
      </c>
      <c r="DW58" s="306">
        <v>6</v>
      </c>
      <c r="DX58" s="306">
        <v>4</v>
      </c>
      <c r="DY58" s="306">
        <v>3</v>
      </c>
      <c r="DZ58" s="306">
        <v>4</v>
      </c>
      <c r="EA58" s="306">
        <v>6</v>
      </c>
      <c r="EB58" s="306">
        <v>128</v>
      </c>
      <c r="EC58" s="306">
        <v>128</v>
      </c>
      <c r="ED58" s="342"/>
      <c r="EE58" s="342"/>
      <c r="EF58" s="210"/>
      <c r="EG58" s="210"/>
      <c r="EH58" s="210"/>
    </row>
    <row r="59" spans="1:138" x14ac:dyDescent="0.2">
      <c r="A59" s="149" t="s">
        <v>197</v>
      </c>
      <c r="B59" s="169">
        <v>53</v>
      </c>
      <c r="C59" s="12" t="s">
        <v>252</v>
      </c>
      <c r="D59" s="200">
        <v>1978</v>
      </c>
      <c r="E59" s="11"/>
      <c r="F59" s="169">
        <v>84</v>
      </c>
      <c r="G59" s="35">
        <v>1</v>
      </c>
      <c r="H59" s="201">
        <v>9</v>
      </c>
      <c r="I59" s="201" t="s">
        <v>22</v>
      </c>
      <c r="J59" s="115">
        <v>30729</v>
      </c>
      <c r="K59" s="115">
        <v>1276</v>
      </c>
      <c r="L59" s="157"/>
      <c r="M59" s="115">
        <v>1193</v>
      </c>
      <c r="N59" s="115">
        <v>144</v>
      </c>
      <c r="O59" s="115">
        <v>320</v>
      </c>
      <c r="P59" s="115">
        <v>144</v>
      </c>
      <c r="Q59" s="115">
        <v>310</v>
      </c>
      <c r="R59" s="228">
        <f>7611.67-0.03</f>
        <v>7611.64</v>
      </c>
      <c r="S59" s="230">
        <v>4536.82</v>
      </c>
      <c r="T59" s="115">
        <f t="shared" si="3"/>
        <v>132</v>
      </c>
      <c r="U59" s="203">
        <f t="shared" si="36"/>
        <v>6993.14</v>
      </c>
      <c r="V59" s="180">
        <f t="shared" si="36"/>
        <v>4166.0499999999993</v>
      </c>
      <c r="W59" s="115">
        <v>12</v>
      </c>
      <c r="X59" s="207">
        <v>618.5</v>
      </c>
      <c r="Y59" s="207">
        <v>370.77</v>
      </c>
      <c r="Z59" s="204"/>
      <c r="AA59" s="207"/>
      <c r="AB59" s="207"/>
      <c r="AC59" s="207">
        <f t="shared" si="5"/>
        <v>0</v>
      </c>
      <c r="AD59" s="248">
        <f t="shared" si="6"/>
        <v>0</v>
      </c>
      <c r="AE59" s="275"/>
      <c r="AF59" s="275"/>
      <c r="AG59" s="207"/>
      <c r="AH59" s="207"/>
      <c r="AI59" s="207">
        <f t="shared" si="7"/>
        <v>7611.64</v>
      </c>
      <c r="AJ59" s="170"/>
      <c r="AK59" s="170">
        <v>4</v>
      </c>
      <c r="AL59" s="170">
        <v>4</v>
      </c>
      <c r="AM59" s="170">
        <v>4</v>
      </c>
      <c r="AN59" s="170"/>
      <c r="AO59" s="170">
        <v>4</v>
      </c>
      <c r="AP59" s="170">
        <v>4488</v>
      </c>
      <c r="AQ59" s="328"/>
      <c r="AR59" s="170">
        <v>928</v>
      </c>
      <c r="AS59" s="170">
        <v>542</v>
      </c>
      <c r="AT59" s="170">
        <v>80</v>
      </c>
      <c r="AU59" s="170">
        <f t="shared" si="38"/>
        <v>9113</v>
      </c>
      <c r="AV59" s="170">
        <v>9113</v>
      </c>
      <c r="AW59" s="170"/>
      <c r="AX59" s="170">
        <v>3484</v>
      </c>
      <c r="AY59" s="170">
        <v>309</v>
      </c>
      <c r="AZ59" s="170">
        <v>1203</v>
      </c>
      <c r="BA59" s="170">
        <v>1203</v>
      </c>
      <c r="BB59" s="170">
        <v>64</v>
      </c>
      <c r="BC59" s="170">
        <v>12</v>
      </c>
      <c r="BD59" s="170">
        <v>500</v>
      </c>
      <c r="BE59" s="170">
        <v>144</v>
      </c>
      <c r="BF59" s="170"/>
      <c r="BG59" s="170">
        <v>14280</v>
      </c>
      <c r="BH59" s="170">
        <v>6540</v>
      </c>
      <c r="BI59" s="170">
        <v>180</v>
      </c>
      <c r="BJ59" s="115" t="str">
        <f t="shared" si="9"/>
        <v>0</v>
      </c>
      <c r="BK59" s="115" t="str">
        <f t="shared" si="10"/>
        <v>0</v>
      </c>
      <c r="BL59" s="115" t="str">
        <f t="shared" si="11"/>
        <v>0</v>
      </c>
      <c r="BM59" s="115">
        <f t="shared" si="12"/>
        <v>1</v>
      </c>
      <c r="BN59" s="115">
        <f t="shared" si="13"/>
        <v>7611.64</v>
      </c>
      <c r="BO59" s="115">
        <f t="shared" si="14"/>
        <v>4536.82</v>
      </c>
      <c r="BP59" s="115" t="str">
        <f t="shared" si="15"/>
        <v>0</v>
      </c>
      <c r="BQ59" s="115" t="str">
        <f t="shared" si="16"/>
        <v>0</v>
      </c>
      <c r="BR59" s="115" t="str">
        <f t="shared" si="17"/>
        <v>0</v>
      </c>
      <c r="BS59" s="115"/>
      <c r="BT59" s="115">
        <v>3</v>
      </c>
      <c r="BU59" s="115">
        <f t="shared" si="39"/>
        <v>1203</v>
      </c>
      <c r="BV59" s="115">
        <v>5158</v>
      </c>
      <c r="BW59" s="115"/>
      <c r="BX59" s="115"/>
      <c r="BY59" s="253">
        <v>2382.31</v>
      </c>
      <c r="BZ59" s="253">
        <v>1083.8399999999999</v>
      </c>
      <c r="CA59" s="354">
        <v>1056.8900000000001</v>
      </c>
      <c r="CB59" s="354">
        <f>11.37+44.31</f>
        <v>55.68</v>
      </c>
      <c r="CC59" s="354">
        <f>8.86+9.08+9.01</f>
        <v>26.949999999999996</v>
      </c>
      <c r="CD59" s="354">
        <v>1202.7</v>
      </c>
      <c r="CE59" s="354">
        <f>2.74+2.95+9.01+2.78+2.64</f>
        <v>20.12</v>
      </c>
      <c r="CF59" s="354"/>
      <c r="CG59" s="354">
        <f>4.35+4.67+5.5+5.45</f>
        <v>19.97</v>
      </c>
      <c r="CH59" s="355"/>
      <c r="CI59" s="356">
        <f t="shared" si="1"/>
        <v>2382.3100000000004</v>
      </c>
      <c r="CJ59" s="356">
        <f t="shared" si="0"/>
        <v>1083.8400000000001</v>
      </c>
      <c r="CK59" s="357">
        <v>1203</v>
      </c>
      <c r="CL59" s="358">
        <f t="shared" si="2"/>
        <v>3585.3100000000004</v>
      </c>
      <c r="CM59" s="205">
        <v>3402</v>
      </c>
      <c r="CN59" s="282">
        <f t="shared" si="18"/>
        <v>2126</v>
      </c>
      <c r="CO59" s="209">
        <f t="shared" si="40"/>
        <v>1</v>
      </c>
      <c r="CP59" s="235">
        <f t="shared" si="41"/>
        <v>9113</v>
      </c>
      <c r="CQ59" s="209" t="str">
        <f t="shared" si="42"/>
        <v>0</v>
      </c>
      <c r="CR59" s="235">
        <f t="shared" si="43"/>
        <v>0</v>
      </c>
      <c r="CS59" s="235">
        <f t="shared" si="44"/>
        <v>1</v>
      </c>
      <c r="CT59" s="235">
        <f t="shared" si="44"/>
        <v>9113</v>
      </c>
      <c r="CU59" s="234">
        <v>47</v>
      </c>
      <c r="CV59" s="284" t="str">
        <f t="shared" si="24"/>
        <v>0</v>
      </c>
      <c r="CW59" s="284" t="str">
        <f t="shared" si="25"/>
        <v>0</v>
      </c>
      <c r="CX59" s="243">
        <f t="shared" si="26"/>
        <v>8.1257127241960987</v>
      </c>
      <c r="CY59" s="216" t="str">
        <f t="shared" si="27"/>
        <v>0</v>
      </c>
      <c r="CZ59" s="216" t="str">
        <f t="shared" si="28"/>
        <v>0</v>
      </c>
      <c r="DA59" s="243">
        <f t="shared" si="29"/>
        <v>8.1257127241960987</v>
      </c>
      <c r="DB59" s="306">
        <v>1</v>
      </c>
      <c r="DC59" s="306">
        <v>0</v>
      </c>
      <c r="DD59" s="306">
        <v>0</v>
      </c>
      <c r="DE59" s="306">
        <v>0</v>
      </c>
      <c r="DF59" s="306">
        <v>2</v>
      </c>
      <c r="DG59" s="306">
        <v>0</v>
      </c>
      <c r="DH59" s="306">
        <v>0</v>
      </c>
      <c r="DI59" s="306">
        <v>0</v>
      </c>
      <c r="DJ59" s="306">
        <v>0</v>
      </c>
      <c r="DK59" s="306">
        <v>144</v>
      </c>
      <c r="DL59" s="306">
        <f t="shared" si="45"/>
        <v>132</v>
      </c>
      <c r="DM59" s="306">
        <v>12</v>
      </c>
      <c r="DN59" s="306">
        <v>94</v>
      </c>
      <c r="DO59" s="306">
        <v>73</v>
      </c>
      <c r="DP59" s="306">
        <v>92</v>
      </c>
      <c r="DQ59" s="306">
        <v>104</v>
      </c>
      <c r="DR59" s="306">
        <v>77</v>
      </c>
      <c r="DS59" s="306">
        <v>87</v>
      </c>
      <c r="DT59" s="306">
        <v>109</v>
      </c>
      <c r="DU59" s="306">
        <v>7</v>
      </c>
      <c r="DV59" s="306">
        <v>6</v>
      </c>
      <c r="DW59" s="306">
        <v>11</v>
      </c>
      <c r="DX59" s="306">
        <v>8</v>
      </c>
      <c r="DY59" s="306">
        <v>6</v>
      </c>
      <c r="DZ59" s="306">
        <v>11</v>
      </c>
      <c r="EA59" s="306">
        <v>8</v>
      </c>
      <c r="EB59" s="306">
        <v>144</v>
      </c>
      <c r="EC59" s="306">
        <v>144</v>
      </c>
      <c r="ED59" s="342"/>
      <c r="EE59" s="342"/>
      <c r="EF59" s="210"/>
      <c r="EG59" s="210"/>
      <c r="EH59" s="210"/>
    </row>
    <row r="60" spans="1:138" x14ac:dyDescent="0.2">
      <c r="A60" s="149" t="s">
        <v>142</v>
      </c>
      <c r="B60" s="169">
        <v>54</v>
      </c>
      <c r="C60" s="12" t="s">
        <v>154</v>
      </c>
      <c r="D60" s="13">
        <v>1977</v>
      </c>
      <c r="E60" s="11"/>
      <c r="F60" s="169">
        <v>84</v>
      </c>
      <c r="G60" s="35">
        <v>1</v>
      </c>
      <c r="H60" s="45">
        <v>9</v>
      </c>
      <c r="I60" s="1" t="s">
        <v>22</v>
      </c>
      <c r="J60" s="35">
        <v>30933</v>
      </c>
      <c r="K60" s="122">
        <f>992+311</f>
        <v>1303</v>
      </c>
      <c r="L60" s="122"/>
      <c r="M60" s="122">
        <f>922+291</f>
        <v>1213</v>
      </c>
      <c r="N60" s="122">
        <v>144</v>
      </c>
      <c r="O60" s="122">
        <v>320</v>
      </c>
      <c r="P60" s="122">
        <v>145</v>
      </c>
      <c r="Q60" s="122">
        <v>314</v>
      </c>
      <c r="R60" s="179">
        <f>7671.71+1.2</f>
        <v>7672.91</v>
      </c>
      <c r="S60" s="121">
        <v>4570.7</v>
      </c>
      <c r="T60" s="122">
        <f t="shared" si="3"/>
        <v>136</v>
      </c>
      <c r="U60" s="180">
        <f t="shared" si="36"/>
        <v>7247.01</v>
      </c>
      <c r="V60" s="180">
        <f t="shared" si="36"/>
        <v>4316.8999999999996</v>
      </c>
      <c r="W60" s="122">
        <v>8</v>
      </c>
      <c r="X60" s="180">
        <v>425.9</v>
      </c>
      <c r="Y60" s="180">
        <v>253.8</v>
      </c>
      <c r="Z60" s="122"/>
      <c r="AA60" s="180"/>
      <c r="AB60" s="180"/>
      <c r="AC60" s="180">
        <f t="shared" si="5"/>
        <v>0</v>
      </c>
      <c r="AD60" s="179">
        <f t="shared" si="6"/>
        <v>0</v>
      </c>
      <c r="AE60" s="271"/>
      <c r="AF60" s="179"/>
      <c r="AG60" s="180"/>
      <c r="AH60" s="180"/>
      <c r="AI60" s="180">
        <f t="shared" si="7"/>
        <v>7672.91</v>
      </c>
      <c r="AJ60" s="122"/>
      <c r="AK60" s="122">
        <v>4</v>
      </c>
      <c r="AL60" s="122">
        <v>4</v>
      </c>
      <c r="AM60" s="122">
        <v>4</v>
      </c>
      <c r="AN60" s="122"/>
      <c r="AO60" s="122">
        <v>4</v>
      </c>
      <c r="AP60" s="35">
        <f>3118+3119</f>
        <v>6237</v>
      </c>
      <c r="AQ60" s="138">
        <v>302.375</v>
      </c>
      <c r="AR60" s="35">
        <f>286+286</f>
        <v>572</v>
      </c>
      <c r="AS60" s="35">
        <f>239+239</f>
        <v>478</v>
      </c>
      <c r="AT60" s="122">
        <f>162+54</f>
        <v>216</v>
      </c>
      <c r="AU60" s="122">
        <f t="shared" si="38"/>
        <v>8922</v>
      </c>
      <c r="AV60" s="122">
        <f>5952+1987</f>
        <v>7939</v>
      </c>
      <c r="AW60" s="122">
        <f>749+234</f>
        <v>983</v>
      </c>
      <c r="AX60" s="122">
        <f>2628+876</f>
        <v>3504</v>
      </c>
      <c r="AY60" s="122">
        <f>236+77</f>
        <v>313</v>
      </c>
      <c r="AZ60" s="122">
        <f>922+291</f>
        <v>1213</v>
      </c>
      <c r="BA60" s="122">
        <f>922+291</f>
        <v>1213</v>
      </c>
      <c r="BB60" s="122">
        <f>48+16</f>
        <v>64</v>
      </c>
      <c r="BC60" s="122">
        <v>21</v>
      </c>
      <c r="BD60" s="122">
        <f>378+144</f>
        <v>522</v>
      </c>
      <c r="BE60" s="122">
        <f>108+36</f>
        <v>144</v>
      </c>
      <c r="BF60" s="122">
        <v>1</v>
      </c>
      <c r="BG60" s="122">
        <f>17382+5794</f>
        <v>23176</v>
      </c>
      <c r="BH60" s="122">
        <f>1416+472</f>
        <v>1888</v>
      </c>
      <c r="BI60" s="122">
        <f>456+132</f>
        <v>588</v>
      </c>
      <c r="BJ60" s="115" t="str">
        <f t="shared" si="9"/>
        <v>0</v>
      </c>
      <c r="BK60" s="115" t="str">
        <f t="shared" si="10"/>
        <v>0</v>
      </c>
      <c r="BL60" s="115" t="str">
        <f t="shared" si="11"/>
        <v>0</v>
      </c>
      <c r="BM60" s="115">
        <f t="shared" si="12"/>
        <v>1</v>
      </c>
      <c r="BN60" s="115">
        <f t="shared" si="13"/>
        <v>7672.91</v>
      </c>
      <c r="BO60" s="115">
        <f t="shared" si="14"/>
        <v>4570.7</v>
      </c>
      <c r="BP60" s="115" t="str">
        <f t="shared" si="15"/>
        <v>0</v>
      </c>
      <c r="BQ60" s="115" t="str">
        <f t="shared" si="16"/>
        <v>0</v>
      </c>
      <c r="BR60" s="115" t="str">
        <f t="shared" si="17"/>
        <v>0</v>
      </c>
      <c r="BS60" s="115">
        <v>2</v>
      </c>
      <c r="BT60" s="115">
        <v>2</v>
      </c>
      <c r="BU60" s="122">
        <f>922+291</f>
        <v>1213</v>
      </c>
      <c r="BV60" s="115">
        <f>294+96</f>
        <v>390</v>
      </c>
      <c r="BW60" s="115"/>
      <c r="BX60" s="115"/>
      <c r="BY60" s="275">
        <v>2451.63</v>
      </c>
      <c r="BZ60" s="253">
        <v>1169.7</v>
      </c>
      <c r="CA60" s="354">
        <v>1143</v>
      </c>
      <c r="CB60" s="354">
        <f>2.8*3+32.73</f>
        <v>41.129999999999995</v>
      </c>
      <c r="CC60" s="354">
        <v>26.7</v>
      </c>
      <c r="CD60" s="354">
        <f>922+290.6</f>
        <v>1212.5999999999999</v>
      </c>
      <c r="CE60" s="354">
        <v>11.4</v>
      </c>
      <c r="CF60" s="354"/>
      <c r="CG60" s="354">
        <f>5.6*3</f>
        <v>16.799999999999997</v>
      </c>
      <c r="CH60" s="355"/>
      <c r="CI60" s="356">
        <f t="shared" si="1"/>
        <v>2451.63</v>
      </c>
      <c r="CJ60" s="356">
        <f t="shared" si="0"/>
        <v>1169.7</v>
      </c>
      <c r="CK60" s="357">
        <v>1213</v>
      </c>
      <c r="CL60" s="358">
        <f t="shared" si="2"/>
        <v>3664.63</v>
      </c>
      <c r="CM60" s="157">
        <v>3420</v>
      </c>
      <c r="CN60" s="275">
        <f t="shared" si="18"/>
        <v>2117</v>
      </c>
      <c r="CO60" s="209">
        <f t="shared" si="40"/>
        <v>1</v>
      </c>
      <c r="CP60" s="235">
        <f t="shared" si="41"/>
        <v>7939</v>
      </c>
      <c r="CQ60" s="209"/>
      <c r="CR60" s="235">
        <f t="shared" si="43"/>
        <v>983</v>
      </c>
      <c r="CS60" s="235">
        <f t="shared" si="44"/>
        <v>1</v>
      </c>
      <c r="CT60" s="235">
        <f t="shared" si="44"/>
        <v>8922</v>
      </c>
      <c r="CU60" s="14">
        <v>49</v>
      </c>
      <c r="CV60" s="284" t="str">
        <f t="shared" si="24"/>
        <v>0</v>
      </c>
      <c r="CW60" s="284" t="str">
        <f t="shared" si="25"/>
        <v>0</v>
      </c>
      <c r="CX60" s="243">
        <f t="shared" si="26"/>
        <v>5.55069719311187</v>
      </c>
      <c r="CY60" s="216" t="str">
        <f t="shared" si="27"/>
        <v>0</v>
      </c>
      <c r="CZ60" s="216" t="str">
        <f t="shared" si="28"/>
        <v>0</v>
      </c>
      <c r="DA60" s="243">
        <f t="shared" si="29"/>
        <v>5.55069719311187</v>
      </c>
      <c r="DB60" s="305">
        <v>1</v>
      </c>
      <c r="DC60" s="305">
        <v>0</v>
      </c>
      <c r="DD60" s="305">
        <v>0</v>
      </c>
      <c r="DE60" s="305">
        <v>1</v>
      </c>
      <c r="DF60" s="305">
        <v>2</v>
      </c>
      <c r="DG60" s="305">
        <v>0</v>
      </c>
      <c r="DH60" s="305">
        <v>0</v>
      </c>
      <c r="DI60" s="305">
        <v>4</v>
      </c>
      <c r="DJ60" s="306">
        <v>0</v>
      </c>
      <c r="DK60" s="306">
        <v>144</v>
      </c>
      <c r="DL60" s="306">
        <f t="shared" si="45"/>
        <v>134</v>
      </c>
      <c r="DM60" s="306">
        <v>10</v>
      </c>
      <c r="DN60" s="306">
        <v>103</v>
      </c>
      <c r="DO60" s="306">
        <v>83</v>
      </c>
      <c r="DP60" s="306">
        <v>74</v>
      </c>
      <c r="DQ60" s="306">
        <v>121</v>
      </c>
      <c r="DR60" s="306">
        <v>84</v>
      </c>
      <c r="DS60" s="306">
        <v>73</v>
      </c>
      <c r="DT60" s="306">
        <v>122</v>
      </c>
      <c r="DU60" s="306">
        <v>8</v>
      </c>
      <c r="DV60" s="306">
        <v>3</v>
      </c>
      <c r="DW60" s="306">
        <v>6</v>
      </c>
      <c r="DX60" s="306">
        <v>4</v>
      </c>
      <c r="DY60" s="306">
        <v>3</v>
      </c>
      <c r="DZ60" s="306">
        <v>6</v>
      </c>
      <c r="EA60" s="306">
        <v>4</v>
      </c>
      <c r="EB60" s="306">
        <v>144</v>
      </c>
      <c r="EC60" s="306">
        <v>144</v>
      </c>
      <c r="ED60" s="342"/>
      <c r="EE60" s="342"/>
    </row>
    <row r="61" spans="1:138" x14ac:dyDescent="0.2">
      <c r="A61" s="149" t="s">
        <v>142</v>
      </c>
      <c r="B61" s="169">
        <v>55</v>
      </c>
      <c r="C61" s="12" t="s">
        <v>105</v>
      </c>
      <c r="D61" s="13">
        <v>1986</v>
      </c>
      <c r="E61" s="11"/>
      <c r="F61" s="169" t="s">
        <v>24</v>
      </c>
      <c r="G61" s="35">
        <v>1</v>
      </c>
      <c r="H61" s="45">
        <v>9</v>
      </c>
      <c r="I61" s="1" t="s">
        <v>22</v>
      </c>
      <c r="J61" s="122">
        <v>19804</v>
      </c>
      <c r="K61" s="122">
        <v>770</v>
      </c>
      <c r="L61" s="122"/>
      <c r="M61" s="122">
        <v>723</v>
      </c>
      <c r="N61" s="122">
        <v>69</v>
      </c>
      <c r="O61" s="122">
        <v>191</v>
      </c>
      <c r="P61" s="122">
        <v>69</v>
      </c>
      <c r="Q61" s="122">
        <v>200</v>
      </c>
      <c r="R61" s="179">
        <f>4511.6+2</f>
        <v>4513.6000000000004</v>
      </c>
      <c r="S61" s="121">
        <v>2827</v>
      </c>
      <c r="T61" s="122">
        <f t="shared" si="3"/>
        <v>65</v>
      </c>
      <c r="U61" s="180">
        <f t="shared" si="36"/>
        <v>4255.4000000000005</v>
      </c>
      <c r="V61" s="180">
        <f t="shared" si="36"/>
        <v>2714.97</v>
      </c>
      <c r="W61" s="122">
        <v>4</v>
      </c>
      <c r="X61" s="180">
        <v>258.2</v>
      </c>
      <c r="Y61" s="180">
        <v>112.03</v>
      </c>
      <c r="Z61" s="122"/>
      <c r="AA61" s="180"/>
      <c r="AB61" s="180"/>
      <c r="AC61" s="180">
        <f t="shared" si="5"/>
        <v>94.5</v>
      </c>
      <c r="AD61" s="179">
        <f t="shared" si="6"/>
        <v>0</v>
      </c>
      <c r="AE61" s="271"/>
      <c r="AF61" s="179"/>
      <c r="AG61" s="180">
        <v>94.5</v>
      </c>
      <c r="AH61" s="180"/>
      <c r="AI61" s="180">
        <f t="shared" si="7"/>
        <v>4608.1000000000004</v>
      </c>
      <c r="AJ61" s="122"/>
      <c r="AK61" s="122">
        <v>2</v>
      </c>
      <c r="AL61" s="122">
        <v>2</v>
      </c>
      <c r="AM61" s="122">
        <v>2</v>
      </c>
      <c r="AN61" s="122"/>
      <c r="AO61" s="122">
        <v>2</v>
      </c>
      <c r="AP61" s="122">
        <v>3681</v>
      </c>
      <c r="AQ61" s="138"/>
      <c r="AR61" s="122">
        <f>180+90+101</f>
        <v>371</v>
      </c>
      <c r="AS61" s="122">
        <v>311</v>
      </c>
      <c r="AT61" s="122">
        <v>108</v>
      </c>
      <c r="AU61" s="122">
        <f t="shared" si="38"/>
        <v>4323</v>
      </c>
      <c r="AV61" s="122">
        <v>3430</v>
      </c>
      <c r="AW61" s="122">
        <v>893</v>
      </c>
      <c r="AX61" s="122">
        <v>2480</v>
      </c>
      <c r="AY61" s="122">
        <v>175</v>
      </c>
      <c r="AZ61" s="122">
        <v>723</v>
      </c>
      <c r="BA61" s="122">
        <v>723</v>
      </c>
      <c r="BB61" s="122">
        <v>36</v>
      </c>
      <c r="BC61" s="122">
        <v>48</v>
      </c>
      <c r="BD61" s="122">
        <v>266</v>
      </c>
      <c r="BE61" s="122">
        <v>70</v>
      </c>
      <c r="BF61" s="122">
        <v>1</v>
      </c>
      <c r="BG61" s="122">
        <v>8262</v>
      </c>
      <c r="BH61" s="122">
        <v>944</v>
      </c>
      <c r="BI61" s="122">
        <v>294</v>
      </c>
      <c r="BJ61" s="115" t="str">
        <f t="shared" si="9"/>
        <v>0</v>
      </c>
      <c r="BK61" s="115" t="str">
        <f t="shared" si="10"/>
        <v>0</v>
      </c>
      <c r="BL61" s="115" t="str">
        <f t="shared" si="11"/>
        <v>0</v>
      </c>
      <c r="BM61" s="115">
        <f t="shared" si="12"/>
        <v>1</v>
      </c>
      <c r="BN61" s="115">
        <f t="shared" si="13"/>
        <v>4513.6000000000004</v>
      </c>
      <c r="BO61" s="115">
        <f t="shared" si="14"/>
        <v>2827</v>
      </c>
      <c r="BP61" s="115" t="str">
        <f t="shared" si="15"/>
        <v>0</v>
      </c>
      <c r="BQ61" s="115" t="str">
        <f t="shared" si="16"/>
        <v>0</v>
      </c>
      <c r="BR61" s="115" t="str">
        <f t="shared" si="17"/>
        <v>0</v>
      </c>
      <c r="BS61" s="115"/>
      <c r="BT61" s="115">
        <v>1</v>
      </c>
      <c r="BU61" s="122">
        <v>723</v>
      </c>
      <c r="BV61" s="115">
        <v>36</v>
      </c>
      <c r="BW61" s="115"/>
      <c r="BX61" s="115"/>
      <c r="BY61" s="275">
        <v>1588.6</v>
      </c>
      <c r="BZ61" s="253">
        <v>780.6</v>
      </c>
      <c r="CA61" s="354">
        <f>313.9-(3.1+3.2)+473</f>
        <v>780.59999999999991</v>
      </c>
      <c r="CB61" s="354">
        <f>3.1+3.2+32.6</f>
        <v>38.900000000000006</v>
      </c>
      <c r="CC61" s="354"/>
      <c r="CD61" s="354">
        <v>722.8</v>
      </c>
      <c r="CE61" s="354">
        <f>9.8+24.8+2.9</f>
        <v>37.5</v>
      </c>
      <c r="CF61" s="354"/>
      <c r="CG61" s="354">
        <f>4.4+4.4</f>
        <v>8.8000000000000007</v>
      </c>
      <c r="CH61" s="355"/>
      <c r="CI61" s="356">
        <f t="shared" si="1"/>
        <v>1588.6</v>
      </c>
      <c r="CJ61" s="356">
        <f t="shared" si="0"/>
        <v>780.59999999999991</v>
      </c>
      <c r="CK61" s="357">
        <v>723</v>
      </c>
      <c r="CL61" s="358">
        <f t="shared" si="2"/>
        <v>2311.6</v>
      </c>
      <c r="CM61" s="157">
        <v>1736</v>
      </c>
      <c r="CN61" s="275">
        <f t="shared" si="18"/>
        <v>966</v>
      </c>
      <c r="CO61" s="209">
        <f t="shared" si="40"/>
        <v>1</v>
      </c>
      <c r="CP61" s="235">
        <f t="shared" si="41"/>
        <v>3430</v>
      </c>
      <c r="CQ61" s="209"/>
      <c r="CR61" s="235">
        <f t="shared" si="43"/>
        <v>893</v>
      </c>
      <c r="CS61" s="235">
        <f t="shared" si="44"/>
        <v>1</v>
      </c>
      <c r="CT61" s="235">
        <f t="shared" si="44"/>
        <v>4323</v>
      </c>
      <c r="CU61" s="14">
        <v>42</v>
      </c>
      <c r="CV61" s="284" t="str">
        <f t="shared" si="24"/>
        <v>0</v>
      </c>
      <c r="CW61" s="284" t="str">
        <f t="shared" si="25"/>
        <v>0</v>
      </c>
      <c r="CX61" s="243">
        <f t="shared" si="26"/>
        <v>5.7204891882311228</v>
      </c>
      <c r="CY61" s="216" t="str">
        <f t="shared" si="27"/>
        <v>0</v>
      </c>
      <c r="CZ61" s="216" t="str">
        <f t="shared" si="28"/>
        <v>0</v>
      </c>
      <c r="DA61" s="243">
        <f t="shared" si="29"/>
        <v>5.6031770143877075</v>
      </c>
      <c r="DB61" s="305">
        <v>1</v>
      </c>
      <c r="DC61" s="305">
        <v>0</v>
      </c>
      <c r="DD61" s="305">
        <v>0</v>
      </c>
      <c r="DE61" s="305">
        <v>0</v>
      </c>
      <c r="DF61" s="305">
        <v>2</v>
      </c>
      <c r="DG61" s="305">
        <v>0</v>
      </c>
      <c r="DH61" s="305">
        <v>0</v>
      </c>
      <c r="DI61" s="305">
        <v>0</v>
      </c>
      <c r="DJ61" s="306">
        <v>0</v>
      </c>
      <c r="DK61" s="306">
        <v>69</v>
      </c>
      <c r="DL61" s="306">
        <f t="shared" si="45"/>
        <v>65</v>
      </c>
      <c r="DM61" s="306">
        <v>4</v>
      </c>
      <c r="DN61" s="306">
        <v>55</v>
      </c>
      <c r="DO61" s="306">
        <v>43</v>
      </c>
      <c r="DP61" s="306">
        <v>33</v>
      </c>
      <c r="DQ61" s="306">
        <v>54</v>
      </c>
      <c r="DR61" s="306">
        <v>44</v>
      </c>
      <c r="DS61" s="306">
        <v>31</v>
      </c>
      <c r="DT61" s="306">
        <v>56</v>
      </c>
      <c r="DU61" s="306">
        <v>4</v>
      </c>
      <c r="DV61" s="306">
        <v>3</v>
      </c>
      <c r="DW61" s="306">
        <v>3</v>
      </c>
      <c r="DX61" s="306">
        <v>3</v>
      </c>
      <c r="DY61" s="306">
        <v>3</v>
      </c>
      <c r="DZ61" s="306">
        <v>3</v>
      </c>
      <c r="EA61" s="306">
        <v>3</v>
      </c>
      <c r="EB61" s="306">
        <v>69</v>
      </c>
      <c r="EC61" s="306">
        <v>69</v>
      </c>
      <c r="ED61" s="342"/>
      <c r="EE61" s="342"/>
    </row>
    <row r="62" spans="1:138" x14ac:dyDescent="0.2">
      <c r="A62" s="149" t="s">
        <v>142</v>
      </c>
      <c r="B62" s="169">
        <v>56</v>
      </c>
      <c r="C62" s="12" t="s">
        <v>153</v>
      </c>
      <c r="D62" s="13">
        <v>1977</v>
      </c>
      <c r="E62" s="11"/>
      <c r="F62" s="169">
        <v>84</v>
      </c>
      <c r="G62" s="35">
        <v>1</v>
      </c>
      <c r="H62" s="45">
        <v>9</v>
      </c>
      <c r="I62" s="1" t="s">
        <v>22</v>
      </c>
      <c r="J62" s="140">
        <v>30832</v>
      </c>
      <c r="K62" s="122">
        <f>969+329</f>
        <v>1298</v>
      </c>
      <c r="L62" s="122"/>
      <c r="M62" s="122">
        <f>919+292</f>
        <v>1211</v>
      </c>
      <c r="N62" s="122">
        <v>144</v>
      </c>
      <c r="O62" s="122">
        <v>320</v>
      </c>
      <c r="P62" s="122">
        <v>144</v>
      </c>
      <c r="Q62" s="122">
        <v>319</v>
      </c>
      <c r="R62" s="179">
        <v>7617.79</v>
      </c>
      <c r="S62" s="121">
        <v>4534.8999999999996</v>
      </c>
      <c r="T62" s="122">
        <f t="shared" si="3"/>
        <v>136</v>
      </c>
      <c r="U62" s="180">
        <f t="shared" si="36"/>
        <v>7232.39</v>
      </c>
      <c r="V62" s="180">
        <f t="shared" si="36"/>
        <v>4309.07</v>
      </c>
      <c r="W62" s="122">
        <v>8</v>
      </c>
      <c r="X62" s="180">
        <v>385.4</v>
      </c>
      <c r="Y62" s="180">
        <v>225.83</v>
      </c>
      <c r="Z62" s="122"/>
      <c r="AA62" s="180"/>
      <c r="AB62" s="180"/>
      <c r="AC62" s="180">
        <f t="shared" si="5"/>
        <v>0</v>
      </c>
      <c r="AD62" s="179">
        <f t="shared" si="6"/>
        <v>0</v>
      </c>
      <c r="AE62" s="271"/>
      <c r="AF62" s="179"/>
      <c r="AG62" s="180"/>
      <c r="AH62" s="180"/>
      <c r="AI62" s="180">
        <f t="shared" si="7"/>
        <v>7617.79</v>
      </c>
      <c r="AJ62" s="122"/>
      <c r="AK62" s="122">
        <v>4</v>
      </c>
      <c r="AL62" s="122">
        <v>4</v>
      </c>
      <c r="AM62" s="122">
        <v>4</v>
      </c>
      <c r="AN62" s="122"/>
      <c r="AO62" s="122">
        <v>4</v>
      </c>
      <c r="AP62" s="35">
        <f>2771+2771</f>
        <v>5542</v>
      </c>
      <c r="AQ62" s="138"/>
      <c r="AR62" s="35">
        <f>293+293</f>
        <v>586</v>
      </c>
      <c r="AS62" s="35">
        <f>243+243</f>
        <v>486</v>
      </c>
      <c r="AT62" s="122">
        <f>162+54</f>
        <v>216</v>
      </c>
      <c r="AU62" s="122">
        <f t="shared" si="38"/>
        <v>8901</v>
      </c>
      <c r="AV62" s="122">
        <f>5937+1984</f>
        <v>7921</v>
      </c>
      <c r="AW62" s="122">
        <f>748+232</f>
        <v>980</v>
      </c>
      <c r="AX62" s="122">
        <f>2628+876</f>
        <v>3504</v>
      </c>
      <c r="AY62" s="122">
        <f>238+76</f>
        <v>314</v>
      </c>
      <c r="AZ62" s="122">
        <f>919+292</f>
        <v>1211</v>
      </c>
      <c r="BA62" s="122">
        <f>919+292</f>
        <v>1211</v>
      </c>
      <c r="BB62" s="122">
        <f>48+16</f>
        <v>64</v>
      </c>
      <c r="BC62" s="122">
        <f>21</f>
        <v>21</v>
      </c>
      <c r="BD62" s="122">
        <f>378+144</f>
        <v>522</v>
      </c>
      <c r="BE62" s="122">
        <f>108+36</f>
        <v>144</v>
      </c>
      <c r="BF62" s="122">
        <v>1</v>
      </c>
      <c r="BG62" s="122">
        <f>12840+4280</f>
        <v>17120</v>
      </c>
      <c r="BH62" s="122">
        <f>1416+472</f>
        <v>1888</v>
      </c>
      <c r="BI62" s="122">
        <f>456+132</f>
        <v>588</v>
      </c>
      <c r="BJ62" s="115" t="str">
        <f t="shared" si="9"/>
        <v>0</v>
      </c>
      <c r="BK62" s="115" t="str">
        <f t="shared" si="10"/>
        <v>0</v>
      </c>
      <c r="BL62" s="115" t="str">
        <f t="shared" si="11"/>
        <v>0</v>
      </c>
      <c r="BM62" s="115">
        <f t="shared" si="12"/>
        <v>1</v>
      </c>
      <c r="BN62" s="115">
        <f t="shared" si="13"/>
        <v>7617.79</v>
      </c>
      <c r="BO62" s="115">
        <f t="shared" si="14"/>
        <v>4534.8999999999996</v>
      </c>
      <c r="BP62" s="115" t="str">
        <f t="shared" si="15"/>
        <v>0</v>
      </c>
      <c r="BQ62" s="115" t="str">
        <f t="shared" si="16"/>
        <v>0</v>
      </c>
      <c r="BR62" s="115" t="str">
        <f t="shared" si="17"/>
        <v>0</v>
      </c>
      <c r="BS62" s="115">
        <v>2</v>
      </c>
      <c r="BT62" s="115">
        <v>2</v>
      </c>
      <c r="BU62" s="122">
        <f>919+292</f>
        <v>1211</v>
      </c>
      <c r="BV62" s="115">
        <f>294+96</f>
        <v>390</v>
      </c>
      <c r="BW62" s="115"/>
      <c r="BX62" s="115"/>
      <c r="BY62" s="275">
        <v>2332.88</v>
      </c>
      <c r="BZ62" s="253">
        <v>1042.03</v>
      </c>
      <c r="CA62" s="354">
        <f>747.53-1*3+274.9</f>
        <v>1019.43</v>
      </c>
      <c r="CB62" s="354">
        <f>(1*3+2.8)+9.5+10.9+31.6</f>
        <v>57.800000000000004</v>
      </c>
      <c r="CC62" s="354">
        <f>6.8+15.8</f>
        <v>22.6</v>
      </c>
      <c r="CD62" s="354">
        <f>918.8+292.15</f>
        <v>1210.9499999999998</v>
      </c>
      <c r="CE62" s="354"/>
      <c r="CF62" s="354"/>
      <c r="CG62" s="354">
        <f>5.4+16.7</f>
        <v>22.1</v>
      </c>
      <c r="CH62" s="355"/>
      <c r="CI62" s="356">
        <f t="shared" si="1"/>
        <v>2332.8799999999997</v>
      </c>
      <c r="CJ62" s="356">
        <f t="shared" si="0"/>
        <v>1042.03</v>
      </c>
      <c r="CK62" s="357">
        <v>1211</v>
      </c>
      <c r="CL62" s="358">
        <f t="shared" si="2"/>
        <v>3543.8799999999997</v>
      </c>
      <c r="CM62" s="157">
        <v>3382</v>
      </c>
      <c r="CN62" s="275">
        <f t="shared" si="18"/>
        <v>2084</v>
      </c>
      <c r="CO62" s="209">
        <f t="shared" si="40"/>
        <v>1</v>
      </c>
      <c r="CP62" s="235">
        <f t="shared" si="41"/>
        <v>7921</v>
      </c>
      <c r="CQ62" s="209"/>
      <c r="CR62" s="235">
        <f t="shared" si="43"/>
        <v>980</v>
      </c>
      <c r="CS62" s="235">
        <f t="shared" si="44"/>
        <v>1</v>
      </c>
      <c r="CT62" s="235">
        <f t="shared" si="44"/>
        <v>8901</v>
      </c>
      <c r="CU62" s="14">
        <v>60</v>
      </c>
      <c r="CV62" s="284" t="str">
        <f t="shared" si="24"/>
        <v>0</v>
      </c>
      <c r="CW62" s="284" t="str">
        <f t="shared" si="25"/>
        <v>0</v>
      </c>
      <c r="CX62" s="243">
        <f t="shared" si="26"/>
        <v>5.0592100858647981</v>
      </c>
      <c r="CY62" s="216" t="str">
        <f t="shared" si="27"/>
        <v>0</v>
      </c>
      <c r="CZ62" s="216" t="str">
        <f t="shared" si="28"/>
        <v>0</v>
      </c>
      <c r="DA62" s="243">
        <f t="shared" si="29"/>
        <v>5.0592100858647981</v>
      </c>
      <c r="DB62" s="305">
        <v>1</v>
      </c>
      <c r="DC62" s="305">
        <v>0</v>
      </c>
      <c r="DD62" s="305">
        <v>0</v>
      </c>
      <c r="DE62" s="305">
        <v>1</v>
      </c>
      <c r="DF62" s="305">
        <v>2</v>
      </c>
      <c r="DG62" s="305">
        <v>0</v>
      </c>
      <c r="DH62" s="305">
        <v>0</v>
      </c>
      <c r="DI62" s="305">
        <v>4</v>
      </c>
      <c r="DJ62" s="306">
        <v>0</v>
      </c>
      <c r="DK62" s="306">
        <v>144</v>
      </c>
      <c r="DL62" s="306">
        <f t="shared" si="45"/>
        <v>133</v>
      </c>
      <c r="DM62" s="306">
        <v>11</v>
      </c>
      <c r="DN62" s="306">
        <v>114</v>
      </c>
      <c r="DO62" s="306">
        <v>72</v>
      </c>
      <c r="DP62" s="306">
        <v>95</v>
      </c>
      <c r="DQ62" s="306">
        <v>99</v>
      </c>
      <c r="DR62" s="306">
        <v>74</v>
      </c>
      <c r="DS62" s="306">
        <v>92</v>
      </c>
      <c r="DT62" s="306">
        <v>102</v>
      </c>
      <c r="DU62" s="306">
        <v>9</v>
      </c>
      <c r="DV62" s="306">
        <v>4</v>
      </c>
      <c r="DW62" s="306">
        <v>8</v>
      </c>
      <c r="DX62" s="306">
        <v>5</v>
      </c>
      <c r="DY62" s="306">
        <v>4</v>
      </c>
      <c r="DZ62" s="306">
        <v>8</v>
      </c>
      <c r="EA62" s="306">
        <v>5</v>
      </c>
      <c r="EB62" s="306">
        <v>144</v>
      </c>
      <c r="EC62" s="306">
        <v>144</v>
      </c>
      <c r="ED62" s="342"/>
      <c r="EE62" s="342"/>
    </row>
    <row r="63" spans="1:138" x14ac:dyDescent="0.2">
      <c r="A63" s="149" t="s">
        <v>142</v>
      </c>
      <c r="B63" s="169">
        <v>57</v>
      </c>
      <c r="C63" s="12" t="s">
        <v>106</v>
      </c>
      <c r="D63" s="13">
        <v>1975</v>
      </c>
      <c r="E63" s="11"/>
      <c r="F63" s="169" t="s">
        <v>21</v>
      </c>
      <c r="G63" s="35">
        <v>1</v>
      </c>
      <c r="H63" s="45">
        <v>9</v>
      </c>
      <c r="I63" s="1" t="s">
        <v>19</v>
      </c>
      <c r="J63" s="122">
        <v>27969</v>
      </c>
      <c r="K63" s="122">
        <v>1053</v>
      </c>
      <c r="L63" s="122"/>
      <c r="M63" s="122">
        <v>1018</v>
      </c>
      <c r="N63" s="122">
        <v>105</v>
      </c>
      <c r="O63" s="122">
        <v>231</v>
      </c>
      <c r="P63" s="122">
        <v>105</v>
      </c>
      <c r="Q63" s="122">
        <v>213</v>
      </c>
      <c r="R63" s="179">
        <v>5524.87</v>
      </c>
      <c r="S63" s="121">
        <v>3206.22</v>
      </c>
      <c r="T63" s="122">
        <f t="shared" si="3"/>
        <v>98</v>
      </c>
      <c r="U63" s="180">
        <f t="shared" si="36"/>
        <v>5214.3</v>
      </c>
      <c r="V63" s="180">
        <f t="shared" si="36"/>
        <v>3031.02</v>
      </c>
      <c r="W63" s="122">
        <v>7</v>
      </c>
      <c r="X63" s="180">
        <v>310.57</v>
      </c>
      <c r="Y63" s="180">
        <v>175.2</v>
      </c>
      <c r="Z63" s="122"/>
      <c r="AA63" s="180"/>
      <c r="AB63" s="180"/>
      <c r="AC63" s="180">
        <f t="shared" si="5"/>
        <v>0</v>
      </c>
      <c r="AD63" s="179">
        <f t="shared" si="6"/>
        <v>0</v>
      </c>
      <c r="AE63" s="271"/>
      <c r="AF63" s="179"/>
      <c r="AG63" s="180"/>
      <c r="AH63" s="180"/>
      <c r="AI63" s="180">
        <f t="shared" si="7"/>
        <v>5524.87</v>
      </c>
      <c r="AJ63" s="122"/>
      <c r="AK63" s="122">
        <v>3</v>
      </c>
      <c r="AL63" s="122">
        <v>3</v>
      </c>
      <c r="AM63" s="122">
        <v>2</v>
      </c>
      <c r="AN63" s="122"/>
      <c r="AO63" s="122">
        <v>3</v>
      </c>
      <c r="AP63" s="122">
        <v>4631</v>
      </c>
      <c r="AQ63" s="138"/>
      <c r="AR63" s="122">
        <f>156+78+145</f>
        <v>379</v>
      </c>
      <c r="AS63" s="122">
        <v>173</v>
      </c>
      <c r="AT63" s="122">
        <v>150</v>
      </c>
      <c r="AU63" s="122">
        <f t="shared" si="38"/>
        <v>6616</v>
      </c>
      <c r="AV63" s="122"/>
      <c r="AW63" s="122">
        <v>6616</v>
      </c>
      <c r="AX63" s="122"/>
      <c r="AY63" s="122">
        <v>246</v>
      </c>
      <c r="AZ63" s="122">
        <v>1018</v>
      </c>
      <c r="BA63" s="122">
        <v>1018</v>
      </c>
      <c r="BB63" s="122">
        <v>15</v>
      </c>
      <c r="BC63" s="122">
        <v>17</v>
      </c>
      <c r="BD63" s="122">
        <v>340</v>
      </c>
      <c r="BE63" s="122">
        <v>105</v>
      </c>
      <c r="BF63" s="122">
        <v>1</v>
      </c>
      <c r="BG63" s="122">
        <v>22237</v>
      </c>
      <c r="BH63" s="122">
        <v>1701</v>
      </c>
      <c r="BI63" s="122">
        <v>456</v>
      </c>
      <c r="BJ63" s="115">
        <f t="shared" si="9"/>
        <v>1</v>
      </c>
      <c r="BK63" s="115">
        <f t="shared" si="10"/>
        <v>5524.87</v>
      </c>
      <c r="BL63" s="115">
        <f t="shared" si="11"/>
        <v>3206.22</v>
      </c>
      <c r="BM63" s="115" t="str">
        <f t="shared" si="12"/>
        <v>0</v>
      </c>
      <c r="BN63" s="115" t="str">
        <f t="shared" si="13"/>
        <v>0</v>
      </c>
      <c r="BO63" s="115" t="str">
        <f t="shared" si="14"/>
        <v>0</v>
      </c>
      <c r="BP63" s="115" t="str">
        <f t="shared" si="15"/>
        <v>0</v>
      </c>
      <c r="BQ63" s="115" t="str">
        <f t="shared" si="16"/>
        <v>0</v>
      </c>
      <c r="BR63" s="115" t="str">
        <f t="shared" si="17"/>
        <v>0</v>
      </c>
      <c r="BS63" s="115">
        <v>1</v>
      </c>
      <c r="BT63" s="115">
        <v>1</v>
      </c>
      <c r="BU63" s="122">
        <v>1018</v>
      </c>
      <c r="BV63" s="115">
        <v>380</v>
      </c>
      <c r="BW63" s="115"/>
      <c r="BX63" s="115">
        <f>AP63</f>
        <v>4631</v>
      </c>
      <c r="BY63" s="275">
        <v>2157.02</v>
      </c>
      <c r="BZ63" s="253">
        <v>1060.3</v>
      </c>
      <c r="CA63" s="354">
        <v>1053.3900000000001</v>
      </c>
      <c r="CB63" s="354">
        <v>7.5</v>
      </c>
      <c r="CC63" s="354">
        <v>6.91</v>
      </c>
      <c r="CD63" s="354">
        <v>1017.82</v>
      </c>
      <c r="CE63" s="354">
        <v>14.17</v>
      </c>
      <c r="CF63" s="354">
        <v>1.06</v>
      </c>
      <c r="CG63" s="354">
        <v>56.169999999999995</v>
      </c>
      <c r="CH63" s="355"/>
      <c r="CI63" s="356">
        <f t="shared" si="1"/>
        <v>2157.0200000000004</v>
      </c>
      <c r="CJ63" s="356">
        <f t="shared" si="0"/>
        <v>1060.3000000000002</v>
      </c>
      <c r="CK63" s="357">
        <v>1018</v>
      </c>
      <c r="CL63" s="358">
        <f t="shared" si="2"/>
        <v>3175.0200000000004</v>
      </c>
      <c r="CM63" s="157">
        <v>2491</v>
      </c>
      <c r="CN63" s="275">
        <f t="shared" si="18"/>
        <v>1438</v>
      </c>
      <c r="CO63" s="209" t="str">
        <f t="shared" si="40"/>
        <v>0</v>
      </c>
      <c r="CP63" s="235">
        <f t="shared" si="41"/>
        <v>0</v>
      </c>
      <c r="CQ63" s="209">
        <f>IF(CR63&gt;0,G63,"0")</f>
        <v>1</v>
      </c>
      <c r="CR63" s="235">
        <f t="shared" si="43"/>
        <v>6616</v>
      </c>
      <c r="CS63" s="235">
        <f t="shared" si="44"/>
        <v>1</v>
      </c>
      <c r="CT63" s="235">
        <f t="shared" si="44"/>
        <v>6616</v>
      </c>
      <c r="CU63" s="14">
        <v>62</v>
      </c>
      <c r="CV63" s="284" t="str">
        <f t="shared" si="24"/>
        <v>0</v>
      </c>
      <c r="CW63" s="284" t="str">
        <f t="shared" si="25"/>
        <v>0</v>
      </c>
      <c r="CX63" s="243">
        <f t="shared" si="26"/>
        <v>5.6213087366761565</v>
      </c>
      <c r="CY63" s="216" t="str">
        <f t="shared" si="27"/>
        <v>0</v>
      </c>
      <c r="CZ63" s="216" t="str">
        <f t="shared" si="28"/>
        <v>0</v>
      </c>
      <c r="DA63" s="243">
        <f t="shared" si="29"/>
        <v>5.6213087366761565</v>
      </c>
      <c r="DB63" s="305">
        <v>1</v>
      </c>
      <c r="DC63" s="305">
        <v>0</v>
      </c>
      <c r="DD63" s="305">
        <v>0</v>
      </c>
      <c r="DE63" s="305">
        <v>0</v>
      </c>
      <c r="DF63" s="305">
        <v>2</v>
      </c>
      <c r="DG63" s="305">
        <v>0</v>
      </c>
      <c r="DH63" s="305">
        <v>0</v>
      </c>
      <c r="DI63" s="305">
        <v>0</v>
      </c>
      <c r="DJ63" s="306">
        <v>0</v>
      </c>
      <c r="DK63" s="306">
        <v>105</v>
      </c>
      <c r="DL63" s="306">
        <f t="shared" si="45"/>
        <v>99</v>
      </c>
      <c r="DM63" s="306">
        <v>6</v>
      </c>
      <c r="DN63" s="306">
        <v>87</v>
      </c>
      <c r="DO63" s="306">
        <v>41</v>
      </c>
      <c r="DP63" s="306">
        <v>95</v>
      </c>
      <c r="DQ63" s="306">
        <v>61</v>
      </c>
      <c r="DR63" s="306">
        <v>41</v>
      </c>
      <c r="DS63" s="306">
        <v>95</v>
      </c>
      <c r="DT63" s="306">
        <v>61</v>
      </c>
      <c r="DU63" s="306">
        <v>6</v>
      </c>
      <c r="DV63" s="306">
        <v>4</v>
      </c>
      <c r="DW63" s="306">
        <v>3</v>
      </c>
      <c r="DX63" s="306">
        <v>4</v>
      </c>
      <c r="DY63" s="306">
        <v>4</v>
      </c>
      <c r="DZ63" s="306">
        <v>3</v>
      </c>
      <c r="EA63" s="306">
        <v>4</v>
      </c>
      <c r="EB63" s="306">
        <v>105</v>
      </c>
      <c r="EC63" s="306">
        <v>105</v>
      </c>
      <c r="ED63" s="342"/>
      <c r="EE63" s="342"/>
    </row>
    <row r="64" spans="1:138" x14ac:dyDescent="0.2">
      <c r="A64" s="149" t="s">
        <v>142</v>
      </c>
      <c r="B64" s="169">
        <v>58</v>
      </c>
      <c r="C64" s="12" t="s">
        <v>155</v>
      </c>
      <c r="D64" s="13">
        <v>1980</v>
      </c>
      <c r="E64" s="11"/>
      <c r="F64" s="169">
        <v>84</v>
      </c>
      <c r="G64" s="35">
        <v>1</v>
      </c>
      <c r="H64" s="45">
        <v>9</v>
      </c>
      <c r="I64" s="1" t="s">
        <v>22</v>
      </c>
      <c r="J64" s="122">
        <v>15605</v>
      </c>
      <c r="K64" s="122">
        <v>701</v>
      </c>
      <c r="L64" s="122"/>
      <c r="M64" s="122">
        <v>561</v>
      </c>
      <c r="N64" s="122">
        <v>63</v>
      </c>
      <c r="O64" s="122">
        <v>126</v>
      </c>
      <c r="P64" s="122">
        <v>63</v>
      </c>
      <c r="Q64" s="122">
        <v>136</v>
      </c>
      <c r="R64" s="179">
        <v>3184.4</v>
      </c>
      <c r="S64" s="121">
        <v>1915</v>
      </c>
      <c r="T64" s="122">
        <f t="shared" si="3"/>
        <v>61</v>
      </c>
      <c r="U64" s="180">
        <f t="shared" si="36"/>
        <v>3100.5</v>
      </c>
      <c r="V64" s="180">
        <f t="shared" si="36"/>
        <v>1864.66</v>
      </c>
      <c r="W64" s="122">
        <v>2</v>
      </c>
      <c r="X64" s="180">
        <v>83.9</v>
      </c>
      <c r="Y64" s="180">
        <v>50.34</v>
      </c>
      <c r="Z64" s="122"/>
      <c r="AA64" s="180"/>
      <c r="AB64" s="180"/>
      <c r="AC64" s="180">
        <f t="shared" si="5"/>
        <v>411</v>
      </c>
      <c r="AD64" s="179">
        <f t="shared" si="6"/>
        <v>0</v>
      </c>
      <c r="AE64" s="271"/>
      <c r="AF64" s="179"/>
      <c r="AG64" s="180">
        <f>105.9+305.1</f>
        <v>411</v>
      </c>
      <c r="AH64" s="180"/>
      <c r="AI64" s="180">
        <f t="shared" si="7"/>
        <v>3595.4</v>
      </c>
      <c r="AJ64" s="122"/>
      <c r="AK64" s="122">
        <v>2</v>
      </c>
      <c r="AL64" s="122">
        <v>2</v>
      </c>
      <c r="AM64" s="122">
        <v>2</v>
      </c>
      <c r="AN64" s="122"/>
      <c r="AO64" s="122">
        <v>2</v>
      </c>
      <c r="AP64" s="122">
        <v>3130</v>
      </c>
      <c r="AQ64" s="138"/>
      <c r="AR64" s="122">
        <f>74+37+202</f>
        <v>313</v>
      </c>
      <c r="AS64" s="122">
        <v>187</v>
      </c>
      <c r="AT64" s="122">
        <v>108</v>
      </c>
      <c r="AU64" s="122">
        <f t="shared" si="38"/>
        <v>4410</v>
      </c>
      <c r="AV64" s="122"/>
      <c r="AW64" s="122">
        <v>4410</v>
      </c>
      <c r="AX64" s="122">
        <v>1752</v>
      </c>
      <c r="AY64" s="122">
        <v>157</v>
      </c>
      <c r="AZ64" s="122">
        <v>561</v>
      </c>
      <c r="BA64" s="122">
        <v>561</v>
      </c>
      <c r="BB64" s="122">
        <v>32</v>
      </c>
      <c r="BC64" s="122">
        <v>12</v>
      </c>
      <c r="BD64" s="122">
        <v>200</v>
      </c>
      <c r="BE64" s="122">
        <v>64</v>
      </c>
      <c r="BF64" s="122">
        <v>1</v>
      </c>
      <c r="BG64" s="122">
        <v>8560</v>
      </c>
      <c r="BH64" s="122">
        <v>944</v>
      </c>
      <c r="BI64" s="122">
        <v>294</v>
      </c>
      <c r="BJ64" s="115" t="str">
        <f t="shared" si="9"/>
        <v>0</v>
      </c>
      <c r="BK64" s="115" t="str">
        <f t="shared" si="10"/>
        <v>0</v>
      </c>
      <c r="BL64" s="115" t="str">
        <f t="shared" si="11"/>
        <v>0</v>
      </c>
      <c r="BM64" s="115">
        <f t="shared" si="12"/>
        <v>1</v>
      </c>
      <c r="BN64" s="115">
        <f t="shared" si="13"/>
        <v>3184.4</v>
      </c>
      <c r="BO64" s="115">
        <f t="shared" si="14"/>
        <v>1915</v>
      </c>
      <c r="BP64" s="115" t="str">
        <f t="shared" si="15"/>
        <v>0</v>
      </c>
      <c r="BQ64" s="115" t="str">
        <f t="shared" si="16"/>
        <v>0</v>
      </c>
      <c r="BR64" s="115" t="str">
        <f t="shared" si="17"/>
        <v>0</v>
      </c>
      <c r="BS64" s="115">
        <v>1</v>
      </c>
      <c r="BT64" s="115"/>
      <c r="BU64" s="122">
        <v>561</v>
      </c>
      <c r="BV64" s="115">
        <v>196</v>
      </c>
      <c r="BW64" s="115"/>
      <c r="BX64" s="115"/>
      <c r="BY64" s="275">
        <v>1158.71</v>
      </c>
      <c r="BZ64" s="253">
        <v>540.4</v>
      </c>
      <c r="CA64" s="354">
        <v>533.9</v>
      </c>
      <c r="CB64" s="354">
        <f>3.5*2+20.1</f>
        <v>27.1</v>
      </c>
      <c r="CC64" s="354">
        <v>6.5</v>
      </c>
      <c r="CD64" s="354">
        <v>560.91</v>
      </c>
      <c r="CE64" s="354">
        <v>14.9</v>
      </c>
      <c r="CF64" s="354"/>
      <c r="CG64" s="354">
        <v>15.4</v>
      </c>
      <c r="CH64" s="355"/>
      <c r="CI64" s="356">
        <f t="shared" si="1"/>
        <v>1158.71</v>
      </c>
      <c r="CJ64" s="356">
        <f t="shared" si="0"/>
        <v>540.4</v>
      </c>
      <c r="CK64" s="357">
        <v>561</v>
      </c>
      <c r="CL64" s="358">
        <f t="shared" si="2"/>
        <v>1719.71</v>
      </c>
      <c r="CM64" s="157">
        <v>1438</v>
      </c>
      <c r="CN64" s="275">
        <f t="shared" si="18"/>
        <v>737</v>
      </c>
      <c r="CO64" s="209" t="str">
        <f t="shared" si="40"/>
        <v>0</v>
      </c>
      <c r="CP64" s="235">
        <f t="shared" si="41"/>
        <v>0</v>
      </c>
      <c r="CQ64" s="209">
        <f>IF(CR64&gt;0,G64,"0")</f>
        <v>1</v>
      </c>
      <c r="CR64" s="235">
        <f t="shared" si="43"/>
        <v>4410</v>
      </c>
      <c r="CS64" s="235">
        <f t="shared" si="44"/>
        <v>1</v>
      </c>
      <c r="CT64" s="235">
        <f t="shared" si="44"/>
        <v>4410</v>
      </c>
      <c r="CU64" s="14">
        <v>47</v>
      </c>
      <c r="CV64" s="284" t="str">
        <f t="shared" si="24"/>
        <v>0</v>
      </c>
      <c r="CW64" s="284" t="str">
        <f t="shared" si="25"/>
        <v>0</v>
      </c>
      <c r="CX64" s="243">
        <f t="shared" si="26"/>
        <v>2.6347192563748272</v>
      </c>
      <c r="CY64" s="216" t="str">
        <f t="shared" si="27"/>
        <v>0</v>
      </c>
      <c r="CZ64" s="216" t="str">
        <f t="shared" si="28"/>
        <v>0</v>
      </c>
      <c r="DA64" s="243">
        <f t="shared" si="29"/>
        <v>2.3335372976581188</v>
      </c>
      <c r="DB64" s="305">
        <v>1</v>
      </c>
      <c r="DC64" s="305">
        <v>0</v>
      </c>
      <c r="DD64" s="305">
        <v>0</v>
      </c>
      <c r="DE64" s="305">
        <v>0</v>
      </c>
      <c r="DF64" s="305">
        <v>2</v>
      </c>
      <c r="DG64" s="305">
        <v>0</v>
      </c>
      <c r="DH64" s="305">
        <v>0</v>
      </c>
      <c r="DI64" s="305">
        <v>0</v>
      </c>
      <c r="DJ64" s="306">
        <v>0</v>
      </c>
      <c r="DK64" s="306">
        <v>64</v>
      </c>
      <c r="DL64" s="306">
        <f t="shared" si="45"/>
        <v>60</v>
      </c>
      <c r="DM64" s="306">
        <v>4</v>
      </c>
      <c r="DN64" s="306">
        <v>44</v>
      </c>
      <c r="DO64" s="306">
        <v>32</v>
      </c>
      <c r="DP64" s="306">
        <v>38</v>
      </c>
      <c r="DQ64" s="306">
        <v>42</v>
      </c>
      <c r="DR64" s="306">
        <v>31</v>
      </c>
      <c r="DS64" s="306">
        <v>40</v>
      </c>
      <c r="DT64" s="306">
        <v>40</v>
      </c>
      <c r="DU64" s="306">
        <v>3</v>
      </c>
      <c r="DV64" s="306">
        <v>1</v>
      </c>
      <c r="DW64" s="306">
        <v>3</v>
      </c>
      <c r="DX64" s="306">
        <v>2</v>
      </c>
      <c r="DY64" s="306">
        <v>1</v>
      </c>
      <c r="DZ64" s="306">
        <v>3</v>
      </c>
      <c r="EA64" s="306">
        <v>2</v>
      </c>
      <c r="EB64" s="306">
        <v>64</v>
      </c>
      <c r="EC64" s="306">
        <v>64</v>
      </c>
      <c r="ED64" s="342"/>
      <c r="EE64" s="342"/>
    </row>
    <row r="65" spans="1:138" x14ac:dyDescent="0.2">
      <c r="A65" s="149" t="s">
        <v>142</v>
      </c>
      <c r="B65" s="169">
        <v>59</v>
      </c>
      <c r="C65" s="12" t="s">
        <v>107</v>
      </c>
      <c r="D65" s="13">
        <v>1975</v>
      </c>
      <c r="E65" s="11"/>
      <c r="F65" s="169" t="s">
        <v>21</v>
      </c>
      <c r="G65" s="35">
        <v>1</v>
      </c>
      <c r="H65" s="45">
        <v>9</v>
      </c>
      <c r="I65" s="1" t="s">
        <v>19</v>
      </c>
      <c r="J65" s="122">
        <v>30168</v>
      </c>
      <c r="K65" s="122">
        <v>1037</v>
      </c>
      <c r="L65" s="122">
        <v>1075</v>
      </c>
      <c r="M65" s="122"/>
      <c r="N65" s="122">
        <v>103</v>
      </c>
      <c r="O65" s="122">
        <v>225</v>
      </c>
      <c r="P65" s="122">
        <v>103</v>
      </c>
      <c r="Q65" s="122">
        <v>209</v>
      </c>
      <c r="R65" s="179">
        <f>5404.51-1.2+0.04+0.03</f>
        <v>5403.38</v>
      </c>
      <c r="S65" s="121">
        <v>3122.54</v>
      </c>
      <c r="T65" s="122">
        <f t="shared" si="3"/>
        <v>94</v>
      </c>
      <c r="U65" s="180">
        <f t="shared" si="36"/>
        <v>4940.41</v>
      </c>
      <c r="V65" s="180">
        <f t="shared" si="36"/>
        <v>2836.74</v>
      </c>
      <c r="W65" s="122">
        <v>9</v>
      </c>
      <c r="X65" s="180">
        <v>462.97</v>
      </c>
      <c r="Y65" s="180">
        <v>285.8</v>
      </c>
      <c r="Z65" s="122"/>
      <c r="AA65" s="180"/>
      <c r="AB65" s="180"/>
      <c r="AC65" s="180">
        <f t="shared" si="5"/>
        <v>128.1</v>
      </c>
      <c r="AD65" s="179">
        <f t="shared" si="6"/>
        <v>128.1</v>
      </c>
      <c r="AE65" s="271"/>
      <c r="AF65" s="179">
        <v>128.1</v>
      </c>
      <c r="AG65" s="180"/>
      <c r="AH65" s="180"/>
      <c r="AI65" s="180">
        <f t="shared" si="7"/>
        <v>5531.4800000000005</v>
      </c>
      <c r="AJ65" s="122"/>
      <c r="AK65" s="122">
        <v>3</v>
      </c>
      <c r="AL65" s="122">
        <v>3</v>
      </c>
      <c r="AM65" s="122">
        <v>3</v>
      </c>
      <c r="AN65" s="122"/>
      <c r="AO65" s="122">
        <v>3</v>
      </c>
      <c r="AP65" s="122">
        <v>5146</v>
      </c>
      <c r="AQ65" s="138"/>
      <c r="AR65" s="122">
        <f>194+97+68</f>
        <v>359</v>
      </c>
      <c r="AS65" s="122">
        <v>187</v>
      </c>
      <c r="AT65" s="122">
        <v>150</v>
      </c>
      <c r="AU65" s="122">
        <f t="shared" si="38"/>
        <v>6630</v>
      </c>
      <c r="AV65" s="122">
        <v>5837</v>
      </c>
      <c r="AW65" s="122">
        <v>793</v>
      </c>
      <c r="AX65" s="122"/>
      <c r="AY65" s="122">
        <v>274</v>
      </c>
      <c r="AZ65" s="122">
        <v>1004</v>
      </c>
      <c r="BA65" s="122">
        <v>1004</v>
      </c>
      <c r="BB65" s="122">
        <v>15</v>
      </c>
      <c r="BC65" s="122">
        <v>17</v>
      </c>
      <c r="BD65" s="122">
        <v>360</v>
      </c>
      <c r="BE65" s="122">
        <v>103</v>
      </c>
      <c r="BF65" s="122">
        <v>1</v>
      </c>
      <c r="BG65" s="122">
        <v>22237</v>
      </c>
      <c r="BH65" s="122">
        <v>1701</v>
      </c>
      <c r="BI65" s="122">
        <v>456</v>
      </c>
      <c r="BJ65" s="115">
        <f t="shared" si="9"/>
        <v>1</v>
      </c>
      <c r="BK65" s="115">
        <f t="shared" si="10"/>
        <v>5403.38</v>
      </c>
      <c r="BL65" s="115">
        <f t="shared" si="11"/>
        <v>3122.54</v>
      </c>
      <c r="BM65" s="115" t="str">
        <f t="shared" si="12"/>
        <v>0</v>
      </c>
      <c r="BN65" s="115" t="str">
        <f t="shared" si="13"/>
        <v>0</v>
      </c>
      <c r="BO65" s="115" t="str">
        <f t="shared" si="14"/>
        <v>0</v>
      </c>
      <c r="BP65" s="115" t="str">
        <f t="shared" si="15"/>
        <v>0</v>
      </c>
      <c r="BQ65" s="115" t="str">
        <f t="shared" si="16"/>
        <v>0</v>
      </c>
      <c r="BR65" s="115" t="str">
        <f t="shared" si="17"/>
        <v>0</v>
      </c>
      <c r="BS65" s="115"/>
      <c r="BT65" s="115">
        <v>1</v>
      </c>
      <c r="BU65" s="122">
        <v>1004</v>
      </c>
      <c r="BV65" s="115">
        <v>380</v>
      </c>
      <c r="BW65" s="115"/>
      <c r="BX65" s="115">
        <f>AP65</f>
        <v>5146</v>
      </c>
      <c r="BY65" s="275">
        <v>1835.41</v>
      </c>
      <c r="BZ65" s="253">
        <v>1050.6400000000001</v>
      </c>
      <c r="CA65" s="354">
        <f>1034-(2.47+2.48+2.41)</f>
        <v>1026.6400000000001</v>
      </c>
      <c r="CB65" s="354">
        <f>(2.47+2.48+2.41)</f>
        <v>7.36</v>
      </c>
      <c r="CC65" s="354">
        <f>8.97+6.28+8.75</f>
        <v>24</v>
      </c>
      <c r="CD65" s="354">
        <v>738.92</v>
      </c>
      <c r="CE65" s="354"/>
      <c r="CF65" s="354"/>
      <c r="CG65" s="354">
        <f>10.41+2.55+7.49+2.79+10.18+2.77+2.3</f>
        <v>38.49</v>
      </c>
      <c r="CH65" s="355"/>
      <c r="CI65" s="356">
        <f t="shared" si="1"/>
        <v>1835.41</v>
      </c>
      <c r="CJ65" s="356">
        <f t="shared" si="0"/>
        <v>1050.6400000000001</v>
      </c>
      <c r="CK65" s="357">
        <v>1004</v>
      </c>
      <c r="CL65" s="358">
        <f t="shared" si="2"/>
        <v>2839.41</v>
      </c>
      <c r="CM65" s="157">
        <v>2404</v>
      </c>
      <c r="CN65" s="275">
        <f t="shared" si="18"/>
        <v>1367</v>
      </c>
      <c r="CO65" s="209">
        <f t="shared" si="40"/>
        <v>1</v>
      </c>
      <c r="CP65" s="235">
        <f t="shared" si="41"/>
        <v>5837</v>
      </c>
      <c r="CQ65" s="209"/>
      <c r="CR65" s="235">
        <f t="shared" si="43"/>
        <v>793</v>
      </c>
      <c r="CS65" s="235">
        <f t="shared" si="44"/>
        <v>1</v>
      </c>
      <c r="CT65" s="235">
        <f t="shared" si="44"/>
        <v>6630</v>
      </c>
      <c r="CU65" s="14">
        <v>68</v>
      </c>
      <c r="CV65" s="284" t="str">
        <f t="shared" si="24"/>
        <v>0</v>
      </c>
      <c r="CW65" s="284" t="str">
        <f t="shared" si="25"/>
        <v>0</v>
      </c>
      <c r="CX65" s="243">
        <f t="shared" si="26"/>
        <v>8.5681554878613024</v>
      </c>
      <c r="CY65" s="216" t="str">
        <f t="shared" si="27"/>
        <v>0</v>
      </c>
      <c r="CZ65" s="216" t="str">
        <f t="shared" si="28"/>
        <v>0</v>
      </c>
      <c r="DA65" s="243">
        <f t="shared" si="29"/>
        <v>10.685566973034341</v>
      </c>
      <c r="DB65" s="305">
        <v>1</v>
      </c>
      <c r="DC65" s="305">
        <v>0</v>
      </c>
      <c r="DD65" s="305">
        <v>0</v>
      </c>
      <c r="DE65" s="305">
        <v>0</v>
      </c>
      <c r="DF65" s="305">
        <v>2</v>
      </c>
      <c r="DG65" s="305">
        <v>0</v>
      </c>
      <c r="DH65" s="305">
        <v>0</v>
      </c>
      <c r="DI65" s="305">
        <v>0</v>
      </c>
      <c r="DJ65" s="306">
        <v>0</v>
      </c>
      <c r="DK65" s="306">
        <v>103</v>
      </c>
      <c r="DL65" s="306">
        <f t="shared" si="45"/>
        <v>95</v>
      </c>
      <c r="DM65" s="306">
        <v>8</v>
      </c>
      <c r="DN65" s="306">
        <v>70</v>
      </c>
      <c r="DO65" s="306">
        <v>54</v>
      </c>
      <c r="DP65" s="306">
        <v>69</v>
      </c>
      <c r="DQ65" s="306">
        <v>85</v>
      </c>
      <c r="DR65" s="306">
        <v>54</v>
      </c>
      <c r="DS65" s="306">
        <v>69</v>
      </c>
      <c r="DT65" s="306">
        <v>85</v>
      </c>
      <c r="DU65" s="306">
        <v>3</v>
      </c>
      <c r="DV65" s="306">
        <v>2</v>
      </c>
      <c r="DW65" s="306">
        <v>4</v>
      </c>
      <c r="DX65" s="306">
        <v>3</v>
      </c>
      <c r="DY65" s="306">
        <v>2</v>
      </c>
      <c r="DZ65" s="306">
        <v>4</v>
      </c>
      <c r="EA65" s="306">
        <v>3</v>
      </c>
      <c r="EB65" s="306">
        <v>103</v>
      </c>
      <c r="EC65" s="306">
        <v>103</v>
      </c>
      <c r="ED65" s="342"/>
      <c r="EE65" s="342"/>
    </row>
    <row r="66" spans="1:138" x14ac:dyDescent="0.2">
      <c r="A66" s="149" t="s">
        <v>142</v>
      </c>
      <c r="B66" s="169">
        <v>60</v>
      </c>
      <c r="C66" s="12" t="s">
        <v>108</v>
      </c>
      <c r="D66" s="13">
        <v>1975</v>
      </c>
      <c r="E66" s="11"/>
      <c r="F66" s="169" t="s">
        <v>21</v>
      </c>
      <c r="G66" s="35">
        <v>1</v>
      </c>
      <c r="H66" s="45">
        <v>9</v>
      </c>
      <c r="I66" s="1" t="s">
        <v>19</v>
      </c>
      <c r="J66" s="122">
        <v>30348</v>
      </c>
      <c r="K66" s="122">
        <v>1037</v>
      </c>
      <c r="L66" s="122">
        <v>1053</v>
      </c>
      <c r="M66" s="122"/>
      <c r="N66" s="122">
        <v>105</v>
      </c>
      <c r="O66" s="122">
        <v>231</v>
      </c>
      <c r="P66" s="122">
        <v>105</v>
      </c>
      <c r="Q66" s="122">
        <v>192</v>
      </c>
      <c r="R66" s="179">
        <v>5534.12</v>
      </c>
      <c r="S66" s="121">
        <v>3225.28</v>
      </c>
      <c r="T66" s="122">
        <f t="shared" si="3"/>
        <v>98</v>
      </c>
      <c r="U66" s="180">
        <f t="shared" si="36"/>
        <v>5214.32</v>
      </c>
      <c r="V66" s="180">
        <f t="shared" si="36"/>
        <v>3044.84</v>
      </c>
      <c r="W66" s="122">
        <v>7</v>
      </c>
      <c r="X66" s="180">
        <v>319.8</v>
      </c>
      <c r="Y66" s="180">
        <v>180.44</v>
      </c>
      <c r="Z66" s="122"/>
      <c r="AA66" s="180"/>
      <c r="AB66" s="180"/>
      <c r="AC66" s="180">
        <f t="shared" si="5"/>
        <v>0</v>
      </c>
      <c r="AD66" s="179">
        <f t="shared" si="6"/>
        <v>0</v>
      </c>
      <c r="AE66" s="271"/>
      <c r="AF66" s="179"/>
      <c r="AG66" s="180"/>
      <c r="AH66" s="180"/>
      <c r="AI66" s="180">
        <f t="shared" si="7"/>
        <v>5534.12</v>
      </c>
      <c r="AJ66" s="122"/>
      <c r="AK66" s="122">
        <v>3</v>
      </c>
      <c r="AL66" s="122">
        <v>3</v>
      </c>
      <c r="AM66" s="122">
        <v>3</v>
      </c>
      <c r="AN66" s="122"/>
      <c r="AO66" s="122">
        <v>3</v>
      </c>
      <c r="AP66" s="122">
        <v>4257</v>
      </c>
      <c r="AQ66" s="138"/>
      <c r="AR66" s="122">
        <f>156+78+145</f>
        <v>379</v>
      </c>
      <c r="AS66" s="122">
        <v>227</v>
      </c>
      <c r="AT66" s="122">
        <v>150</v>
      </c>
      <c r="AU66" s="122">
        <f t="shared" si="38"/>
        <v>6631</v>
      </c>
      <c r="AV66" s="122">
        <v>5837</v>
      </c>
      <c r="AW66" s="122">
        <v>794</v>
      </c>
      <c r="AX66" s="122"/>
      <c r="AY66" s="122">
        <v>233</v>
      </c>
      <c r="AZ66" s="122">
        <v>994</v>
      </c>
      <c r="BA66" s="122">
        <v>994</v>
      </c>
      <c r="BB66" s="122">
        <v>15</v>
      </c>
      <c r="BC66" s="122">
        <v>17</v>
      </c>
      <c r="BD66" s="122">
        <v>360</v>
      </c>
      <c r="BE66" s="122">
        <v>105</v>
      </c>
      <c r="BF66" s="122">
        <v>1</v>
      </c>
      <c r="BG66" s="122">
        <v>22237</v>
      </c>
      <c r="BH66" s="122">
        <v>1701</v>
      </c>
      <c r="BI66" s="122">
        <v>456</v>
      </c>
      <c r="BJ66" s="115">
        <f t="shared" si="9"/>
        <v>1</v>
      </c>
      <c r="BK66" s="115">
        <f t="shared" si="10"/>
        <v>5534.12</v>
      </c>
      <c r="BL66" s="115">
        <f t="shared" si="11"/>
        <v>3225.28</v>
      </c>
      <c r="BM66" s="115" t="str">
        <f t="shared" si="12"/>
        <v>0</v>
      </c>
      <c r="BN66" s="115" t="str">
        <f t="shared" si="13"/>
        <v>0</v>
      </c>
      <c r="BO66" s="115" t="str">
        <f t="shared" si="14"/>
        <v>0</v>
      </c>
      <c r="BP66" s="115" t="str">
        <f t="shared" si="15"/>
        <v>0</v>
      </c>
      <c r="BQ66" s="115" t="str">
        <f t="shared" si="16"/>
        <v>0</v>
      </c>
      <c r="BR66" s="115" t="str">
        <f t="shared" si="17"/>
        <v>0</v>
      </c>
      <c r="BS66" s="115"/>
      <c r="BT66" s="115">
        <v>2</v>
      </c>
      <c r="BU66" s="122">
        <v>994</v>
      </c>
      <c r="BV66" s="115">
        <v>450</v>
      </c>
      <c r="BW66" s="115"/>
      <c r="BX66" s="115">
        <f>AP66</f>
        <v>4257</v>
      </c>
      <c r="BY66" s="275">
        <v>2249.4</v>
      </c>
      <c r="BZ66" s="253">
        <v>1131</v>
      </c>
      <c r="CA66" s="354">
        <f>1138.5-2.5*3</f>
        <v>1131</v>
      </c>
      <c r="CB66" s="354">
        <f>2.5*3+11.4+11.5+11.4</f>
        <v>41.8</v>
      </c>
      <c r="CC66" s="354"/>
      <c r="CD66" s="354">
        <v>993.7</v>
      </c>
      <c r="CE66" s="354">
        <v>14.1</v>
      </c>
      <c r="CF66" s="354">
        <v>2</v>
      </c>
      <c r="CG66" s="354">
        <f>25.6+41.2</f>
        <v>66.800000000000011</v>
      </c>
      <c r="CH66" s="355"/>
      <c r="CI66" s="356">
        <f t="shared" si="1"/>
        <v>2249.4</v>
      </c>
      <c r="CJ66" s="356">
        <f t="shared" si="0"/>
        <v>1131</v>
      </c>
      <c r="CK66" s="357">
        <v>994</v>
      </c>
      <c r="CL66" s="358">
        <f t="shared" si="2"/>
        <v>3243.4</v>
      </c>
      <c r="CM66" s="157">
        <v>2465</v>
      </c>
      <c r="CN66" s="275">
        <f t="shared" si="18"/>
        <v>1428</v>
      </c>
      <c r="CO66" s="209">
        <f t="shared" si="40"/>
        <v>1</v>
      </c>
      <c r="CP66" s="235">
        <f t="shared" si="41"/>
        <v>5837</v>
      </c>
      <c r="CQ66" s="209"/>
      <c r="CR66" s="235">
        <f t="shared" si="43"/>
        <v>794</v>
      </c>
      <c r="CS66" s="235">
        <f t="shared" si="44"/>
        <v>1</v>
      </c>
      <c r="CT66" s="235">
        <f t="shared" si="44"/>
        <v>6631</v>
      </c>
      <c r="CU66" s="14">
        <v>69</v>
      </c>
      <c r="CV66" s="284" t="str">
        <f t="shared" si="24"/>
        <v>0</v>
      </c>
      <c r="CW66" s="284" t="str">
        <f t="shared" si="25"/>
        <v>0</v>
      </c>
      <c r="CX66" s="243">
        <f t="shared" si="26"/>
        <v>5.7786965226630436</v>
      </c>
      <c r="CY66" s="216" t="str">
        <f t="shared" si="27"/>
        <v>0</v>
      </c>
      <c r="CZ66" s="216" t="str">
        <f t="shared" si="28"/>
        <v>0</v>
      </c>
      <c r="DA66" s="243">
        <f t="shared" si="29"/>
        <v>5.7786965226630436</v>
      </c>
      <c r="DB66" s="305">
        <v>1</v>
      </c>
      <c r="DC66" s="305">
        <v>0</v>
      </c>
      <c r="DD66" s="305">
        <v>0</v>
      </c>
      <c r="DE66" s="305">
        <v>0</v>
      </c>
      <c r="DF66" s="305">
        <v>2</v>
      </c>
      <c r="DG66" s="305">
        <v>0</v>
      </c>
      <c r="DH66" s="305">
        <v>0</v>
      </c>
      <c r="DI66" s="305">
        <v>0</v>
      </c>
      <c r="DJ66" s="306">
        <v>0</v>
      </c>
      <c r="DK66" s="306">
        <v>105</v>
      </c>
      <c r="DL66" s="306">
        <f t="shared" si="45"/>
        <v>97</v>
      </c>
      <c r="DM66" s="306">
        <v>8</v>
      </c>
      <c r="DN66" s="306">
        <v>74</v>
      </c>
      <c r="DO66" s="306">
        <v>39</v>
      </c>
      <c r="DP66" s="306">
        <v>97</v>
      </c>
      <c r="DQ66" s="306">
        <v>59</v>
      </c>
      <c r="DR66" s="306">
        <v>39</v>
      </c>
      <c r="DS66" s="306">
        <v>95</v>
      </c>
      <c r="DT66" s="306">
        <v>61</v>
      </c>
      <c r="DU66" s="306">
        <v>5</v>
      </c>
      <c r="DV66" s="306">
        <v>1</v>
      </c>
      <c r="DW66" s="306">
        <v>8</v>
      </c>
      <c r="DX66" s="306">
        <v>1</v>
      </c>
      <c r="DY66" s="306">
        <v>1</v>
      </c>
      <c r="DZ66" s="306">
        <v>8</v>
      </c>
      <c r="EA66" s="306">
        <v>1</v>
      </c>
      <c r="EB66" s="306">
        <v>105</v>
      </c>
      <c r="EC66" s="306">
        <v>105</v>
      </c>
      <c r="ED66" s="342"/>
      <c r="EE66" s="342"/>
    </row>
    <row r="67" spans="1:138" x14ac:dyDescent="0.2">
      <c r="A67" s="149" t="s">
        <v>142</v>
      </c>
      <c r="B67" s="169">
        <v>61</v>
      </c>
      <c r="C67" s="12" t="s">
        <v>156</v>
      </c>
      <c r="D67" s="13">
        <v>1980</v>
      </c>
      <c r="E67" s="11"/>
      <c r="F67" s="169">
        <v>84</v>
      </c>
      <c r="G67" s="35">
        <v>1</v>
      </c>
      <c r="H67" s="45">
        <v>9</v>
      </c>
      <c r="I67" s="1" t="s">
        <v>22</v>
      </c>
      <c r="J67" s="122">
        <v>15209</v>
      </c>
      <c r="K67" s="122">
        <v>779</v>
      </c>
      <c r="L67" s="122"/>
      <c r="M67" s="122">
        <v>580</v>
      </c>
      <c r="N67" s="122">
        <v>64</v>
      </c>
      <c r="O67" s="122">
        <v>128</v>
      </c>
      <c r="P67" s="122">
        <v>64</v>
      </c>
      <c r="Q67" s="122">
        <v>121</v>
      </c>
      <c r="R67" s="179">
        <f>3241.11+0.02</f>
        <v>3241.13</v>
      </c>
      <c r="S67" s="121">
        <v>1929.02</v>
      </c>
      <c r="T67" s="122">
        <f t="shared" si="3"/>
        <v>61</v>
      </c>
      <c r="U67" s="180">
        <f t="shared" si="36"/>
        <v>3108.2200000000003</v>
      </c>
      <c r="V67" s="180">
        <f t="shared" si="36"/>
        <v>1853.12</v>
      </c>
      <c r="W67" s="122">
        <v>3</v>
      </c>
      <c r="X67" s="180">
        <v>132.91</v>
      </c>
      <c r="Y67" s="180">
        <v>75.900000000000006</v>
      </c>
      <c r="Z67" s="122"/>
      <c r="AA67" s="180"/>
      <c r="AB67" s="180"/>
      <c r="AC67" s="180">
        <f t="shared" si="5"/>
        <v>410.9</v>
      </c>
      <c r="AD67" s="179">
        <f t="shared" si="6"/>
        <v>248</v>
      </c>
      <c r="AE67" s="271"/>
      <c r="AF67" s="179">
        <v>248</v>
      </c>
      <c r="AG67" s="180">
        <v>162.9</v>
      </c>
      <c r="AH67" s="180"/>
      <c r="AI67" s="180">
        <f t="shared" si="7"/>
        <v>3652.03</v>
      </c>
      <c r="AJ67" s="122"/>
      <c r="AK67" s="122">
        <v>2</v>
      </c>
      <c r="AL67" s="122">
        <v>2</v>
      </c>
      <c r="AM67" s="122">
        <v>2</v>
      </c>
      <c r="AN67" s="122"/>
      <c r="AO67" s="122">
        <v>2</v>
      </c>
      <c r="AP67" s="122">
        <v>3130</v>
      </c>
      <c r="AQ67" s="138"/>
      <c r="AR67" s="122">
        <f>704+37+202</f>
        <v>943</v>
      </c>
      <c r="AS67" s="122">
        <v>176</v>
      </c>
      <c r="AT67" s="122">
        <v>108</v>
      </c>
      <c r="AU67" s="122">
        <f t="shared" si="38"/>
        <v>4411</v>
      </c>
      <c r="AV67" s="122">
        <v>3963</v>
      </c>
      <c r="AW67" s="122">
        <v>448</v>
      </c>
      <c r="AX67" s="122">
        <v>1752</v>
      </c>
      <c r="AY67" s="122">
        <v>164</v>
      </c>
      <c r="AZ67" s="122">
        <v>580</v>
      </c>
      <c r="BA67" s="122">
        <v>580</v>
      </c>
      <c r="BB67" s="122">
        <v>32</v>
      </c>
      <c r="BC67" s="122">
        <v>12</v>
      </c>
      <c r="BD67" s="122">
        <v>200</v>
      </c>
      <c r="BE67" s="122">
        <v>64</v>
      </c>
      <c r="BF67" s="122">
        <v>1</v>
      </c>
      <c r="BG67" s="122">
        <v>8560</v>
      </c>
      <c r="BH67" s="122">
        <v>944</v>
      </c>
      <c r="BI67" s="122">
        <v>294</v>
      </c>
      <c r="BJ67" s="115" t="str">
        <f t="shared" si="9"/>
        <v>0</v>
      </c>
      <c r="BK67" s="115" t="str">
        <f t="shared" si="10"/>
        <v>0</v>
      </c>
      <c r="BL67" s="115" t="str">
        <f t="shared" si="11"/>
        <v>0</v>
      </c>
      <c r="BM67" s="115">
        <f t="shared" si="12"/>
        <v>1</v>
      </c>
      <c r="BN67" s="115">
        <f t="shared" si="13"/>
        <v>3241.13</v>
      </c>
      <c r="BO67" s="115">
        <f t="shared" si="14"/>
        <v>1929.02</v>
      </c>
      <c r="BP67" s="115" t="str">
        <f t="shared" si="15"/>
        <v>0</v>
      </c>
      <c r="BQ67" s="115" t="str">
        <f t="shared" si="16"/>
        <v>0</v>
      </c>
      <c r="BR67" s="115" t="str">
        <f t="shared" si="17"/>
        <v>0</v>
      </c>
      <c r="BS67" s="115">
        <v>2</v>
      </c>
      <c r="BT67" s="115"/>
      <c r="BU67" s="122">
        <v>580</v>
      </c>
      <c r="BV67" s="115">
        <v>196</v>
      </c>
      <c r="BW67" s="115"/>
      <c r="BX67" s="115"/>
      <c r="BY67" s="275">
        <v>1169.4099999999999</v>
      </c>
      <c r="BZ67" s="253">
        <v>530.03</v>
      </c>
      <c r="CA67" s="354">
        <f>536.26-(3.09+3.14)</f>
        <v>530.03</v>
      </c>
      <c r="CB67" s="354">
        <f>3.09+3.14+20.08</f>
        <v>26.31</v>
      </c>
      <c r="CC67" s="354"/>
      <c r="CD67" s="354">
        <v>579.79999999999995</v>
      </c>
      <c r="CE67" s="354">
        <v>16.060000000000002</v>
      </c>
      <c r="CF67" s="354">
        <v>7.46</v>
      </c>
      <c r="CG67" s="354">
        <v>9.75</v>
      </c>
      <c r="CH67" s="355"/>
      <c r="CI67" s="356">
        <f t="shared" si="1"/>
        <v>1169.4099999999999</v>
      </c>
      <c r="CJ67" s="356">
        <f t="shared" si="0"/>
        <v>530.03</v>
      </c>
      <c r="CK67" s="357">
        <v>580</v>
      </c>
      <c r="CL67" s="358">
        <f t="shared" si="2"/>
        <v>1749.4099999999999</v>
      </c>
      <c r="CM67" s="157">
        <v>1442</v>
      </c>
      <c r="CN67" s="275">
        <f t="shared" si="18"/>
        <v>663</v>
      </c>
      <c r="CO67" s="209">
        <f t="shared" si="40"/>
        <v>1</v>
      </c>
      <c r="CP67" s="235">
        <f t="shared" si="41"/>
        <v>3963</v>
      </c>
      <c r="CQ67" s="209"/>
      <c r="CR67" s="235">
        <f t="shared" si="43"/>
        <v>448</v>
      </c>
      <c r="CS67" s="235">
        <f t="shared" si="44"/>
        <v>1</v>
      </c>
      <c r="CT67" s="235">
        <f t="shared" si="44"/>
        <v>4411</v>
      </c>
      <c r="CU67" s="14">
        <v>47</v>
      </c>
      <c r="CV67" s="284" t="str">
        <f t="shared" si="24"/>
        <v>0</v>
      </c>
      <c r="CW67" s="284" t="str">
        <f t="shared" si="25"/>
        <v>0</v>
      </c>
      <c r="CX67" s="243">
        <f t="shared" si="26"/>
        <v>4.100730300851863</v>
      </c>
      <c r="CY67" s="216" t="str">
        <f t="shared" si="27"/>
        <v>0</v>
      </c>
      <c r="CZ67" s="216" t="str">
        <f t="shared" si="28"/>
        <v>0</v>
      </c>
      <c r="DA67" s="243">
        <f t="shared" si="29"/>
        <v>10.430089566624588</v>
      </c>
      <c r="DB67" s="305">
        <v>1</v>
      </c>
      <c r="DC67" s="305">
        <v>0</v>
      </c>
      <c r="DD67" s="305">
        <v>0</v>
      </c>
      <c r="DE67" s="305">
        <v>0</v>
      </c>
      <c r="DF67" s="305">
        <v>2</v>
      </c>
      <c r="DG67" s="305">
        <v>0</v>
      </c>
      <c r="DH67" s="305">
        <v>0</v>
      </c>
      <c r="DI67" s="305">
        <v>0</v>
      </c>
      <c r="DJ67" s="306">
        <v>0</v>
      </c>
      <c r="DK67" s="306">
        <v>64</v>
      </c>
      <c r="DL67" s="306">
        <f t="shared" si="45"/>
        <v>60</v>
      </c>
      <c r="DM67" s="306">
        <v>4</v>
      </c>
      <c r="DN67" s="306">
        <v>45</v>
      </c>
      <c r="DO67" s="306">
        <v>36</v>
      </c>
      <c r="DP67" s="306">
        <v>35</v>
      </c>
      <c r="DQ67" s="306">
        <v>45</v>
      </c>
      <c r="DR67" s="306">
        <v>37</v>
      </c>
      <c r="DS67" s="306">
        <v>33</v>
      </c>
      <c r="DT67" s="306">
        <v>47</v>
      </c>
      <c r="DU67" s="306">
        <v>4</v>
      </c>
      <c r="DV67" s="306">
        <v>1</v>
      </c>
      <c r="DW67" s="306">
        <v>4</v>
      </c>
      <c r="DX67" s="306">
        <v>1</v>
      </c>
      <c r="DY67" s="306">
        <v>1</v>
      </c>
      <c r="DZ67" s="306">
        <v>4</v>
      </c>
      <c r="EA67" s="306">
        <v>1</v>
      </c>
      <c r="EB67" s="306">
        <v>64</v>
      </c>
      <c r="EC67" s="306">
        <v>64</v>
      </c>
      <c r="ED67" s="342"/>
      <c r="EE67" s="342"/>
    </row>
    <row r="68" spans="1:138" x14ac:dyDescent="0.2">
      <c r="A68" s="149" t="s">
        <v>142</v>
      </c>
      <c r="B68" s="169">
        <v>62</v>
      </c>
      <c r="C68" s="12" t="s">
        <v>109</v>
      </c>
      <c r="D68" s="13">
        <v>1976</v>
      </c>
      <c r="E68" s="11"/>
      <c r="F68" s="169">
        <v>84</v>
      </c>
      <c r="G68" s="35">
        <v>1</v>
      </c>
      <c r="H68" s="45">
        <v>9</v>
      </c>
      <c r="I68" s="1" t="s">
        <v>22</v>
      </c>
      <c r="J68" s="122">
        <v>29804</v>
      </c>
      <c r="K68" s="122">
        <v>1245</v>
      </c>
      <c r="L68" s="122"/>
      <c r="M68" s="122">
        <v>1183</v>
      </c>
      <c r="N68" s="122">
        <v>143</v>
      </c>
      <c r="O68" s="122">
        <v>319</v>
      </c>
      <c r="P68" s="122">
        <v>143</v>
      </c>
      <c r="Q68" s="122">
        <v>306</v>
      </c>
      <c r="R68" s="179">
        <v>7619.77</v>
      </c>
      <c r="S68" s="121">
        <v>4550.45</v>
      </c>
      <c r="T68" s="122">
        <f t="shared" si="3"/>
        <v>132</v>
      </c>
      <c r="U68" s="180">
        <f t="shared" si="36"/>
        <v>7021.81</v>
      </c>
      <c r="V68" s="180">
        <f t="shared" si="36"/>
        <v>4193.82</v>
      </c>
      <c r="W68" s="122">
        <v>11</v>
      </c>
      <c r="X68" s="180">
        <v>597.96</v>
      </c>
      <c r="Y68" s="180">
        <v>356.63</v>
      </c>
      <c r="Z68" s="122"/>
      <c r="AA68" s="180"/>
      <c r="AB68" s="180"/>
      <c r="AC68" s="180">
        <f t="shared" si="5"/>
        <v>94.5</v>
      </c>
      <c r="AD68" s="179">
        <f t="shared" si="6"/>
        <v>94.5</v>
      </c>
      <c r="AE68" s="271"/>
      <c r="AF68" s="179">
        <v>94.5</v>
      </c>
      <c r="AG68" s="180"/>
      <c r="AH68" s="180"/>
      <c r="AI68" s="180">
        <f t="shared" si="7"/>
        <v>7714.27</v>
      </c>
      <c r="AJ68" s="122"/>
      <c r="AK68" s="122">
        <v>4</v>
      </c>
      <c r="AL68" s="122">
        <v>4</v>
      </c>
      <c r="AM68" s="122">
        <v>4</v>
      </c>
      <c r="AN68" s="122"/>
      <c r="AO68" s="122">
        <v>1</v>
      </c>
      <c r="AP68" s="122">
        <v>5585</v>
      </c>
      <c r="AQ68" s="138"/>
      <c r="AR68" s="122">
        <f>164+82+220</f>
        <v>466</v>
      </c>
      <c r="AS68" s="122">
        <v>330</v>
      </c>
      <c r="AT68" s="122">
        <v>216</v>
      </c>
      <c r="AU68" s="122">
        <f t="shared" si="38"/>
        <v>8548</v>
      </c>
      <c r="AV68" s="122">
        <v>7516</v>
      </c>
      <c r="AW68" s="122">
        <v>1032</v>
      </c>
      <c r="AX68" s="122">
        <v>3510</v>
      </c>
      <c r="AY68" s="122">
        <v>316</v>
      </c>
      <c r="AZ68" s="122">
        <v>1183</v>
      </c>
      <c r="BA68" s="122">
        <v>1183</v>
      </c>
      <c r="BB68" s="122">
        <v>64</v>
      </c>
      <c r="BC68" s="122">
        <v>24</v>
      </c>
      <c r="BD68" s="122">
        <v>460</v>
      </c>
      <c r="BE68" s="122">
        <v>143</v>
      </c>
      <c r="BF68" s="122">
        <v>1</v>
      </c>
      <c r="BG68" s="122">
        <v>17120</v>
      </c>
      <c r="BH68" s="122">
        <v>1888</v>
      </c>
      <c r="BI68" s="122">
        <v>648</v>
      </c>
      <c r="BJ68" s="115" t="str">
        <f t="shared" si="9"/>
        <v>0</v>
      </c>
      <c r="BK68" s="115" t="str">
        <f t="shared" si="10"/>
        <v>0</v>
      </c>
      <c r="BL68" s="115" t="str">
        <f t="shared" si="11"/>
        <v>0</v>
      </c>
      <c r="BM68" s="115">
        <f t="shared" si="12"/>
        <v>1</v>
      </c>
      <c r="BN68" s="115">
        <f t="shared" si="13"/>
        <v>7619.77</v>
      </c>
      <c r="BO68" s="115">
        <f t="shared" si="14"/>
        <v>4550.45</v>
      </c>
      <c r="BP68" s="115" t="str">
        <f t="shared" si="15"/>
        <v>0</v>
      </c>
      <c r="BQ68" s="115" t="str">
        <f t="shared" si="16"/>
        <v>0</v>
      </c>
      <c r="BR68" s="115" t="str">
        <f t="shared" si="17"/>
        <v>0</v>
      </c>
      <c r="BS68" s="115">
        <v>2</v>
      </c>
      <c r="BT68" s="115"/>
      <c r="BU68" s="122">
        <v>1183</v>
      </c>
      <c r="BV68" s="115">
        <v>56</v>
      </c>
      <c r="BW68" s="115"/>
      <c r="BX68" s="115"/>
      <c r="BY68" s="275">
        <v>2400.7199999999998</v>
      </c>
      <c r="BZ68" s="253">
        <v>1148.31</v>
      </c>
      <c r="CA68" s="354">
        <v>1123.06</v>
      </c>
      <c r="CB68" s="354">
        <f>8.67+35.95</f>
        <v>44.620000000000005</v>
      </c>
      <c r="CC68" s="354">
        <f>7.65+8.99+8.61</f>
        <v>25.25</v>
      </c>
      <c r="CD68" s="354">
        <v>1182.69</v>
      </c>
      <c r="CE68" s="354"/>
      <c r="CF68" s="354"/>
      <c r="CG68" s="354">
        <f>6.22+6.19+6.31+6.38</f>
        <v>25.099999999999998</v>
      </c>
      <c r="CH68" s="355"/>
      <c r="CI68" s="356">
        <f t="shared" si="1"/>
        <v>2400.7199999999998</v>
      </c>
      <c r="CJ68" s="356">
        <f t="shared" si="0"/>
        <v>1148.31</v>
      </c>
      <c r="CK68" s="357">
        <v>1183</v>
      </c>
      <c r="CL68" s="358">
        <f t="shared" si="2"/>
        <v>3583.72</v>
      </c>
      <c r="CM68" s="157">
        <v>3386</v>
      </c>
      <c r="CN68" s="275">
        <f t="shared" si="18"/>
        <v>2141</v>
      </c>
      <c r="CO68" s="209">
        <f t="shared" si="40"/>
        <v>1</v>
      </c>
      <c r="CP68" s="235">
        <f t="shared" si="41"/>
        <v>7516</v>
      </c>
      <c r="CQ68" s="209"/>
      <c r="CR68" s="235">
        <f t="shared" si="43"/>
        <v>1032</v>
      </c>
      <c r="CS68" s="235">
        <f t="shared" si="44"/>
        <v>1</v>
      </c>
      <c r="CT68" s="235">
        <f t="shared" si="44"/>
        <v>8548</v>
      </c>
      <c r="CU68" s="14">
        <v>51</v>
      </c>
      <c r="CV68" s="284" t="str">
        <f t="shared" si="24"/>
        <v>0</v>
      </c>
      <c r="CW68" s="284" t="str">
        <f t="shared" si="25"/>
        <v>0</v>
      </c>
      <c r="CX68" s="243">
        <f t="shared" si="26"/>
        <v>7.8474809607114127</v>
      </c>
      <c r="CY68" s="216" t="str">
        <f t="shared" si="27"/>
        <v>0</v>
      </c>
      <c r="CZ68" s="216" t="str">
        <f t="shared" si="28"/>
        <v>0</v>
      </c>
      <c r="DA68" s="243">
        <f t="shared" si="29"/>
        <v>8.9763516184940375</v>
      </c>
      <c r="DB68" s="305">
        <v>1</v>
      </c>
      <c r="DC68" s="305">
        <v>0</v>
      </c>
      <c r="DD68" s="305">
        <v>0</v>
      </c>
      <c r="DE68" s="305">
        <v>0</v>
      </c>
      <c r="DF68" s="305">
        <v>2</v>
      </c>
      <c r="DG68" s="305">
        <v>0</v>
      </c>
      <c r="DH68" s="305">
        <v>0</v>
      </c>
      <c r="DI68" s="305">
        <v>0</v>
      </c>
      <c r="DJ68" s="306">
        <v>0</v>
      </c>
      <c r="DK68" s="306">
        <v>143</v>
      </c>
      <c r="DL68" s="306">
        <f t="shared" si="45"/>
        <v>131</v>
      </c>
      <c r="DM68" s="306">
        <v>12</v>
      </c>
      <c r="DN68" s="306">
        <v>97</v>
      </c>
      <c r="DO68" s="306">
        <v>65</v>
      </c>
      <c r="DP68" s="306">
        <v>106</v>
      </c>
      <c r="DQ68" s="306">
        <v>89</v>
      </c>
      <c r="DR68" s="306">
        <v>67</v>
      </c>
      <c r="DS68" s="306">
        <v>104</v>
      </c>
      <c r="DT68" s="306">
        <v>91</v>
      </c>
      <c r="DU68" s="306">
        <v>6</v>
      </c>
      <c r="DV68" s="306">
        <v>5</v>
      </c>
      <c r="DW68" s="306">
        <v>7</v>
      </c>
      <c r="DX68" s="306">
        <v>7</v>
      </c>
      <c r="DY68" s="306">
        <v>5</v>
      </c>
      <c r="DZ68" s="306">
        <v>7</v>
      </c>
      <c r="EA68" s="306">
        <v>7</v>
      </c>
      <c r="EB68" s="306">
        <v>143</v>
      </c>
      <c r="EC68" s="306">
        <v>143</v>
      </c>
      <c r="ED68" s="342"/>
      <c r="EE68" s="342"/>
    </row>
    <row r="69" spans="1:138" x14ac:dyDescent="0.2">
      <c r="A69" s="149" t="s">
        <v>142</v>
      </c>
      <c r="B69" s="169">
        <v>63</v>
      </c>
      <c r="C69" s="12" t="s">
        <v>110</v>
      </c>
      <c r="D69" s="13">
        <v>1975</v>
      </c>
      <c r="E69" s="11"/>
      <c r="F69" s="169" t="s">
        <v>21</v>
      </c>
      <c r="G69" s="35">
        <v>1</v>
      </c>
      <c r="H69" s="45">
        <v>9</v>
      </c>
      <c r="I69" s="1" t="s">
        <v>19</v>
      </c>
      <c r="J69" s="122">
        <v>31162</v>
      </c>
      <c r="K69" s="122">
        <v>1140</v>
      </c>
      <c r="L69" s="122">
        <v>1131</v>
      </c>
      <c r="M69" s="122"/>
      <c r="N69" s="122">
        <v>96</v>
      </c>
      <c r="O69" s="122">
        <v>208</v>
      </c>
      <c r="P69" s="122">
        <v>96</v>
      </c>
      <c r="Q69" s="122">
        <v>191</v>
      </c>
      <c r="R69" s="179">
        <f>5043.79-0.02</f>
        <v>5043.7699999999995</v>
      </c>
      <c r="S69" s="121">
        <v>2907.79</v>
      </c>
      <c r="T69" s="122">
        <f t="shared" si="3"/>
        <v>87</v>
      </c>
      <c r="U69" s="180">
        <f t="shared" si="36"/>
        <v>4508.8799999999992</v>
      </c>
      <c r="V69" s="180">
        <f t="shared" si="36"/>
        <v>2602.9</v>
      </c>
      <c r="W69" s="122">
        <v>9</v>
      </c>
      <c r="X69" s="180">
        <v>534.89</v>
      </c>
      <c r="Y69" s="180">
        <v>304.89</v>
      </c>
      <c r="Z69" s="122"/>
      <c r="AA69" s="180"/>
      <c r="AB69" s="180"/>
      <c r="AC69" s="180">
        <f t="shared" si="5"/>
        <v>541.11</v>
      </c>
      <c r="AD69" s="179">
        <f t="shared" si="6"/>
        <v>541.11</v>
      </c>
      <c r="AE69" s="271"/>
      <c r="AF69" s="179">
        <f>541.07-190.46+190.46+0.04</f>
        <v>541.11</v>
      </c>
      <c r="AG69" s="180"/>
      <c r="AH69" s="180"/>
      <c r="AI69" s="180">
        <f t="shared" si="7"/>
        <v>5584.8799999999992</v>
      </c>
      <c r="AJ69" s="122"/>
      <c r="AK69" s="122">
        <v>3</v>
      </c>
      <c r="AL69" s="122">
        <v>3</v>
      </c>
      <c r="AM69" s="122">
        <v>3</v>
      </c>
      <c r="AN69" s="122"/>
      <c r="AO69" s="122">
        <v>3</v>
      </c>
      <c r="AP69" s="122">
        <v>4757</v>
      </c>
      <c r="AQ69" s="138"/>
      <c r="AR69" s="122">
        <f>260+130+224</f>
        <v>614</v>
      </c>
      <c r="AS69" s="122">
        <v>183</v>
      </c>
      <c r="AT69" s="122">
        <v>150</v>
      </c>
      <c r="AU69" s="122">
        <f t="shared" si="38"/>
        <v>6616</v>
      </c>
      <c r="AV69" s="122">
        <v>5708</v>
      </c>
      <c r="AW69" s="122">
        <v>908</v>
      </c>
      <c r="AX69" s="122"/>
      <c r="AY69" s="122">
        <v>218</v>
      </c>
      <c r="AZ69" s="122">
        <v>1067</v>
      </c>
      <c r="BA69" s="122">
        <v>1067</v>
      </c>
      <c r="BB69" s="122">
        <v>15</v>
      </c>
      <c r="BC69" s="122">
        <v>17</v>
      </c>
      <c r="BD69" s="122">
        <v>300</v>
      </c>
      <c r="BE69" s="122">
        <v>96</v>
      </c>
      <c r="BF69" s="122">
        <v>1</v>
      </c>
      <c r="BG69" s="122">
        <v>22237</v>
      </c>
      <c r="BH69" s="122">
        <v>1701</v>
      </c>
      <c r="BI69" s="122">
        <v>456</v>
      </c>
      <c r="BJ69" s="115">
        <f t="shared" si="9"/>
        <v>1</v>
      </c>
      <c r="BK69" s="115">
        <f t="shared" si="10"/>
        <v>5043.7699999999995</v>
      </c>
      <c r="BL69" s="115">
        <f t="shared" si="11"/>
        <v>2907.79</v>
      </c>
      <c r="BM69" s="115" t="str">
        <f t="shared" si="12"/>
        <v>0</v>
      </c>
      <c r="BN69" s="115" t="str">
        <f t="shared" si="13"/>
        <v>0</v>
      </c>
      <c r="BO69" s="115" t="str">
        <f t="shared" si="14"/>
        <v>0</v>
      </c>
      <c r="BP69" s="115" t="str">
        <f t="shared" si="15"/>
        <v>0</v>
      </c>
      <c r="BQ69" s="115" t="str">
        <f t="shared" si="16"/>
        <v>0</v>
      </c>
      <c r="BR69" s="115" t="str">
        <f t="shared" si="17"/>
        <v>0</v>
      </c>
      <c r="BS69" s="115">
        <v>2</v>
      </c>
      <c r="BT69" s="115"/>
      <c r="BU69" s="122">
        <v>1067</v>
      </c>
      <c r="BV69" s="115">
        <v>380</v>
      </c>
      <c r="BW69" s="115"/>
      <c r="BX69" s="115">
        <f>AP69</f>
        <v>4757</v>
      </c>
      <c r="BY69" s="275">
        <v>2174.09</v>
      </c>
      <c r="BZ69" s="253">
        <v>1038.07</v>
      </c>
      <c r="CA69" s="354">
        <v>1038.07</v>
      </c>
      <c r="CB69" s="354">
        <f>2.89*3</f>
        <v>8.67</v>
      </c>
      <c r="CC69" s="354"/>
      <c r="CD69" s="354">
        <v>1067.2</v>
      </c>
      <c r="CE69" s="354">
        <v>28.23</v>
      </c>
      <c r="CF69" s="354"/>
      <c r="CG69" s="354">
        <v>31.92</v>
      </c>
      <c r="CH69" s="355"/>
      <c r="CI69" s="356">
        <f t="shared" si="1"/>
        <v>2174.09</v>
      </c>
      <c r="CJ69" s="356">
        <f t="shared" si="0"/>
        <v>1038.07</v>
      </c>
      <c r="CK69" s="357">
        <v>1067</v>
      </c>
      <c r="CL69" s="358">
        <f t="shared" si="2"/>
        <v>3241.09</v>
      </c>
      <c r="CM69" s="157">
        <v>2246</v>
      </c>
      <c r="CN69" s="275">
        <f t="shared" si="18"/>
        <v>1106</v>
      </c>
      <c r="CO69" s="209">
        <f t="shared" si="40"/>
        <v>1</v>
      </c>
      <c r="CP69" s="235">
        <f t="shared" si="41"/>
        <v>5708</v>
      </c>
      <c r="CQ69" s="209"/>
      <c r="CR69" s="235">
        <f t="shared" si="43"/>
        <v>908</v>
      </c>
      <c r="CS69" s="235">
        <f t="shared" si="44"/>
        <v>1</v>
      </c>
      <c r="CT69" s="235">
        <f t="shared" si="44"/>
        <v>6616</v>
      </c>
      <c r="CU69" s="14">
        <v>60</v>
      </c>
      <c r="CV69" s="284" t="str">
        <f t="shared" si="24"/>
        <v>0</v>
      </c>
      <c r="CW69" s="284" t="str">
        <f t="shared" si="25"/>
        <v>0</v>
      </c>
      <c r="CX69" s="243">
        <f t="shared" si="26"/>
        <v>10.604964143884436</v>
      </c>
      <c r="CY69" s="216" t="str">
        <f t="shared" si="27"/>
        <v>0</v>
      </c>
      <c r="CZ69" s="216" t="str">
        <f t="shared" si="28"/>
        <v>0</v>
      </c>
      <c r="DA69" s="243">
        <f t="shared" si="29"/>
        <v>19.266304737075821</v>
      </c>
      <c r="DB69" s="305">
        <v>1</v>
      </c>
      <c r="DC69" s="305">
        <v>0</v>
      </c>
      <c r="DD69" s="305">
        <v>0</v>
      </c>
      <c r="DE69" s="305">
        <v>0</v>
      </c>
      <c r="DF69" s="305">
        <v>2</v>
      </c>
      <c r="DG69" s="305">
        <v>0</v>
      </c>
      <c r="DH69" s="305">
        <v>0</v>
      </c>
      <c r="DI69" s="305">
        <v>0</v>
      </c>
      <c r="DJ69" s="306">
        <v>0</v>
      </c>
      <c r="DK69" s="306">
        <v>96</v>
      </c>
      <c r="DL69" s="306">
        <f t="shared" si="45"/>
        <v>85</v>
      </c>
      <c r="DM69" s="306">
        <v>11</v>
      </c>
      <c r="DN69" s="306">
        <v>65</v>
      </c>
      <c r="DO69" s="306">
        <v>41</v>
      </c>
      <c r="DP69" s="306">
        <v>79</v>
      </c>
      <c r="DQ69" s="306">
        <v>65</v>
      </c>
      <c r="DR69" s="306">
        <v>41</v>
      </c>
      <c r="DS69" s="306">
        <v>78</v>
      </c>
      <c r="DT69" s="306">
        <v>66</v>
      </c>
      <c r="DU69" s="306">
        <v>7</v>
      </c>
      <c r="DV69" s="306">
        <v>4</v>
      </c>
      <c r="DW69" s="306">
        <v>8</v>
      </c>
      <c r="DX69" s="306">
        <v>6</v>
      </c>
      <c r="DY69" s="306">
        <v>4</v>
      </c>
      <c r="DZ69" s="306">
        <v>8</v>
      </c>
      <c r="EA69" s="306">
        <v>6</v>
      </c>
      <c r="EB69" s="306">
        <v>96</v>
      </c>
      <c r="EC69" s="306">
        <v>96</v>
      </c>
      <c r="ED69" s="342"/>
      <c r="EE69" s="342"/>
    </row>
    <row r="70" spans="1:138" s="52" customFormat="1" x14ac:dyDescent="0.2">
      <c r="A70" s="149" t="s">
        <v>142</v>
      </c>
      <c r="B70" s="169">
        <v>64</v>
      </c>
      <c r="C70" s="12" t="s">
        <v>157</v>
      </c>
      <c r="D70" s="13">
        <v>1986</v>
      </c>
      <c r="E70" s="11"/>
      <c r="F70" s="169" t="s">
        <v>24</v>
      </c>
      <c r="G70" s="35">
        <v>1</v>
      </c>
      <c r="H70" s="45">
        <v>9</v>
      </c>
      <c r="I70" s="1" t="s">
        <v>22</v>
      </c>
      <c r="J70" s="122">
        <v>10524</v>
      </c>
      <c r="K70" s="122">
        <v>408</v>
      </c>
      <c r="L70" s="122"/>
      <c r="M70" s="122">
        <v>382</v>
      </c>
      <c r="N70" s="122">
        <v>35</v>
      </c>
      <c r="O70" s="122">
        <v>107</v>
      </c>
      <c r="P70" s="122">
        <v>36</v>
      </c>
      <c r="Q70" s="122">
        <v>86</v>
      </c>
      <c r="R70" s="179">
        <v>2428.5</v>
      </c>
      <c r="S70" s="121">
        <v>1569.7</v>
      </c>
      <c r="T70" s="122">
        <f t="shared" si="3"/>
        <v>32</v>
      </c>
      <c r="U70" s="180">
        <f t="shared" si="36"/>
        <v>2179.8000000000002</v>
      </c>
      <c r="V70" s="180">
        <f t="shared" si="36"/>
        <v>1403.0700000000002</v>
      </c>
      <c r="W70" s="122">
        <v>3</v>
      </c>
      <c r="X70" s="180">
        <v>248.7</v>
      </c>
      <c r="Y70" s="180">
        <v>166.63</v>
      </c>
      <c r="Z70" s="122"/>
      <c r="AA70" s="180"/>
      <c r="AB70" s="180"/>
      <c r="AC70" s="180">
        <f t="shared" si="5"/>
        <v>0</v>
      </c>
      <c r="AD70" s="179">
        <f t="shared" si="6"/>
        <v>0</v>
      </c>
      <c r="AE70" s="271"/>
      <c r="AF70" s="180"/>
      <c r="AG70" s="180"/>
      <c r="AH70" s="180"/>
      <c r="AI70" s="180">
        <f t="shared" si="7"/>
        <v>2428.5</v>
      </c>
      <c r="AJ70" s="122"/>
      <c r="AK70" s="122">
        <v>1</v>
      </c>
      <c r="AL70" s="122">
        <v>1</v>
      </c>
      <c r="AM70" s="122">
        <v>1</v>
      </c>
      <c r="AN70" s="122"/>
      <c r="AO70" s="122">
        <v>1</v>
      </c>
      <c r="AP70" s="122">
        <v>2264</v>
      </c>
      <c r="AQ70" s="35"/>
      <c r="AR70" s="122">
        <f>36+18+72</f>
        <v>126</v>
      </c>
      <c r="AS70" s="122">
        <v>190</v>
      </c>
      <c r="AT70" s="122">
        <v>54</v>
      </c>
      <c r="AU70" s="122">
        <f t="shared" si="38"/>
        <v>2137</v>
      </c>
      <c r="AV70" s="122">
        <v>1715</v>
      </c>
      <c r="AW70" s="122">
        <v>422</v>
      </c>
      <c r="AX70" s="122">
        <v>1210</v>
      </c>
      <c r="AY70" s="122">
        <v>88</v>
      </c>
      <c r="AZ70" s="122">
        <v>382</v>
      </c>
      <c r="BA70" s="122">
        <v>382</v>
      </c>
      <c r="BB70" s="122">
        <v>18</v>
      </c>
      <c r="BC70" s="122">
        <v>24</v>
      </c>
      <c r="BD70" s="122">
        <v>150</v>
      </c>
      <c r="BE70" s="122">
        <v>35</v>
      </c>
      <c r="BF70" s="122">
        <v>1</v>
      </c>
      <c r="BG70" s="122">
        <v>4131</v>
      </c>
      <c r="BH70" s="122">
        <v>472</v>
      </c>
      <c r="BI70" s="122">
        <v>132</v>
      </c>
      <c r="BJ70" s="115" t="str">
        <f t="shared" si="9"/>
        <v>0</v>
      </c>
      <c r="BK70" s="115" t="str">
        <f t="shared" si="10"/>
        <v>0</v>
      </c>
      <c r="BL70" s="115" t="str">
        <f t="shared" si="11"/>
        <v>0</v>
      </c>
      <c r="BM70" s="115">
        <f t="shared" si="12"/>
        <v>1</v>
      </c>
      <c r="BN70" s="115">
        <f t="shared" si="13"/>
        <v>2428.5</v>
      </c>
      <c r="BO70" s="115">
        <f t="shared" si="14"/>
        <v>1569.7</v>
      </c>
      <c r="BP70" s="115" t="str">
        <f t="shared" si="15"/>
        <v>0</v>
      </c>
      <c r="BQ70" s="115" t="str">
        <f t="shared" si="16"/>
        <v>0</v>
      </c>
      <c r="BR70" s="115" t="str">
        <f t="shared" si="17"/>
        <v>0</v>
      </c>
      <c r="BS70" s="115">
        <v>1</v>
      </c>
      <c r="BT70" s="115"/>
      <c r="BU70" s="122">
        <v>382</v>
      </c>
      <c r="BV70" s="115">
        <v>18</v>
      </c>
      <c r="BW70" s="115"/>
      <c r="BX70" s="115"/>
      <c r="BY70" s="275">
        <v>588.49</v>
      </c>
      <c r="BZ70" s="253">
        <v>181.2</v>
      </c>
      <c r="CA70" s="354">
        <f>158.7+22.5</f>
        <v>181.2</v>
      </c>
      <c r="CB70" s="354">
        <v>2.9</v>
      </c>
      <c r="CC70" s="354"/>
      <c r="CD70" s="354">
        <v>381.99</v>
      </c>
      <c r="CE70" s="354">
        <v>12.9</v>
      </c>
      <c r="CF70" s="354">
        <v>4.5999999999999996</v>
      </c>
      <c r="CG70" s="354">
        <v>4.9000000000000004</v>
      </c>
      <c r="CH70" s="355"/>
      <c r="CI70" s="356">
        <f t="shared" si="1"/>
        <v>588.49</v>
      </c>
      <c r="CJ70" s="356">
        <f t="shared" si="0"/>
        <v>181.2</v>
      </c>
      <c r="CK70" s="357">
        <v>382</v>
      </c>
      <c r="CL70" s="358">
        <f t="shared" si="2"/>
        <v>970.49</v>
      </c>
      <c r="CM70" s="157">
        <v>942</v>
      </c>
      <c r="CN70" s="275">
        <f t="shared" si="18"/>
        <v>534</v>
      </c>
      <c r="CO70" s="209">
        <f t="shared" si="40"/>
        <v>1</v>
      </c>
      <c r="CP70" s="235">
        <f t="shared" si="41"/>
        <v>1715</v>
      </c>
      <c r="CQ70" s="209"/>
      <c r="CR70" s="235">
        <f t="shared" si="43"/>
        <v>422</v>
      </c>
      <c r="CS70" s="235">
        <f t="shared" si="44"/>
        <v>1</v>
      </c>
      <c r="CT70" s="235">
        <f t="shared" si="44"/>
        <v>2137</v>
      </c>
      <c r="CU70" s="14">
        <v>46</v>
      </c>
      <c r="CV70" s="284" t="str">
        <f t="shared" si="24"/>
        <v>0</v>
      </c>
      <c r="CW70" s="284" t="str">
        <f t="shared" si="25"/>
        <v>0</v>
      </c>
      <c r="CX70" s="243">
        <f t="shared" si="26"/>
        <v>10.240889437924643</v>
      </c>
      <c r="CY70" s="216" t="str">
        <f t="shared" si="27"/>
        <v>0</v>
      </c>
      <c r="CZ70" s="216" t="str">
        <f t="shared" si="28"/>
        <v>0</v>
      </c>
      <c r="DA70" s="243">
        <f t="shared" si="29"/>
        <v>10.240889437924643</v>
      </c>
      <c r="DB70" s="305">
        <v>1</v>
      </c>
      <c r="DC70" s="305">
        <v>0</v>
      </c>
      <c r="DD70" s="305">
        <v>0</v>
      </c>
      <c r="DE70" s="305">
        <v>0</v>
      </c>
      <c r="DF70" s="305">
        <v>2</v>
      </c>
      <c r="DG70" s="305">
        <v>0</v>
      </c>
      <c r="DH70" s="305">
        <v>0</v>
      </c>
      <c r="DI70" s="305">
        <v>0</v>
      </c>
      <c r="DJ70" s="306">
        <v>0</v>
      </c>
      <c r="DK70" s="306">
        <v>35</v>
      </c>
      <c r="DL70" s="306">
        <f t="shared" si="45"/>
        <v>31</v>
      </c>
      <c r="DM70" s="306">
        <v>4</v>
      </c>
      <c r="DN70" s="306">
        <v>30</v>
      </c>
      <c r="DO70" s="306">
        <v>20</v>
      </c>
      <c r="DP70" s="306">
        <v>15</v>
      </c>
      <c r="DQ70" s="306">
        <v>20</v>
      </c>
      <c r="DR70" s="306">
        <v>21</v>
      </c>
      <c r="DS70" s="306">
        <v>13</v>
      </c>
      <c r="DT70" s="306">
        <v>22</v>
      </c>
      <c r="DU70" s="306">
        <v>3</v>
      </c>
      <c r="DV70" s="306">
        <v>3</v>
      </c>
      <c r="DW70" s="306">
        <v>1</v>
      </c>
      <c r="DX70" s="306">
        <v>3</v>
      </c>
      <c r="DY70" s="306">
        <v>3</v>
      </c>
      <c r="DZ70" s="306">
        <v>1</v>
      </c>
      <c r="EA70" s="306">
        <v>3</v>
      </c>
      <c r="EB70" s="306">
        <v>35</v>
      </c>
      <c r="EC70" s="306">
        <v>35</v>
      </c>
      <c r="ED70" s="342"/>
      <c r="EE70" s="342"/>
      <c r="EF70" s="3"/>
      <c r="EG70" s="3"/>
      <c r="EH70" s="3"/>
    </row>
    <row r="71" spans="1:138" x14ac:dyDescent="0.2">
      <c r="A71" s="149" t="s">
        <v>142</v>
      </c>
      <c r="B71" s="169">
        <v>65</v>
      </c>
      <c r="C71" s="12" t="s">
        <v>111</v>
      </c>
      <c r="D71" s="13">
        <v>1976</v>
      </c>
      <c r="E71" s="11"/>
      <c r="F71" s="169">
        <v>84</v>
      </c>
      <c r="G71" s="35">
        <v>1</v>
      </c>
      <c r="H71" s="45">
        <v>9</v>
      </c>
      <c r="I71" s="1" t="s">
        <v>22</v>
      </c>
      <c r="J71" s="122">
        <v>31343</v>
      </c>
      <c r="K71" s="122">
        <v>1262</v>
      </c>
      <c r="L71" s="122"/>
      <c r="M71" s="122">
        <v>1196</v>
      </c>
      <c r="N71" s="122">
        <f>143+1</f>
        <v>144</v>
      </c>
      <c r="O71" s="122">
        <v>320</v>
      </c>
      <c r="P71" s="122">
        <v>146</v>
      </c>
      <c r="Q71" s="122">
        <v>324</v>
      </c>
      <c r="R71" s="179">
        <f>7597.7-0.01+65</f>
        <v>7662.69</v>
      </c>
      <c r="S71" s="121">
        <v>4604.4799999999996</v>
      </c>
      <c r="T71" s="122">
        <f t="shared" ref="T71:T135" si="46">N71-W71-Z71</f>
        <v>135</v>
      </c>
      <c r="U71" s="180">
        <f t="shared" ref="U71:V102" si="47">R71-X71-AA71</f>
        <v>7204.0199999999995</v>
      </c>
      <c r="V71" s="180">
        <f t="shared" si="47"/>
        <v>4352.2099999999991</v>
      </c>
      <c r="W71" s="122">
        <v>9</v>
      </c>
      <c r="X71" s="180">
        <v>458.67</v>
      </c>
      <c r="Y71" s="180">
        <v>252.27</v>
      </c>
      <c r="Z71" s="122"/>
      <c r="AA71" s="180"/>
      <c r="AB71" s="180"/>
      <c r="AC71" s="180">
        <f t="shared" ref="AC71:AC135" si="48">AD71+AG71+AH71</f>
        <v>0</v>
      </c>
      <c r="AD71" s="179">
        <f t="shared" ref="AD71:AD135" si="49">AE71+AF71</f>
        <v>0</v>
      </c>
      <c r="AE71" s="271"/>
      <c r="AF71" s="180"/>
      <c r="AG71" s="180"/>
      <c r="AH71" s="180"/>
      <c r="AI71" s="180">
        <f t="shared" ref="AI71:AI135" si="50">R71+AC71</f>
        <v>7662.69</v>
      </c>
      <c r="AJ71" s="122"/>
      <c r="AK71" s="122">
        <v>4</v>
      </c>
      <c r="AL71" s="122">
        <v>4</v>
      </c>
      <c r="AM71" s="122">
        <v>4</v>
      </c>
      <c r="AN71" s="122"/>
      <c r="AO71" s="122">
        <v>1</v>
      </c>
      <c r="AP71" s="122">
        <v>5925</v>
      </c>
      <c r="AQ71" s="35"/>
      <c r="AR71" s="122">
        <f>155+77+240</f>
        <v>472</v>
      </c>
      <c r="AS71" s="122">
        <v>337</v>
      </c>
      <c r="AT71" s="122">
        <v>216</v>
      </c>
      <c r="AU71" s="122">
        <f t="shared" si="38"/>
        <v>8548</v>
      </c>
      <c r="AV71" s="122">
        <v>7516</v>
      </c>
      <c r="AW71" s="122">
        <v>1032</v>
      </c>
      <c r="AX71" s="122">
        <v>3510</v>
      </c>
      <c r="AY71" s="122">
        <v>297</v>
      </c>
      <c r="AZ71" s="122">
        <v>1196</v>
      </c>
      <c r="BA71" s="122">
        <v>1196</v>
      </c>
      <c r="BB71" s="122">
        <v>64</v>
      </c>
      <c r="BC71" s="122">
        <v>24</v>
      </c>
      <c r="BD71" s="122">
        <v>460</v>
      </c>
      <c r="BE71" s="122">
        <v>144</v>
      </c>
      <c r="BF71" s="122">
        <v>1</v>
      </c>
      <c r="BG71" s="122">
        <v>17120</v>
      </c>
      <c r="BH71" s="122">
        <v>1888</v>
      </c>
      <c r="BI71" s="122">
        <v>648</v>
      </c>
      <c r="BJ71" s="115" t="str">
        <f t="shared" ref="BJ71:BJ135" si="51">IF((I71="кир"),G71,"0")</f>
        <v>0</v>
      </c>
      <c r="BK71" s="115" t="str">
        <f t="shared" ref="BK71:BK135" si="52">IF((I71="кир"),R71,"0")</f>
        <v>0</v>
      </c>
      <c r="BL71" s="115" t="str">
        <f t="shared" ref="BL71:BL135" si="53">IF((I71="кир"),S71,"0")</f>
        <v>0</v>
      </c>
      <c r="BM71" s="115">
        <f t="shared" ref="BM71:BM135" si="54">IF((I71="пан"),G71,"0")</f>
        <v>1</v>
      </c>
      <c r="BN71" s="115">
        <f t="shared" ref="BN71:BN135" si="55">IF((I71="пан"),R71,"0")</f>
        <v>7662.69</v>
      </c>
      <c r="BO71" s="115">
        <f t="shared" ref="BO71:BO135" si="56">IF((I71="пан"),S71,"0")</f>
        <v>4604.4799999999996</v>
      </c>
      <c r="BP71" s="115" t="str">
        <f t="shared" ref="BP71:BP135" si="57">IF((I71="смеш"),G71,"0")</f>
        <v>0</v>
      </c>
      <c r="BQ71" s="115" t="str">
        <f t="shared" ref="BQ71:BQ135" si="58">IF((I71="смеш"),R71,"0")</f>
        <v>0</v>
      </c>
      <c r="BR71" s="115" t="str">
        <f t="shared" ref="BR71:BR135" si="59">IF((I71="смеш"),S71,"0")</f>
        <v>0</v>
      </c>
      <c r="BS71" s="115">
        <v>2</v>
      </c>
      <c r="BT71" s="115"/>
      <c r="BU71" s="122">
        <v>1196</v>
      </c>
      <c r="BV71" s="115">
        <v>64</v>
      </c>
      <c r="BW71" s="115"/>
      <c r="BX71" s="115"/>
      <c r="BY71" s="275">
        <v>2458.71</v>
      </c>
      <c r="BZ71" s="253">
        <v>1096.3900000000001</v>
      </c>
      <c r="CA71" s="354">
        <v>1079.5999999999999</v>
      </c>
      <c r="CB71" s="354">
        <f>11.96+35.69+65.18</f>
        <v>112.83000000000001</v>
      </c>
      <c r="CC71" s="354">
        <f>7.77+9.02</f>
        <v>16.79</v>
      </c>
      <c r="CD71" s="354">
        <v>1196.2</v>
      </c>
      <c r="CE71" s="354">
        <v>9.9700000000000006</v>
      </c>
      <c r="CF71" s="354">
        <f>6.79+2.02+8.81</f>
        <v>17.62</v>
      </c>
      <c r="CG71" s="354">
        <f>6.39+6.4+6.4+6.51</f>
        <v>25.699999999999996</v>
      </c>
      <c r="CH71" s="355"/>
      <c r="CI71" s="356">
        <f t="shared" si="1"/>
        <v>2458.71</v>
      </c>
      <c r="CJ71" s="356">
        <f t="shared" ref="CJ71:CJ134" si="60">CA71+CC71</f>
        <v>1096.3899999999999</v>
      </c>
      <c r="CK71" s="357">
        <v>1196</v>
      </c>
      <c r="CL71" s="358">
        <f t="shared" si="2"/>
        <v>3654.71</v>
      </c>
      <c r="CM71" s="157">
        <v>3430</v>
      </c>
      <c r="CN71" s="275">
        <f t="shared" ref="CN71:CN135" si="61">CM71-K71</f>
        <v>2168</v>
      </c>
      <c r="CO71" s="209">
        <f t="shared" si="40"/>
        <v>1</v>
      </c>
      <c r="CP71" s="235">
        <f t="shared" si="41"/>
        <v>7516</v>
      </c>
      <c r="CQ71" s="209"/>
      <c r="CR71" s="235">
        <f t="shared" si="43"/>
        <v>1032</v>
      </c>
      <c r="CS71" s="235">
        <f t="shared" si="44"/>
        <v>1</v>
      </c>
      <c r="CT71" s="235">
        <f t="shared" si="44"/>
        <v>8548</v>
      </c>
      <c r="CU71" s="14">
        <v>49</v>
      </c>
      <c r="CV71" s="284" t="str">
        <f t="shared" ref="CV71:CV135" si="62">IF((X71/R71*100&gt;=50), G71, "0")</f>
        <v>0</v>
      </c>
      <c r="CW71" s="284" t="str">
        <f t="shared" ref="CW71:CW135" si="63">IF((X71/R71*100&gt;=50), R71, "0")</f>
        <v>0</v>
      </c>
      <c r="CX71" s="243">
        <f t="shared" ref="CX71:CX135" si="64">X71/R71*100</f>
        <v>5.9857569600231777</v>
      </c>
      <c r="CY71" s="216" t="str">
        <f t="shared" ref="CY71:CY135" si="65">IF(((X71+AD71)/AI71*100&gt;=50), G71, "0")</f>
        <v>0</v>
      </c>
      <c r="CZ71" s="216" t="str">
        <f t="shared" ref="CZ71:CZ135" si="66">IF(((X71+AD71)/AI71*100&gt;=50), AI71, "0")</f>
        <v>0</v>
      </c>
      <c r="DA71" s="243">
        <f t="shared" ref="DA71:DA135" si="67">(X71+AD71)/AI71*100</f>
        <v>5.9857569600231777</v>
      </c>
      <c r="DB71" s="305">
        <v>1</v>
      </c>
      <c r="DC71" s="305">
        <v>0</v>
      </c>
      <c r="DD71" s="305">
        <v>0</v>
      </c>
      <c r="DE71" s="305">
        <v>0</v>
      </c>
      <c r="DF71" s="305">
        <v>2</v>
      </c>
      <c r="DG71" s="305">
        <v>0</v>
      </c>
      <c r="DH71" s="305">
        <v>0</v>
      </c>
      <c r="DI71" s="305">
        <v>0</v>
      </c>
      <c r="DJ71" s="306">
        <v>0</v>
      </c>
      <c r="DK71" s="306">
        <v>144</v>
      </c>
      <c r="DL71" s="306">
        <f t="shared" si="45"/>
        <v>134</v>
      </c>
      <c r="DM71" s="306">
        <v>10</v>
      </c>
      <c r="DN71" s="306">
        <v>104</v>
      </c>
      <c r="DO71" s="306">
        <v>77</v>
      </c>
      <c r="DP71" s="306">
        <v>86</v>
      </c>
      <c r="DQ71" s="306">
        <v>109</v>
      </c>
      <c r="DR71" s="306">
        <v>76</v>
      </c>
      <c r="DS71" s="306">
        <v>83</v>
      </c>
      <c r="DT71" s="306">
        <v>112</v>
      </c>
      <c r="DU71" s="306">
        <v>6</v>
      </c>
      <c r="DV71" s="306">
        <v>3</v>
      </c>
      <c r="DW71" s="306">
        <v>10</v>
      </c>
      <c r="DX71" s="306">
        <v>3</v>
      </c>
      <c r="DY71" s="306">
        <v>3</v>
      </c>
      <c r="DZ71" s="306">
        <v>9</v>
      </c>
      <c r="EA71" s="306">
        <v>4</v>
      </c>
      <c r="EB71" s="306">
        <v>144</v>
      </c>
      <c r="EC71" s="306">
        <v>144</v>
      </c>
      <c r="ED71" s="342"/>
      <c r="EE71" s="342"/>
    </row>
    <row r="72" spans="1:138" x14ac:dyDescent="0.2">
      <c r="A72" s="27" t="s">
        <v>142</v>
      </c>
      <c r="B72" s="169">
        <v>74</v>
      </c>
      <c r="C72" s="12" t="s">
        <v>158</v>
      </c>
      <c r="D72" s="13">
        <v>1961</v>
      </c>
      <c r="E72" s="11"/>
      <c r="F72" s="169" t="s">
        <v>13</v>
      </c>
      <c r="G72" s="35">
        <v>1</v>
      </c>
      <c r="H72" s="45">
        <v>5</v>
      </c>
      <c r="I72" s="1" t="s">
        <v>19</v>
      </c>
      <c r="J72" s="122">
        <f>13131+10171</f>
        <v>23302</v>
      </c>
      <c r="K72" s="122">
        <f>934+714</f>
        <v>1648</v>
      </c>
      <c r="L72" s="122">
        <f>1076+867</f>
        <v>1943</v>
      </c>
      <c r="M72" s="122"/>
      <c r="N72" s="122">
        <v>128</v>
      </c>
      <c r="O72" s="122">
        <v>234</v>
      </c>
      <c r="P72" s="122">
        <v>128</v>
      </c>
      <c r="Q72" s="122">
        <v>248</v>
      </c>
      <c r="R72" s="179">
        <f>5236.16-0.05</f>
        <v>5236.1099999999997</v>
      </c>
      <c r="S72" s="121">
        <v>3242.0299999999997</v>
      </c>
      <c r="T72" s="122">
        <f>N72-W72-Z72</f>
        <v>112</v>
      </c>
      <c r="U72" s="180">
        <f t="shared" ref="U72:V74" si="68">R72-X72-AA72</f>
        <v>4603.5599999999995</v>
      </c>
      <c r="V72" s="180">
        <f t="shared" si="68"/>
        <v>2885.1899999999996</v>
      </c>
      <c r="W72" s="122">
        <v>16</v>
      </c>
      <c r="X72" s="180">
        <v>632.54999999999995</v>
      </c>
      <c r="Y72" s="180">
        <v>356.84</v>
      </c>
      <c r="Z72" s="122"/>
      <c r="AA72" s="180"/>
      <c r="AB72" s="180"/>
      <c r="AC72" s="180">
        <f>AD72+AG72+AH72</f>
        <v>419.4</v>
      </c>
      <c r="AD72" s="179">
        <f>AE72+AF72</f>
        <v>0</v>
      </c>
      <c r="AE72" s="271"/>
      <c r="AF72" s="180"/>
      <c r="AG72" s="180">
        <v>419.4</v>
      </c>
      <c r="AH72" s="180"/>
      <c r="AI72" s="180">
        <f>R72+AC72</f>
        <v>5655.5099999999993</v>
      </c>
      <c r="AJ72" s="122"/>
      <c r="AK72" s="122"/>
      <c r="AL72" s="122">
        <f>4+3</f>
        <v>7</v>
      </c>
      <c r="AM72" s="122"/>
      <c r="AN72" s="122"/>
      <c r="AO72" s="122">
        <f>1+1</f>
        <v>2</v>
      </c>
      <c r="AP72" s="122">
        <f>2353+1940</f>
        <v>4293</v>
      </c>
      <c r="AQ72" s="35"/>
      <c r="AR72" s="122">
        <f>175+369</f>
        <v>544</v>
      </c>
      <c r="AS72" s="35">
        <f>280+280</f>
        <v>560</v>
      </c>
      <c r="AT72" s="122">
        <f>51+38</f>
        <v>89</v>
      </c>
      <c r="AU72" s="122">
        <f>AV72+AW72</f>
        <v>6116</v>
      </c>
      <c r="AV72" s="122"/>
      <c r="AW72" s="122">
        <f>3923+2193</f>
        <v>6116</v>
      </c>
      <c r="AX72" s="122"/>
      <c r="AY72" s="122">
        <f>203+83</f>
        <v>286</v>
      </c>
      <c r="AZ72" s="122">
        <f>912+706</f>
        <v>1618</v>
      </c>
      <c r="BA72" s="122">
        <f>912+706</f>
        <v>1618</v>
      </c>
      <c r="BB72" s="122">
        <f>20+15</f>
        <v>35</v>
      </c>
      <c r="BC72" s="122">
        <f>13+10</f>
        <v>23</v>
      </c>
      <c r="BD72" s="122">
        <f>220+175</f>
        <v>395</v>
      </c>
      <c r="BE72" s="122">
        <f>79+59</f>
        <v>138</v>
      </c>
      <c r="BF72" s="122">
        <f>4+3</f>
        <v>7</v>
      </c>
      <c r="BG72" s="122">
        <v>26026</v>
      </c>
      <c r="BH72" s="122">
        <f>492+369</f>
        <v>861</v>
      </c>
      <c r="BI72" s="122"/>
      <c r="BJ72" s="115">
        <f>IF((I72="кир"),G72,"0")</f>
        <v>1</v>
      </c>
      <c r="BK72" s="115">
        <f>IF((I72="кир"),R72,"0")</f>
        <v>5236.1099999999997</v>
      </c>
      <c r="BL72" s="115">
        <f>IF((I72="кир"),S72,"0")</f>
        <v>3242.0299999999997</v>
      </c>
      <c r="BM72" s="115" t="str">
        <f>IF((I72="пан"),G72,"0")</f>
        <v>0</v>
      </c>
      <c r="BN72" s="115" t="str">
        <f>IF((I72="пан"),R72,"0")</f>
        <v>0</v>
      </c>
      <c r="BO72" s="115" t="str">
        <f>IF((I72="пан"),S72,"0")</f>
        <v>0</v>
      </c>
      <c r="BP72" s="115" t="str">
        <f>IF((I72="смеш"),G72,"0")</f>
        <v>0</v>
      </c>
      <c r="BQ72" s="115" t="str">
        <f>IF((I72="смеш"),R72,"0")</f>
        <v>0</v>
      </c>
      <c r="BR72" s="115" t="str">
        <f>IF((I72="смеш"),S72,"0")</f>
        <v>0</v>
      </c>
      <c r="BS72" s="115"/>
      <c r="BT72" s="115">
        <f>2+2</f>
        <v>4</v>
      </c>
      <c r="BU72" s="122"/>
      <c r="BV72" s="115"/>
      <c r="BW72" s="115"/>
      <c r="BX72" s="115">
        <f>AP72</f>
        <v>4293</v>
      </c>
      <c r="BY72" s="275">
        <v>2066.19</v>
      </c>
      <c r="BZ72" s="253">
        <v>431.6</v>
      </c>
      <c r="CA72" s="354">
        <f>246.3+185.3</f>
        <v>431.6</v>
      </c>
      <c r="CB72" s="354"/>
      <c r="CC72" s="354"/>
      <c r="CD72" s="354">
        <f>911.9+706.3</f>
        <v>1618.1999999999998</v>
      </c>
      <c r="CE72" s="354">
        <f>7.98+8.41</f>
        <v>16.39</v>
      </c>
      <c r="CF72" s="354"/>
      <c r="CG72" s="354"/>
      <c r="CH72" s="355"/>
      <c r="CI72" s="356">
        <f t="shared" ref="CI72:CI135" si="69">CH72+CG72+CF72+CE72+CD72+CC72+CB72+CA72</f>
        <v>2066.19</v>
      </c>
      <c r="CJ72" s="356">
        <f t="shared" si="60"/>
        <v>431.6</v>
      </c>
      <c r="CK72" s="357">
        <v>1618</v>
      </c>
      <c r="CL72" s="358">
        <f t="shared" ref="CL72:CL135" si="70">CK72+CI72</f>
        <v>3684.19</v>
      </c>
      <c r="CM72" s="157">
        <v>2842</v>
      </c>
      <c r="CN72" s="275">
        <f>CM72-K72</f>
        <v>1194</v>
      </c>
      <c r="CO72" s="209" t="str">
        <f>IF(CP72&gt;0,G72,"0")</f>
        <v>0</v>
      </c>
      <c r="CP72" s="235">
        <f>AV72</f>
        <v>0</v>
      </c>
      <c r="CQ72" s="209">
        <f>IF(CR72&gt;0,G72,"0")</f>
        <v>1</v>
      </c>
      <c r="CR72" s="235">
        <f>AW72</f>
        <v>6116</v>
      </c>
      <c r="CS72" s="235">
        <f t="shared" ref="CS72:CT74" si="71">CO72+CQ72</f>
        <v>1</v>
      </c>
      <c r="CT72" s="235">
        <f t="shared" si="71"/>
        <v>6116</v>
      </c>
      <c r="CU72" s="14">
        <v>50</v>
      </c>
      <c r="CV72" s="284" t="str">
        <f>IF((X72/R72*100&gt;=50), G72, "0")</f>
        <v>0</v>
      </c>
      <c r="CW72" s="284" t="str">
        <f>IF((X72/R72*100&gt;=50), R72, "0")</f>
        <v>0</v>
      </c>
      <c r="CX72" s="243">
        <f>X72/R72*100</f>
        <v>12.080533067487123</v>
      </c>
      <c r="CY72" s="216" t="str">
        <f>IF(((X72+AD72)/AI72*100&gt;=50), G72, "0")</f>
        <v>0</v>
      </c>
      <c r="CZ72" s="216" t="str">
        <f>IF(((X72+AD72)/AI72*100&gt;=50), AI72, "0")</f>
        <v>0</v>
      </c>
      <c r="DA72" s="243">
        <f>(X72+AD72)/AI72*100</f>
        <v>11.184667695751576</v>
      </c>
      <c r="DB72" s="305">
        <v>1</v>
      </c>
      <c r="DC72" s="305">
        <v>0</v>
      </c>
      <c r="DD72" s="305">
        <v>0</v>
      </c>
      <c r="DE72" s="305">
        <v>0</v>
      </c>
      <c r="DF72" s="305">
        <v>2</v>
      </c>
      <c r="DG72" s="305">
        <v>0</v>
      </c>
      <c r="DH72" s="305">
        <v>0</v>
      </c>
      <c r="DI72" s="305">
        <v>0</v>
      </c>
      <c r="DJ72" s="306">
        <v>0</v>
      </c>
      <c r="DK72" s="306">
        <v>132</v>
      </c>
      <c r="DL72" s="306">
        <f>DK72-DM72</f>
        <v>126</v>
      </c>
      <c r="DM72" s="306">
        <v>6</v>
      </c>
      <c r="DN72" s="306">
        <v>86</v>
      </c>
      <c r="DO72" s="306">
        <v>61</v>
      </c>
      <c r="DP72" s="306">
        <v>68</v>
      </c>
      <c r="DQ72" s="306">
        <v>61</v>
      </c>
      <c r="DR72" s="306">
        <v>61</v>
      </c>
      <c r="DS72" s="306">
        <v>68</v>
      </c>
      <c r="DT72" s="306">
        <v>61</v>
      </c>
      <c r="DU72" s="306">
        <v>2</v>
      </c>
      <c r="DV72" s="306">
        <v>2</v>
      </c>
      <c r="DW72" s="306">
        <v>10</v>
      </c>
      <c r="DX72" s="306">
        <v>2</v>
      </c>
      <c r="DY72" s="306">
        <v>2</v>
      </c>
      <c r="DZ72" s="306">
        <v>10</v>
      </c>
      <c r="EA72" s="306">
        <v>2</v>
      </c>
      <c r="EB72" s="306">
        <v>132</v>
      </c>
      <c r="EC72" s="306">
        <v>132</v>
      </c>
      <c r="ED72" s="342"/>
      <c r="EE72" s="342"/>
    </row>
    <row r="73" spans="1:138" x14ac:dyDescent="0.2">
      <c r="A73" s="12" t="s">
        <v>142</v>
      </c>
      <c r="B73" s="169">
        <v>75</v>
      </c>
      <c r="C73" s="12" t="s">
        <v>159</v>
      </c>
      <c r="D73" s="13">
        <v>1981</v>
      </c>
      <c r="E73" s="11"/>
      <c r="F73" s="169">
        <v>84</v>
      </c>
      <c r="G73" s="35">
        <v>1</v>
      </c>
      <c r="H73" s="45">
        <v>9</v>
      </c>
      <c r="I73" s="1" t="s">
        <v>22</v>
      </c>
      <c r="J73" s="122">
        <v>14318</v>
      </c>
      <c r="K73" s="122">
        <v>613</v>
      </c>
      <c r="L73" s="122"/>
      <c r="M73" s="122">
        <v>564</v>
      </c>
      <c r="N73" s="122">
        <v>72</v>
      </c>
      <c r="O73" s="122">
        <v>142</v>
      </c>
      <c r="P73" s="122">
        <v>72</v>
      </c>
      <c r="Q73" s="122">
        <v>124</v>
      </c>
      <c r="R73" s="179">
        <v>3571.2</v>
      </c>
      <c r="S73" s="121">
        <v>2107.9</v>
      </c>
      <c r="T73" s="122">
        <f>N73-W73-Z73</f>
        <v>70</v>
      </c>
      <c r="U73" s="180">
        <f t="shared" si="68"/>
        <v>3499.7</v>
      </c>
      <c r="V73" s="180">
        <f t="shared" si="68"/>
        <v>2066.4300000000003</v>
      </c>
      <c r="W73" s="122">
        <v>2</v>
      </c>
      <c r="X73" s="180">
        <v>71.5</v>
      </c>
      <c r="Y73" s="180">
        <v>41.47</v>
      </c>
      <c r="Z73" s="122"/>
      <c r="AA73" s="180"/>
      <c r="AB73" s="180"/>
      <c r="AC73" s="180">
        <f>AD73+AG73+AH73</f>
        <v>0</v>
      </c>
      <c r="AD73" s="179">
        <f>AE73+AF73</f>
        <v>0</v>
      </c>
      <c r="AE73" s="271"/>
      <c r="AF73" s="180"/>
      <c r="AG73" s="180"/>
      <c r="AH73" s="180"/>
      <c r="AI73" s="180">
        <f>R73+AC73</f>
        <v>3571.2</v>
      </c>
      <c r="AJ73" s="122"/>
      <c r="AK73" s="122">
        <v>2</v>
      </c>
      <c r="AL73" s="122">
        <v>2</v>
      </c>
      <c r="AM73" s="122">
        <v>2</v>
      </c>
      <c r="AN73" s="122"/>
      <c r="AO73" s="122">
        <v>2</v>
      </c>
      <c r="AP73" s="122">
        <v>2979</v>
      </c>
      <c r="AQ73" s="35"/>
      <c r="AR73" s="122">
        <f>98+42+114</f>
        <v>254</v>
      </c>
      <c r="AS73" s="122">
        <v>197</v>
      </c>
      <c r="AT73" s="122">
        <v>108</v>
      </c>
      <c r="AU73" s="122">
        <f>AV73+AW73</f>
        <v>4430</v>
      </c>
      <c r="AV73" s="122">
        <v>3967</v>
      </c>
      <c r="AW73" s="122">
        <v>463</v>
      </c>
      <c r="AX73" s="122">
        <v>1752</v>
      </c>
      <c r="AY73" s="122">
        <v>148</v>
      </c>
      <c r="AZ73" s="122">
        <v>564</v>
      </c>
      <c r="BA73" s="122">
        <v>564</v>
      </c>
      <c r="BB73" s="122">
        <v>32</v>
      </c>
      <c r="BC73" s="122">
        <v>15</v>
      </c>
      <c r="BD73" s="122">
        <v>240</v>
      </c>
      <c r="BE73" s="122">
        <v>72</v>
      </c>
      <c r="BF73" s="122">
        <v>1</v>
      </c>
      <c r="BG73" s="122">
        <v>8560</v>
      </c>
      <c r="BH73" s="122">
        <v>944</v>
      </c>
      <c r="BI73" s="122">
        <v>294</v>
      </c>
      <c r="BJ73" s="115" t="str">
        <f>IF((I73="кир"),G73,"0")</f>
        <v>0</v>
      </c>
      <c r="BK73" s="115" t="str">
        <f>IF((I73="кир"),R73,"0")</f>
        <v>0</v>
      </c>
      <c r="BL73" s="115" t="str">
        <f>IF((I73="кир"),S73,"0")</f>
        <v>0</v>
      </c>
      <c r="BM73" s="115">
        <f>IF((I73="пан"),G73,"0")</f>
        <v>1</v>
      </c>
      <c r="BN73" s="115">
        <f>IF((I73="пан"),R73,"0")</f>
        <v>3571.2</v>
      </c>
      <c r="BO73" s="115">
        <f>IF((I73="пан"),S73,"0")</f>
        <v>2107.9</v>
      </c>
      <c r="BP73" s="115" t="str">
        <f>IF((I73="смеш"),G73,"0")</f>
        <v>0</v>
      </c>
      <c r="BQ73" s="115" t="str">
        <f>IF((I73="смеш"),R73,"0")</f>
        <v>0</v>
      </c>
      <c r="BR73" s="115" t="str">
        <f>IF((I73="смеш"),S73,"0")</f>
        <v>0</v>
      </c>
      <c r="BS73" s="115">
        <v>1</v>
      </c>
      <c r="BT73" s="115">
        <v>1</v>
      </c>
      <c r="BU73" s="122">
        <v>564</v>
      </c>
      <c r="BV73" s="115">
        <v>170</v>
      </c>
      <c r="BW73" s="115"/>
      <c r="BX73" s="115"/>
      <c r="BY73" s="275">
        <v>1048.9000000000001</v>
      </c>
      <c r="BZ73" s="253">
        <v>557</v>
      </c>
      <c r="CA73" s="354">
        <f>547.4-(3.5+3.4)</f>
        <v>540.5</v>
      </c>
      <c r="CB73" s="354">
        <f>3.5+3.4</f>
        <v>6.9</v>
      </c>
      <c r="CC73" s="354">
        <f>7.3+9.2</f>
        <v>16.5</v>
      </c>
      <c r="CD73" s="354">
        <v>469</v>
      </c>
      <c r="CE73" s="354">
        <f>3+3</f>
        <v>6</v>
      </c>
      <c r="CF73" s="354"/>
      <c r="CG73" s="354">
        <f>5+5</f>
        <v>10</v>
      </c>
      <c r="CH73" s="355"/>
      <c r="CI73" s="356">
        <f t="shared" si="69"/>
        <v>1048.9000000000001</v>
      </c>
      <c r="CJ73" s="356">
        <f t="shared" si="60"/>
        <v>557</v>
      </c>
      <c r="CK73" s="357">
        <v>564</v>
      </c>
      <c r="CL73" s="358">
        <f t="shared" si="70"/>
        <v>1612.9</v>
      </c>
      <c r="CM73" s="157">
        <v>1755</v>
      </c>
      <c r="CN73" s="275">
        <f>CM73-K73</f>
        <v>1142</v>
      </c>
      <c r="CO73" s="209">
        <f>IF(CP73&gt;0,G73,"0")</f>
        <v>1</v>
      </c>
      <c r="CP73" s="235">
        <f>AV73</f>
        <v>3967</v>
      </c>
      <c r="CQ73" s="209"/>
      <c r="CR73" s="235">
        <f>AW73</f>
        <v>463</v>
      </c>
      <c r="CS73" s="235">
        <f t="shared" si="71"/>
        <v>1</v>
      </c>
      <c r="CT73" s="235">
        <f t="shared" si="71"/>
        <v>4430</v>
      </c>
      <c r="CU73" s="14">
        <v>47</v>
      </c>
      <c r="CV73" s="284" t="str">
        <f>IF((X73/R73*100&gt;=50), G73, "0")</f>
        <v>0</v>
      </c>
      <c r="CW73" s="284" t="str">
        <f>IF((X73/R73*100&gt;=50), R73, "0")</f>
        <v>0</v>
      </c>
      <c r="CX73" s="243">
        <f>X73/R73*100</f>
        <v>2.0021281362007168</v>
      </c>
      <c r="CY73" s="216" t="str">
        <f>IF(((X73+AD73)/AI73*100&gt;=50), G73, "0")</f>
        <v>0</v>
      </c>
      <c r="CZ73" s="216" t="str">
        <f>IF(((X73+AD73)/AI73*100&gt;=50), AI73, "0")</f>
        <v>0</v>
      </c>
      <c r="DA73" s="243">
        <f>(X73+AD73)/AI73*100</f>
        <v>2.0021281362007168</v>
      </c>
      <c r="DB73" s="305">
        <v>1</v>
      </c>
      <c r="DC73" s="305">
        <v>0</v>
      </c>
      <c r="DD73" s="305">
        <v>0</v>
      </c>
      <c r="DE73" s="305">
        <v>0</v>
      </c>
      <c r="DF73" s="305">
        <v>2</v>
      </c>
      <c r="DG73" s="305">
        <v>0</v>
      </c>
      <c r="DH73" s="305">
        <v>0</v>
      </c>
      <c r="DI73" s="305">
        <v>0</v>
      </c>
      <c r="DJ73" s="306">
        <v>0</v>
      </c>
      <c r="DK73" s="306">
        <v>72</v>
      </c>
      <c r="DL73" s="306">
        <f>DK73-DM73</f>
        <v>68</v>
      </c>
      <c r="DM73" s="306">
        <v>4</v>
      </c>
      <c r="DN73" s="306">
        <v>50</v>
      </c>
      <c r="DO73" s="306">
        <v>39</v>
      </c>
      <c r="DP73" s="306">
        <v>40</v>
      </c>
      <c r="DQ73" s="306">
        <v>49</v>
      </c>
      <c r="DR73" s="306">
        <v>40</v>
      </c>
      <c r="DS73" s="306">
        <v>39</v>
      </c>
      <c r="DT73" s="306">
        <v>50</v>
      </c>
      <c r="DU73" s="306">
        <v>2</v>
      </c>
      <c r="DV73" s="306">
        <v>2</v>
      </c>
      <c r="DW73" s="306">
        <v>0</v>
      </c>
      <c r="DX73" s="306">
        <v>2</v>
      </c>
      <c r="DY73" s="306">
        <v>2</v>
      </c>
      <c r="DZ73" s="306">
        <v>0</v>
      </c>
      <c r="EA73" s="306">
        <v>2</v>
      </c>
      <c r="EB73" s="306">
        <v>72</v>
      </c>
      <c r="EC73" s="306">
        <v>72</v>
      </c>
      <c r="ED73" s="342"/>
      <c r="EE73" s="342"/>
    </row>
    <row r="74" spans="1:138" x14ac:dyDescent="0.2">
      <c r="A74" s="27" t="s">
        <v>142</v>
      </c>
      <c r="B74" s="169">
        <v>76</v>
      </c>
      <c r="C74" s="12" t="s">
        <v>167</v>
      </c>
      <c r="D74" s="13">
        <v>1965</v>
      </c>
      <c r="E74" s="11"/>
      <c r="F74" s="169" t="s">
        <v>20</v>
      </c>
      <c r="G74" s="35">
        <v>1</v>
      </c>
      <c r="H74" s="45">
        <v>5</v>
      </c>
      <c r="I74" s="1" t="s">
        <v>22</v>
      </c>
      <c r="J74" s="122">
        <v>5775</v>
      </c>
      <c r="K74" s="122">
        <v>424</v>
      </c>
      <c r="L74" s="122">
        <v>507</v>
      </c>
      <c r="M74" s="122"/>
      <c r="N74" s="122">
        <v>40</v>
      </c>
      <c r="O74" s="122">
        <v>70</v>
      </c>
      <c r="P74" s="122">
        <v>40</v>
      </c>
      <c r="Q74" s="122">
        <v>63</v>
      </c>
      <c r="R74" s="179">
        <v>1633.98</v>
      </c>
      <c r="S74" s="121">
        <v>1076</v>
      </c>
      <c r="T74" s="122">
        <f>N74-W74-Z74</f>
        <v>37</v>
      </c>
      <c r="U74" s="180">
        <f t="shared" si="68"/>
        <v>1504.26</v>
      </c>
      <c r="V74" s="180">
        <f t="shared" si="68"/>
        <v>991.88</v>
      </c>
      <c r="W74" s="122">
        <v>3</v>
      </c>
      <c r="X74" s="180">
        <v>129.72</v>
      </c>
      <c r="Y74" s="180">
        <v>84.12</v>
      </c>
      <c r="Z74" s="122"/>
      <c r="AA74" s="180"/>
      <c r="AB74" s="180"/>
      <c r="AC74" s="180">
        <f>AD74+AG74+AH74</f>
        <v>0</v>
      </c>
      <c r="AD74" s="179">
        <f>AE74+AF74</f>
        <v>0</v>
      </c>
      <c r="AE74" s="271"/>
      <c r="AF74" s="180"/>
      <c r="AG74" s="180"/>
      <c r="AH74" s="180"/>
      <c r="AI74" s="180">
        <f>R74+AC74</f>
        <v>1633.98</v>
      </c>
      <c r="AJ74" s="122"/>
      <c r="AK74" s="122"/>
      <c r="AL74" s="123">
        <v>2</v>
      </c>
      <c r="AM74" s="122"/>
      <c r="AN74" s="122"/>
      <c r="AO74" s="122">
        <v>1</v>
      </c>
      <c r="AP74" s="122">
        <v>1288</v>
      </c>
      <c r="AQ74" s="35"/>
      <c r="AR74" s="122">
        <f>236+118+189</f>
        <v>543</v>
      </c>
      <c r="AS74" s="122">
        <v>156</v>
      </c>
      <c r="AT74" s="122">
        <v>26</v>
      </c>
      <c r="AU74" s="122">
        <f>AV74+AW74</f>
        <v>1462</v>
      </c>
      <c r="AV74" s="122"/>
      <c r="AW74" s="122">
        <v>1462</v>
      </c>
      <c r="AX74" s="122">
        <v>1178</v>
      </c>
      <c r="AY74" s="122">
        <v>67</v>
      </c>
      <c r="AZ74" s="122">
        <v>417</v>
      </c>
      <c r="BA74" s="122">
        <v>417</v>
      </c>
      <c r="BB74" s="122">
        <v>10</v>
      </c>
      <c r="BC74" s="122">
        <v>7</v>
      </c>
      <c r="BD74" s="122">
        <v>110</v>
      </c>
      <c r="BE74" s="122">
        <v>40</v>
      </c>
      <c r="BF74" s="122">
        <v>1</v>
      </c>
      <c r="BG74" s="122">
        <v>7516</v>
      </c>
      <c r="BH74" s="122">
        <v>146</v>
      </c>
      <c r="BI74" s="122"/>
      <c r="BJ74" s="115" t="str">
        <f>IF((I74="кир"),G74,"0")</f>
        <v>0</v>
      </c>
      <c r="BK74" s="115" t="str">
        <f>IF((I74="кир"),R74,"0")</f>
        <v>0</v>
      </c>
      <c r="BL74" s="115" t="str">
        <f>IF((I74="кир"),S74,"0")</f>
        <v>0</v>
      </c>
      <c r="BM74" s="115">
        <f>IF((I74="пан"),G74,"0")</f>
        <v>1</v>
      </c>
      <c r="BN74" s="115">
        <f>IF((I74="пан"),R74,"0")</f>
        <v>1633.98</v>
      </c>
      <c r="BO74" s="115">
        <f>IF((I74="пан"),S74,"0")</f>
        <v>1076</v>
      </c>
      <c r="BP74" s="115" t="str">
        <f>IF((I74="смеш"),G74,"0")</f>
        <v>0</v>
      </c>
      <c r="BQ74" s="115" t="str">
        <f>IF((I74="смеш"),R74,"0")</f>
        <v>0</v>
      </c>
      <c r="BR74" s="115" t="str">
        <f>IF((I74="смеш"),S74,"0")</f>
        <v>0</v>
      </c>
      <c r="BS74" s="115"/>
      <c r="BT74" s="115">
        <v>2</v>
      </c>
      <c r="BU74" s="122"/>
      <c r="BV74" s="115"/>
      <c r="BW74" s="115"/>
      <c r="BX74" s="115"/>
      <c r="BY74" s="275">
        <v>789.58</v>
      </c>
      <c r="BZ74" s="253">
        <v>137.08000000000001</v>
      </c>
      <c r="CA74" s="354">
        <v>137.08000000000001</v>
      </c>
      <c r="CB74" s="354"/>
      <c r="CC74" s="354"/>
      <c r="CD74" s="354">
        <v>652.5</v>
      </c>
      <c r="CE74" s="354"/>
      <c r="CF74" s="354"/>
      <c r="CG74" s="354"/>
      <c r="CH74" s="355"/>
      <c r="CI74" s="356">
        <f t="shared" si="69"/>
        <v>789.58</v>
      </c>
      <c r="CJ74" s="356">
        <f t="shared" si="60"/>
        <v>137.08000000000001</v>
      </c>
      <c r="CK74" s="357">
        <v>417</v>
      </c>
      <c r="CL74" s="358">
        <f t="shared" si="70"/>
        <v>1206.58</v>
      </c>
      <c r="CM74" s="157">
        <v>2565</v>
      </c>
      <c r="CN74" s="275">
        <f>CM74-K74</f>
        <v>2141</v>
      </c>
      <c r="CO74" s="209" t="str">
        <f>IF(CP74&gt;0,G74,"0")</f>
        <v>0</v>
      </c>
      <c r="CP74" s="235">
        <f>AV74</f>
        <v>0</v>
      </c>
      <c r="CQ74" s="209">
        <f>IF(CR74&gt;0,G74,"0")</f>
        <v>1</v>
      </c>
      <c r="CR74" s="235">
        <f>AW74</f>
        <v>1462</v>
      </c>
      <c r="CS74" s="235">
        <f t="shared" si="71"/>
        <v>1</v>
      </c>
      <c r="CT74" s="235">
        <f t="shared" si="71"/>
        <v>1462</v>
      </c>
      <c r="CU74" s="14">
        <v>53</v>
      </c>
      <c r="CV74" s="284" t="str">
        <f>IF((X74/R74*100&gt;=50), G74, "0")</f>
        <v>0</v>
      </c>
      <c r="CW74" s="284" t="str">
        <f>IF((X74/R74*100&gt;=50), R74, "0")</f>
        <v>0</v>
      </c>
      <c r="CX74" s="243">
        <f>X74/R74*100</f>
        <v>7.9388976609260826</v>
      </c>
      <c r="CY74" s="216" t="str">
        <f>IF(((X74+AD74)/AI74*100&gt;=50), G74, "0")</f>
        <v>0</v>
      </c>
      <c r="CZ74" s="216" t="str">
        <f>IF(((X74+AD74)/AI74*100&gt;=50), AI74, "0")</f>
        <v>0</v>
      </c>
      <c r="DA74" s="243">
        <f>(X74+AD74)/AI74*100</f>
        <v>7.9388976609260826</v>
      </c>
      <c r="DB74" s="305">
        <v>1</v>
      </c>
      <c r="DC74" s="305">
        <v>0</v>
      </c>
      <c r="DD74" s="305">
        <v>0</v>
      </c>
      <c r="DE74" s="305">
        <v>0</v>
      </c>
      <c r="DF74" s="305">
        <v>1</v>
      </c>
      <c r="DG74" s="305">
        <v>0</v>
      </c>
      <c r="DH74" s="305">
        <v>0</v>
      </c>
      <c r="DI74" s="305">
        <v>0</v>
      </c>
      <c r="DJ74" s="306">
        <v>0</v>
      </c>
      <c r="DK74" s="306">
        <v>40</v>
      </c>
      <c r="DL74" s="306">
        <f>DK74-DM74</f>
        <v>35</v>
      </c>
      <c r="DM74" s="306">
        <v>5</v>
      </c>
      <c r="DN74" s="306">
        <v>31</v>
      </c>
      <c r="DO74" s="306">
        <v>15</v>
      </c>
      <c r="DP74" s="306">
        <v>25</v>
      </c>
      <c r="DQ74" s="306">
        <v>15</v>
      </c>
      <c r="DR74" s="306">
        <v>15</v>
      </c>
      <c r="DS74" s="306">
        <v>25</v>
      </c>
      <c r="DT74" s="306">
        <v>15</v>
      </c>
      <c r="DU74" s="306">
        <v>3</v>
      </c>
      <c r="DV74" s="306">
        <v>1</v>
      </c>
      <c r="DW74" s="306">
        <v>3</v>
      </c>
      <c r="DX74" s="306">
        <v>1</v>
      </c>
      <c r="DY74" s="306">
        <v>1</v>
      </c>
      <c r="DZ74" s="306">
        <v>3</v>
      </c>
      <c r="EA74" s="306">
        <v>1</v>
      </c>
      <c r="EB74" s="306">
        <v>40</v>
      </c>
      <c r="EC74" s="306">
        <v>40</v>
      </c>
      <c r="ED74" s="342"/>
      <c r="EE74" s="342"/>
    </row>
    <row r="75" spans="1:138" x14ac:dyDescent="0.2">
      <c r="A75" s="149" t="s">
        <v>142</v>
      </c>
      <c r="B75" s="169">
        <v>66</v>
      </c>
      <c r="C75" s="12" t="s">
        <v>87</v>
      </c>
      <c r="D75" s="13">
        <v>1965</v>
      </c>
      <c r="E75" s="11"/>
      <c r="F75" s="169" t="s">
        <v>20</v>
      </c>
      <c r="G75" s="35">
        <v>1</v>
      </c>
      <c r="H75" s="45">
        <v>5</v>
      </c>
      <c r="I75" s="1" t="s">
        <v>22</v>
      </c>
      <c r="J75" s="122">
        <v>9160</v>
      </c>
      <c r="K75" s="122">
        <v>666</v>
      </c>
      <c r="L75" s="122">
        <v>789</v>
      </c>
      <c r="M75" s="122"/>
      <c r="N75" s="122">
        <v>60</v>
      </c>
      <c r="O75" s="122">
        <v>115</v>
      </c>
      <c r="P75" s="122">
        <v>60</v>
      </c>
      <c r="Q75" s="122">
        <v>121</v>
      </c>
      <c r="R75" s="179">
        <f>2562.06+0.05</f>
        <v>2562.11</v>
      </c>
      <c r="S75" s="121">
        <v>1752.96</v>
      </c>
      <c r="T75" s="122">
        <f t="shared" si="46"/>
        <v>55</v>
      </c>
      <c r="U75" s="180">
        <f t="shared" si="47"/>
        <v>2373.37</v>
      </c>
      <c r="V75" s="180">
        <f t="shared" si="47"/>
        <v>1633.82</v>
      </c>
      <c r="W75" s="122">
        <v>5</v>
      </c>
      <c r="X75" s="180">
        <v>188.74</v>
      </c>
      <c r="Y75" s="180">
        <v>119.14</v>
      </c>
      <c r="Z75" s="122"/>
      <c r="AA75" s="180"/>
      <c r="AB75" s="180"/>
      <c r="AC75" s="180">
        <f t="shared" si="48"/>
        <v>0</v>
      </c>
      <c r="AD75" s="179">
        <f t="shared" si="49"/>
        <v>0</v>
      </c>
      <c r="AE75" s="271"/>
      <c r="AF75" s="180"/>
      <c r="AG75" s="180"/>
      <c r="AH75" s="180"/>
      <c r="AI75" s="180">
        <f t="shared" si="50"/>
        <v>2562.11</v>
      </c>
      <c r="AJ75" s="122"/>
      <c r="AK75" s="122"/>
      <c r="AL75" s="122">
        <v>3</v>
      </c>
      <c r="AM75" s="122"/>
      <c r="AN75" s="122"/>
      <c r="AO75" s="122">
        <v>1</v>
      </c>
      <c r="AP75" s="122">
        <v>1829</v>
      </c>
      <c r="AQ75" s="35"/>
      <c r="AR75" s="122">
        <f>99+38+98</f>
        <v>235</v>
      </c>
      <c r="AS75" s="122">
        <v>175</v>
      </c>
      <c r="AT75" s="122">
        <v>38</v>
      </c>
      <c r="AU75" s="122">
        <f t="shared" si="38"/>
        <v>2193</v>
      </c>
      <c r="AV75" s="122"/>
      <c r="AW75" s="122">
        <v>2193</v>
      </c>
      <c r="AX75" s="122">
        <v>1425</v>
      </c>
      <c r="AY75" s="122">
        <v>101</v>
      </c>
      <c r="AZ75" s="122">
        <v>658</v>
      </c>
      <c r="BA75" s="122">
        <v>658</v>
      </c>
      <c r="BB75" s="122">
        <v>15</v>
      </c>
      <c r="BC75" s="122">
        <v>10</v>
      </c>
      <c r="BD75" s="122">
        <v>176</v>
      </c>
      <c r="BE75" s="122">
        <v>60</v>
      </c>
      <c r="BF75" s="122">
        <v>1</v>
      </c>
      <c r="BG75" s="122">
        <v>11274</v>
      </c>
      <c r="BH75" s="122">
        <v>219</v>
      </c>
      <c r="BI75" s="122"/>
      <c r="BJ75" s="115" t="str">
        <f t="shared" si="51"/>
        <v>0</v>
      </c>
      <c r="BK75" s="115" t="str">
        <f t="shared" si="52"/>
        <v>0</v>
      </c>
      <c r="BL75" s="115" t="str">
        <f t="shared" si="53"/>
        <v>0</v>
      </c>
      <c r="BM75" s="115">
        <f t="shared" si="54"/>
        <v>1</v>
      </c>
      <c r="BN75" s="115">
        <f t="shared" si="55"/>
        <v>2562.11</v>
      </c>
      <c r="BO75" s="115">
        <f t="shared" si="56"/>
        <v>1752.96</v>
      </c>
      <c r="BP75" s="115" t="str">
        <f t="shared" si="57"/>
        <v>0</v>
      </c>
      <c r="BQ75" s="115" t="str">
        <f t="shared" si="58"/>
        <v>0</v>
      </c>
      <c r="BR75" s="115" t="str">
        <f t="shared" si="59"/>
        <v>0</v>
      </c>
      <c r="BS75" s="115">
        <v>2</v>
      </c>
      <c r="BT75" s="115"/>
      <c r="BU75" s="122"/>
      <c r="BV75" s="115"/>
      <c r="BW75" s="115"/>
      <c r="BX75" s="115"/>
      <c r="BY75" s="275">
        <v>862.43000000000006</v>
      </c>
      <c r="BZ75" s="253">
        <v>204.93</v>
      </c>
      <c r="CA75" s="354">
        <v>204.93</v>
      </c>
      <c r="CB75" s="354"/>
      <c r="CC75" s="354"/>
      <c r="CD75" s="354">
        <v>657.5</v>
      </c>
      <c r="CE75" s="354"/>
      <c r="CF75" s="354"/>
      <c r="CG75" s="354"/>
      <c r="CH75" s="355"/>
      <c r="CI75" s="356">
        <f t="shared" si="69"/>
        <v>862.43000000000006</v>
      </c>
      <c r="CJ75" s="356">
        <f t="shared" si="60"/>
        <v>204.93</v>
      </c>
      <c r="CK75" s="357">
        <v>658</v>
      </c>
      <c r="CL75" s="358">
        <f t="shared" si="70"/>
        <v>1520.43</v>
      </c>
      <c r="CM75" s="157">
        <v>1632</v>
      </c>
      <c r="CN75" s="275">
        <f t="shared" si="61"/>
        <v>966</v>
      </c>
      <c r="CO75" s="209" t="str">
        <f t="shared" si="40"/>
        <v>0</v>
      </c>
      <c r="CP75" s="235">
        <f t="shared" si="41"/>
        <v>0</v>
      </c>
      <c r="CQ75" s="209">
        <f>IF(CR75&gt;0,G75,"0")</f>
        <v>1</v>
      </c>
      <c r="CR75" s="235">
        <f t="shared" si="43"/>
        <v>2193</v>
      </c>
      <c r="CS75" s="235">
        <f t="shared" si="44"/>
        <v>1</v>
      </c>
      <c r="CT75" s="235">
        <f t="shared" si="44"/>
        <v>2193</v>
      </c>
      <c r="CU75" s="14">
        <v>54</v>
      </c>
      <c r="CV75" s="284" t="str">
        <f t="shared" si="62"/>
        <v>0</v>
      </c>
      <c r="CW75" s="284" t="str">
        <f t="shared" si="63"/>
        <v>0</v>
      </c>
      <c r="CX75" s="243">
        <f t="shared" si="64"/>
        <v>7.3665845728715791</v>
      </c>
      <c r="CY75" s="216" t="str">
        <f t="shared" si="65"/>
        <v>0</v>
      </c>
      <c r="CZ75" s="216" t="str">
        <f t="shared" si="66"/>
        <v>0</v>
      </c>
      <c r="DA75" s="243">
        <f t="shared" si="67"/>
        <v>7.3665845728715791</v>
      </c>
      <c r="DB75" s="305">
        <v>1</v>
      </c>
      <c r="DC75" s="305">
        <v>0</v>
      </c>
      <c r="DD75" s="305">
        <v>0</v>
      </c>
      <c r="DE75" s="305">
        <v>0</v>
      </c>
      <c r="DF75" s="305">
        <v>1</v>
      </c>
      <c r="DG75" s="305">
        <v>0</v>
      </c>
      <c r="DH75" s="305">
        <v>0</v>
      </c>
      <c r="DI75" s="305">
        <v>0</v>
      </c>
      <c r="DJ75" s="306">
        <v>0</v>
      </c>
      <c r="DK75" s="306">
        <v>60</v>
      </c>
      <c r="DL75" s="306">
        <f t="shared" si="45"/>
        <v>53</v>
      </c>
      <c r="DM75" s="306">
        <v>7</v>
      </c>
      <c r="DN75" s="306">
        <v>48</v>
      </c>
      <c r="DO75" s="306">
        <v>25</v>
      </c>
      <c r="DP75" s="306">
        <v>35</v>
      </c>
      <c r="DQ75" s="306">
        <v>25</v>
      </c>
      <c r="DR75" s="306">
        <v>26</v>
      </c>
      <c r="DS75" s="306">
        <v>34</v>
      </c>
      <c r="DT75" s="306">
        <v>26</v>
      </c>
      <c r="DU75" s="306">
        <v>6</v>
      </c>
      <c r="DV75" s="306">
        <v>3</v>
      </c>
      <c r="DW75" s="306">
        <v>4</v>
      </c>
      <c r="DX75" s="306">
        <v>3</v>
      </c>
      <c r="DY75" s="306">
        <v>3</v>
      </c>
      <c r="DZ75" s="306">
        <v>4</v>
      </c>
      <c r="EA75" s="306">
        <v>3</v>
      </c>
      <c r="EB75" s="306">
        <v>60</v>
      </c>
      <c r="EC75" s="306">
        <v>60</v>
      </c>
      <c r="ED75" s="342"/>
      <c r="EE75" s="342"/>
    </row>
    <row r="76" spans="1:138" x14ac:dyDescent="0.2">
      <c r="A76" s="12" t="s">
        <v>142</v>
      </c>
      <c r="B76" s="169">
        <v>67</v>
      </c>
      <c r="C76" s="12" t="s">
        <v>160</v>
      </c>
      <c r="D76" s="13">
        <v>1981</v>
      </c>
      <c r="E76" s="11"/>
      <c r="F76" s="169">
        <v>84</v>
      </c>
      <c r="G76" s="35">
        <v>1</v>
      </c>
      <c r="H76" s="45">
        <v>9</v>
      </c>
      <c r="I76" s="1" t="s">
        <v>22</v>
      </c>
      <c r="J76" s="122">
        <v>14589</v>
      </c>
      <c r="K76" s="122">
        <v>616</v>
      </c>
      <c r="L76" s="122"/>
      <c r="M76" s="122">
        <v>568</v>
      </c>
      <c r="N76" s="122">
        <v>72</v>
      </c>
      <c r="O76" s="122">
        <v>142</v>
      </c>
      <c r="P76" s="122">
        <v>72</v>
      </c>
      <c r="Q76" s="122">
        <v>112</v>
      </c>
      <c r="R76" s="179">
        <f>3608.7+2.9</f>
        <v>3611.6</v>
      </c>
      <c r="S76" s="121">
        <v>2130</v>
      </c>
      <c r="T76" s="122">
        <f t="shared" si="46"/>
        <v>68</v>
      </c>
      <c r="U76" s="180">
        <f t="shared" si="47"/>
        <v>3426.2999999999997</v>
      </c>
      <c r="V76" s="180">
        <f t="shared" si="47"/>
        <v>2022.53</v>
      </c>
      <c r="W76" s="122">
        <v>4</v>
      </c>
      <c r="X76" s="180">
        <v>185.3</v>
      </c>
      <c r="Y76" s="180">
        <v>107.47</v>
      </c>
      <c r="Z76" s="122"/>
      <c r="AA76" s="180"/>
      <c r="AB76" s="180"/>
      <c r="AC76" s="180">
        <f t="shared" si="48"/>
        <v>0</v>
      </c>
      <c r="AD76" s="179">
        <f t="shared" si="49"/>
        <v>0</v>
      </c>
      <c r="AE76" s="271"/>
      <c r="AF76" s="180"/>
      <c r="AG76" s="180"/>
      <c r="AH76" s="180"/>
      <c r="AI76" s="180">
        <f t="shared" si="50"/>
        <v>3611.6</v>
      </c>
      <c r="AJ76" s="122"/>
      <c r="AK76" s="122">
        <v>2</v>
      </c>
      <c r="AL76" s="122">
        <v>2</v>
      </c>
      <c r="AM76" s="122">
        <v>2</v>
      </c>
      <c r="AN76" s="122"/>
      <c r="AO76" s="122">
        <v>2</v>
      </c>
      <c r="AP76" s="122">
        <v>3031</v>
      </c>
      <c r="AQ76" s="35">
        <v>12</v>
      </c>
      <c r="AR76" s="122">
        <f>98+42+114</f>
        <v>254</v>
      </c>
      <c r="AS76" s="122">
        <v>220</v>
      </c>
      <c r="AT76" s="122">
        <v>108</v>
      </c>
      <c r="AU76" s="122">
        <f t="shared" si="38"/>
        <v>4429</v>
      </c>
      <c r="AV76" s="122">
        <v>3967</v>
      </c>
      <c r="AW76" s="122">
        <v>462</v>
      </c>
      <c r="AX76" s="122">
        <v>1752</v>
      </c>
      <c r="AY76" s="122">
        <v>149</v>
      </c>
      <c r="AZ76" s="122">
        <v>568</v>
      </c>
      <c r="BA76" s="122">
        <v>568</v>
      </c>
      <c r="BB76" s="122">
        <v>32</v>
      </c>
      <c r="BC76" s="122">
        <v>15</v>
      </c>
      <c r="BD76" s="122">
        <v>208</v>
      </c>
      <c r="BE76" s="122">
        <v>72</v>
      </c>
      <c r="BF76" s="122">
        <v>1</v>
      </c>
      <c r="BG76" s="122">
        <v>11588</v>
      </c>
      <c r="BH76" s="122">
        <v>944</v>
      </c>
      <c r="BI76" s="122">
        <v>294</v>
      </c>
      <c r="BJ76" s="115" t="str">
        <f t="shared" si="51"/>
        <v>0</v>
      </c>
      <c r="BK76" s="115" t="str">
        <f t="shared" si="52"/>
        <v>0</v>
      </c>
      <c r="BL76" s="115" t="str">
        <f t="shared" si="53"/>
        <v>0</v>
      </c>
      <c r="BM76" s="115">
        <f t="shared" si="54"/>
        <v>1</v>
      </c>
      <c r="BN76" s="115">
        <f t="shared" si="55"/>
        <v>3611.6</v>
      </c>
      <c r="BO76" s="115">
        <f t="shared" si="56"/>
        <v>2130</v>
      </c>
      <c r="BP76" s="115" t="str">
        <f t="shared" si="57"/>
        <v>0</v>
      </c>
      <c r="BQ76" s="115" t="str">
        <f t="shared" si="58"/>
        <v>0</v>
      </c>
      <c r="BR76" s="115" t="str">
        <f t="shared" si="59"/>
        <v>0</v>
      </c>
      <c r="BS76" s="115">
        <v>2</v>
      </c>
      <c r="BT76" s="115"/>
      <c r="BU76" s="122">
        <v>568</v>
      </c>
      <c r="BV76" s="115">
        <v>170</v>
      </c>
      <c r="BW76" s="115"/>
      <c r="BX76" s="115"/>
      <c r="BY76" s="275">
        <v>1095.4000000000001</v>
      </c>
      <c r="BZ76" s="253">
        <v>603.1</v>
      </c>
      <c r="CA76" s="354">
        <f>592.7-3.2*2</f>
        <v>586.30000000000007</v>
      </c>
      <c r="CB76" s="354">
        <f>3.2*2+20.9</f>
        <v>27.299999999999997</v>
      </c>
      <c r="CC76" s="354">
        <f>7.4+9.4</f>
        <v>16.8</v>
      </c>
      <c r="CD76" s="354">
        <v>449.6</v>
      </c>
      <c r="CE76" s="354">
        <f>2.8+2.8</f>
        <v>5.6</v>
      </c>
      <c r="CF76" s="354"/>
      <c r="CG76" s="354">
        <f>4.9+4.9</f>
        <v>9.8000000000000007</v>
      </c>
      <c r="CH76" s="355"/>
      <c r="CI76" s="356">
        <f t="shared" si="69"/>
        <v>1095.4000000000001</v>
      </c>
      <c r="CJ76" s="356">
        <f t="shared" si="60"/>
        <v>603.1</v>
      </c>
      <c r="CK76" s="357">
        <v>568</v>
      </c>
      <c r="CL76" s="358">
        <f t="shared" si="70"/>
        <v>1663.4</v>
      </c>
      <c r="CM76" s="157">
        <v>1361</v>
      </c>
      <c r="CN76" s="275">
        <f t="shared" si="61"/>
        <v>745</v>
      </c>
      <c r="CO76" s="209">
        <f t="shared" si="40"/>
        <v>1</v>
      </c>
      <c r="CP76" s="235">
        <f t="shared" si="41"/>
        <v>3967</v>
      </c>
      <c r="CQ76" s="209"/>
      <c r="CR76" s="235">
        <f t="shared" si="43"/>
        <v>462</v>
      </c>
      <c r="CS76" s="235">
        <f t="shared" si="44"/>
        <v>1</v>
      </c>
      <c r="CT76" s="235">
        <f t="shared" si="44"/>
        <v>4429</v>
      </c>
      <c r="CU76" s="14">
        <v>47</v>
      </c>
      <c r="CV76" s="284" t="str">
        <f t="shared" si="62"/>
        <v>0</v>
      </c>
      <c r="CW76" s="284" t="str">
        <f t="shared" si="63"/>
        <v>0</v>
      </c>
      <c r="CX76" s="243">
        <f t="shared" si="64"/>
        <v>5.1306899988924588</v>
      </c>
      <c r="CY76" s="216" t="str">
        <f t="shared" si="65"/>
        <v>0</v>
      </c>
      <c r="CZ76" s="216" t="str">
        <f t="shared" si="66"/>
        <v>0</v>
      </c>
      <c r="DA76" s="243">
        <f t="shared" si="67"/>
        <v>5.1306899988924588</v>
      </c>
      <c r="DB76" s="305">
        <v>1</v>
      </c>
      <c r="DC76" s="305">
        <v>0</v>
      </c>
      <c r="DD76" s="305">
        <v>0</v>
      </c>
      <c r="DE76" s="305">
        <v>0</v>
      </c>
      <c r="DF76" s="305">
        <v>2</v>
      </c>
      <c r="DG76" s="305">
        <v>0</v>
      </c>
      <c r="DH76" s="305">
        <v>0</v>
      </c>
      <c r="DI76" s="305">
        <v>0</v>
      </c>
      <c r="DJ76" s="306">
        <v>0</v>
      </c>
      <c r="DK76" s="306">
        <v>72</v>
      </c>
      <c r="DL76" s="306">
        <f t="shared" si="45"/>
        <v>68</v>
      </c>
      <c r="DM76" s="306">
        <v>4</v>
      </c>
      <c r="DN76" s="306">
        <v>52</v>
      </c>
      <c r="DO76" s="306">
        <v>36</v>
      </c>
      <c r="DP76" s="306">
        <v>45</v>
      </c>
      <c r="DQ76" s="306">
        <v>45</v>
      </c>
      <c r="DR76" s="306">
        <v>38</v>
      </c>
      <c r="DS76" s="306">
        <v>42</v>
      </c>
      <c r="DT76" s="306">
        <v>48</v>
      </c>
      <c r="DU76" s="306">
        <v>2</v>
      </c>
      <c r="DV76" s="306">
        <v>0</v>
      </c>
      <c r="DW76" s="306">
        <v>3</v>
      </c>
      <c r="DX76" s="306">
        <v>0</v>
      </c>
      <c r="DY76" s="306">
        <v>0</v>
      </c>
      <c r="DZ76" s="306">
        <v>3</v>
      </c>
      <c r="EA76" s="306">
        <v>0</v>
      </c>
      <c r="EB76" s="306">
        <v>72</v>
      </c>
      <c r="EC76" s="306">
        <v>72</v>
      </c>
      <c r="ED76" s="342"/>
      <c r="EE76" s="342"/>
    </row>
    <row r="77" spans="1:138" x14ac:dyDescent="0.2">
      <c r="A77" s="12" t="s">
        <v>142</v>
      </c>
      <c r="B77" s="169">
        <v>68</v>
      </c>
      <c r="C77" s="12" t="s">
        <v>88</v>
      </c>
      <c r="D77" s="13">
        <v>1966</v>
      </c>
      <c r="E77" s="11"/>
      <c r="F77" s="169" t="s">
        <v>20</v>
      </c>
      <c r="G77" s="35">
        <v>1</v>
      </c>
      <c r="H77" s="45">
        <v>5</v>
      </c>
      <c r="I77" s="1" t="s">
        <v>22</v>
      </c>
      <c r="J77" s="122">
        <v>8935</v>
      </c>
      <c r="K77" s="122">
        <v>669</v>
      </c>
      <c r="L77" s="122">
        <v>781</v>
      </c>
      <c r="M77" s="122"/>
      <c r="N77" s="122">
        <v>59</v>
      </c>
      <c r="O77" s="122">
        <v>114</v>
      </c>
      <c r="P77" s="122">
        <v>59</v>
      </c>
      <c r="Q77" s="122">
        <v>100</v>
      </c>
      <c r="R77" s="179">
        <f>2541.54+0.01</f>
        <v>2541.5500000000002</v>
      </c>
      <c r="S77" s="121">
        <v>1698</v>
      </c>
      <c r="T77" s="122">
        <f t="shared" si="46"/>
        <v>57</v>
      </c>
      <c r="U77" s="180">
        <f t="shared" si="47"/>
        <v>2454.75</v>
      </c>
      <c r="V77" s="180">
        <f t="shared" si="47"/>
        <v>1640.36</v>
      </c>
      <c r="W77" s="122">
        <v>2</v>
      </c>
      <c r="X77" s="180">
        <v>86.8</v>
      </c>
      <c r="Y77" s="180">
        <v>57.64</v>
      </c>
      <c r="Z77" s="122"/>
      <c r="AA77" s="180"/>
      <c r="AB77" s="180"/>
      <c r="AC77" s="180">
        <f t="shared" si="48"/>
        <v>0</v>
      </c>
      <c r="AD77" s="179">
        <f t="shared" si="49"/>
        <v>0</v>
      </c>
      <c r="AE77" s="271"/>
      <c r="AF77" s="180"/>
      <c r="AG77" s="180"/>
      <c r="AH77" s="180"/>
      <c r="AI77" s="180">
        <f t="shared" si="50"/>
        <v>2541.5500000000002</v>
      </c>
      <c r="AJ77" s="122"/>
      <c r="AK77" s="122"/>
      <c r="AL77" s="122">
        <v>3</v>
      </c>
      <c r="AM77" s="122"/>
      <c r="AN77" s="122"/>
      <c r="AO77" s="122">
        <v>1</v>
      </c>
      <c r="AP77" s="122">
        <v>1810</v>
      </c>
      <c r="AQ77" s="35"/>
      <c r="AR77" s="122">
        <f>137+68+92</f>
        <v>297</v>
      </c>
      <c r="AS77" s="122">
        <v>180</v>
      </c>
      <c r="AT77" s="122">
        <v>38</v>
      </c>
      <c r="AU77" s="122">
        <f t="shared" si="38"/>
        <v>2193</v>
      </c>
      <c r="AV77" s="122"/>
      <c r="AW77" s="122">
        <v>2193</v>
      </c>
      <c r="AX77" s="122">
        <v>1425</v>
      </c>
      <c r="AY77" s="122">
        <v>141</v>
      </c>
      <c r="AZ77" s="122">
        <v>650</v>
      </c>
      <c r="BA77" s="122">
        <v>650</v>
      </c>
      <c r="BB77" s="122">
        <v>15</v>
      </c>
      <c r="BC77" s="122">
        <v>10</v>
      </c>
      <c r="BD77" s="122">
        <v>173</v>
      </c>
      <c r="BE77" s="122">
        <v>59</v>
      </c>
      <c r="BF77" s="122">
        <v>1</v>
      </c>
      <c r="BG77" s="122">
        <v>11274</v>
      </c>
      <c r="BH77" s="122">
        <v>219</v>
      </c>
      <c r="BI77" s="122"/>
      <c r="BJ77" s="115" t="str">
        <f t="shared" si="51"/>
        <v>0</v>
      </c>
      <c r="BK77" s="115" t="str">
        <f t="shared" si="52"/>
        <v>0</v>
      </c>
      <c r="BL77" s="115" t="str">
        <f t="shared" si="53"/>
        <v>0</v>
      </c>
      <c r="BM77" s="115">
        <f t="shared" si="54"/>
        <v>1</v>
      </c>
      <c r="BN77" s="115">
        <f t="shared" si="55"/>
        <v>2541.5500000000002</v>
      </c>
      <c r="BO77" s="115">
        <f t="shared" si="56"/>
        <v>1698</v>
      </c>
      <c r="BP77" s="115" t="str">
        <f t="shared" si="57"/>
        <v>0</v>
      </c>
      <c r="BQ77" s="115" t="str">
        <f t="shared" si="58"/>
        <v>0</v>
      </c>
      <c r="BR77" s="115" t="str">
        <f t="shared" si="59"/>
        <v>0</v>
      </c>
      <c r="BS77" s="115"/>
      <c r="BT77" s="115">
        <v>1</v>
      </c>
      <c r="BU77" s="122"/>
      <c r="BV77" s="115"/>
      <c r="BW77" s="115"/>
      <c r="BX77" s="115"/>
      <c r="BY77" s="275">
        <v>893.5</v>
      </c>
      <c r="BZ77" s="253">
        <v>203.86</v>
      </c>
      <c r="CA77" s="354">
        <v>203.86</v>
      </c>
      <c r="CB77" s="354"/>
      <c r="CC77" s="354"/>
      <c r="CD77" s="354">
        <v>649.79999999999995</v>
      </c>
      <c r="CE77" s="354">
        <v>39.840000000000003</v>
      </c>
      <c r="CF77" s="354"/>
      <c r="CG77" s="354"/>
      <c r="CH77" s="355"/>
      <c r="CI77" s="356">
        <f t="shared" si="69"/>
        <v>893.5</v>
      </c>
      <c r="CJ77" s="356">
        <f t="shared" si="60"/>
        <v>203.86</v>
      </c>
      <c r="CK77" s="357">
        <v>650</v>
      </c>
      <c r="CL77" s="358">
        <f t="shared" si="70"/>
        <v>1543.5</v>
      </c>
      <c r="CM77" s="157">
        <v>1575</v>
      </c>
      <c r="CN77" s="275">
        <f t="shared" si="61"/>
        <v>906</v>
      </c>
      <c r="CO77" s="209" t="str">
        <f t="shared" si="40"/>
        <v>0</v>
      </c>
      <c r="CP77" s="235">
        <f t="shared" si="41"/>
        <v>0</v>
      </c>
      <c r="CQ77" s="209">
        <f t="shared" ref="CQ77:CQ82" si="72">IF(CR77&gt;0,G77,"0")</f>
        <v>1</v>
      </c>
      <c r="CR77" s="235">
        <f t="shared" si="43"/>
        <v>2193</v>
      </c>
      <c r="CS77" s="235">
        <f t="shared" si="44"/>
        <v>1</v>
      </c>
      <c r="CT77" s="235">
        <f t="shared" si="44"/>
        <v>2193</v>
      </c>
      <c r="CU77" s="14">
        <v>54</v>
      </c>
      <c r="CV77" s="284" t="str">
        <f t="shared" si="62"/>
        <v>0</v>
      </c>
      <c r="CW77" s="284" t="str">
        <f t="shared" si="63"/>
        <v>0</v>
      </c>
      <c r="CX77" s="243">
        <f t="shared" si="64"/>
        <v>3.4152387322696778</v>
      </c>
      <c r="CY77" s="216" t="str">
        <f t="shared" si="65"/>
        <v>0</v>
      </c>
      <c r="CZ77" s="216" t="str">
        <f t="shared" si="66"/>
        <v>0</v>
      </c>
      <c r="DA77" s="243">
        <f t="shared" si="67"/>
        <v>3.4152387322696778</v>
      </c>
      <c r="DB77" s="305">
        <v>1</v>
      </c>
      <c r="DC77" s="305">
        <v>0</v>
      </c>
      <c r="DD77" s="305">
        <v>0</v>
      </c>
      <c r="DE77" s="305">
        <v>0</v>
      </c>
      <c r="DF77" s="305">
        <v>1</v>
      </c>
      <c r="DG77" s="305">
        <v>0</v>
      </c>
      <c r="DH77" s="305">
        <v>0</v>
      </c>
      <c r="DI77" s="305">
        <v>0</v>
      </c>
      <c r="DJ77" s="306">
        <v>0</v>
      </c>
      <c r="DK77" s="306">
        <v>59</v>
      </c>
      <c r="DL77" s="306">
        <f t="shared" si="45"/>
        <v>59</v>
      </c>
      <c r="DM77" s="306">
        <v>0</v>
      </c>
      <c r="DN77" s="306">
        <v>50</v>
      </c>
      <c r="DO77" s="306">
        <v>31</v>
      </c>
      <c r="DP77" s="306">
        <v>28</v>
      </c>
      <c r="DQ77" s="306">
        <v>31</v>
      </c>
      <c r="DR77" s="306">
        <v>33</v>
      </c>
      <c r="DS77" s="306">
        <v>26</v>
      </c>
      <c r="DT77" s="306">
        <v>33</v>
      </c>
      <c r="DU77" s="306">
        <v>0</v>
      </c>
      <c r="DV77" s="306">
        <v>0</v>
      </c>
      <c r="DW77" s="306">
        <v>0</v>
      </c>
      <c r="DX77" s="306">
        <v>0</v>
      </c>
      <c r="DY77" s="306">
        <v>0</v>
      </c>
      <c r="DZ77" s="306">
        <v>0</v>
      </c>
      <c r="EA77" s="306">
        <v>0</v>
      </c>
      <c r="EB77" s="306">
        <v>59</v>
      </c>
      <c r="EC77" s="306">
        <v>59</v>
      </c>
      <c r="ED77" s="342"/>
      <c r="EE77" s="342"/>
    </row>
    <row r="78" spans="1:138" x14ac:dyDescent="0.2">
      <c r="A78" s="12" t="s">
        <v>142</v>
      </c>
      <c r="B78" s="169">
        <v>69</v>
      </c>
      <c r="C78" s="12" t="s">
        <v>161</v>
      </c>
      <c r="D78" s="13">
        <v>1970</v>
      </c>
      <c r="E78" s="11"/>
      <c r="F78" s="169" t="s">
        <v>13</v>
      </c>
      <c r="G78" s="35">
        <v>1</v>
      </c>
      <c r="H78" s="45">
        <v>5</v>
      </c>
      <c r="I78" s="1" t="s">
        <v>19</v>
      </c>
      <c r="J78" s="122">
        <v>10021</v>
      </c>
      <c r="K78" s="122">
        <v>715</v>
      </c>
      <c r="L78" s="122">
        <v>834</v>
      </c>
      <c r="M78" s="122"/>
      <c r="N78" s="122">
        <v>59</v>
      </c>
      <c r="O78" s="122">
        <v>115</v>
      </c>
      <c r="P78" s="122">
        <v>59</v>
      </c>
      <c r="Q78" s="122">
        <v>105</v>
      </c>
      <c r="R78" s="179">
        <f>2527+0.04</f>
        <v>2527.04</v>
      </c>
      <c r="S78" s="121">
        <v>1643</v>
      </c>
      <c r="T78" s="122">
        <f t="shared" si="46"/>
        <v>54</v>
      </c>
      <c r="U78" s="180">
        <f t="shared" si="47"/>
        <v>2311.77</v>
      </c>
      <c r="V78" s="180">
        <f t="shared" si="47"/>
        <v>1501.03</v>
      </c>
      <c r="W78" s="122">
        <v>5</v>
      </c>
      <c r="X78" s="180">
        <v>215.27</v>
      </c>
      <c r="Y78" s="180">
        <v>141.97</v>
      </c>
      <c r="Z78" s="122"/>
      <c r="AA78" s="180"/>
      <c r="AB78" s="180"/>
      <c r="AC78" s="180">
        <f t="shared" si="48"/>
        <v>0</v>
      </c>
      <c r="AD78" s="179">
        <f t="shared" si="49"/>
        <v>0</v>
      </c>
      <c r="AE78" s="271"/>
      <c r="AF78" s="180"/>
      <c r="AG78" s="180"/>
      <c r="AH78" s="180"/>
      <c r="AI78" s="180">
        <f t="shared" si="50"/>
        <v>2527.04</v>
      </c>
      <c r="AJ78" s="122"/>
      <c r="AK78" s="122"/>
      <c r="AL78" s="122">
        <v>3</v>
      </c>
      <c r="AM78" s="122"/>
      <c r="AN78" s="122"/>
      <c r="AO78" s="122">
        <v>1</v>
      </c>
      <c r="AP78" s="122">
        <v>1910</v>
      </c>
      <c r="AQ78" s="35"/>
      <c r="AR78" s="122">
        <f>68+34+92</f>
        <v>194</v>
      </c>
      <c r="AS78" s="122">
        <v>150</v>
      </c>
      <c r="AT78" s="122">
        <v>38</v>
      </c>
      <c r="AU78" s="122">
        <f t="shared" si="38"/>
        <v>2193</v>
      </c>
      <c r="AV78" s="122"/>
      <c r="AW78" s="122">
        <v>2193</v>
      </c>
      <c r="AX78" s="122"/>
      <c r="AY78" s="122">
        <v>83</v>
      </c>
      <c r="AZ78" s="122">
        <v>698</v>
      </c>
      <c r="BA78" s="122">
        <v>698</v>
      </c>
      <c r="BB78" s="122">
        <v>15</v>
      </c>
      <c r="BC78" s="122">
        <v>10</v>
      </c>
      <c r="BD78" s="122">
        <v>178</v>
      </c>
      <c r="BE78" s="122">
        <v>59</v>
      </c>
      <c r="BF78" s="122">
        <v>3</v>
      </c>
      <c r="BG78" s="122">
        <v>11154</v>
      </c>
      <c r="BH78" s="122">
        <v>369</v>
      </c>
      <c r="BI78" s="122"/>
      <c r="BJ78" s="115">
        <f t="shared" si="51"/>
        <v>1</v>
      </c>
      <c r="BK78" s="115">
        <f t="shared" si="52"/>
        <v>2527.04</v>
      </c>
      <c r="BL78" s="115">
        <f t="shared" si="53"/>
        <v>1643</v>
      </c>
      <c r="BM78" s="115" t="str">
        <f t="shared" si="54"/>
        <v>0</v>
      </c>
      <c r="BN78" s="115" t="str">
        <f t="shared" si="55"/>
        <v>0</v>
      </c>
      <c r="BO78" s="115" t="str">
        <f t="shared" si="56"/>
        <v>0</v>
      </c>
      <c r="BP78" s="115" t="str">
        <f t="shared" si="57"/>
        <v>0</v>
      </c>
      <c r="BQ78" s="115" t="str">
        <f t="shared" si="58"/>
        <v>0</v>
      </c>
      <c r="BR78" s="115" t="str">
        <f t="shared" si="59"/>
        <v>0</v>
      </c>
      <c r="BS78" s="115">
        <v>1</v>
      </c>
      <c r="BT78" s="115">
        <v>1</v>
      </c>
      <c r="BU78" s="122"/>
      <c r="BV78" s="115"/>
      <c r="BW78" s="115"/>
      <c r="BX78" s="115">
        <f>AP78</f>
        <v>1910</v>
      </c>
      <c r="BY78" s="275">
        <v>892.61999999999989</v>
      </c>
      <c r="BZ78" s="253">
        <v>186.17</v>
      </c>
      <c r="CA78" s="362">
        <v>186.17</v>
      </c>
      <c r="CB78" s="354"/>
      <c r="CC78" s="354"/>
      <c r="CD78" s="363">
        <v>698.3</v>
      </c>
      <c r="CE78" s="362">
        <v>8.15</v>
      </c>
      <c r="CF78" s="362"/>
      <c r="CG78" s="362"/>
      <c r="CH78" s="364"/>
      <c r="CI78" s="356">
        <f t="shared" si="69"/>
        <v>892.61999999999989</v>
      </c>
      <c r="CJ78" s="356">
        <f t="shared" si="60"/>
        <v>186.17</v>
      </c>
      <c r="CK78" s="357">
        <v>698</v>
      </c>
      <c r="CL78" s="358">
        <f t="shared" si="70"/>
        <v>1590.62</v>
      </c>
      <c r="CM78" s="157">
        <v>1755</v>
      </c>
      <c r="CN78" s="275">
        <f t="shared" si="61"/>
        <v>1040</v>
      </c>
      <c r="CO78" s="209" t="str">
        <f t="shared" si="40"/>
        <v>0</v>
      </c>
      <c r="CP78" s="235">
        <f t="shared" si="41"/>
        <v>0</v>
      </c>
      <c r="CQ78" s="209">
        <f t="shared" si="72"/>
        <v>1</v>
      </c>
      <c r="CR78" s="235">
        <f t="shared" si="43"/>
        <v>2193</v>
      </c>
      <c r="CS78" s="235">
        <f t="shared" si="44"/>
        <v>1</v>
      </c>
      <c r="CT78" s="235">
        <f t="shared" si="44"/>
        <v>2193</v>
      </c>
      <c r="CU78" s="14">
        <v>46</v>
      </c>
      <c r="CV78" s="284" t="str">
        <f t="shared" si="62"/>
        <v>0</v>
      </c>
      <c r="CW78" s="284" t="str">
        <f t="shared" si="63"/>
        <v>0</v>
      </c>
      <c r="CX78" s="243">
        <f t="shared" si="64"/>
        <v>8.5186621501836139</v>
      </c>
      <c r="CY78" s="216" t="str">
        <f t="shared" si="65"/>
        <v>0</v>
      </c>
      <c r="CZ78" s="216" t="str">
        <f t="shared" si="66"/>
        <v>0</v>
      </c>
      <c r="DA78" s="243">
        <f t="shared" si="67"/>
        <v>8.5186621501836139</v>
      </c>
      <c r="DB78" s="305">
        <v>1</v>
      </c>
      <c r="DC78" s="305">
        <v>0</v>
      </c>
      <c r="DD78" s="305">
        <v>0</v>
      </c>
      <c r="DE78" s="305">
        <v>0</v>
      </c>
      <c r="DF78" s="305">
        <v>1</v>
      </c>
      <c r="DG78" s="305">
        <v>0</v>
      </c>
      <c r="DH78" s="305">
        <v>0</v>
      </c>
      <c r="DI78" s="305">
        <v>0</v>
      </c>
      <c r="DJ78" s="306">
        <v>0</v>
      </c>
      <c r="DK78" s="306">
        <v>59</v>
      </c>
      <c r="DL78" s="306">
        <f t="shared" si="45"/>
        <v>54</v>
      </c>
      <c r="DM78" s="306">
        <v>5</v>
      </c>
      <c r="DN78" s="306">
        <v>36</v>
      </c>
      <c r="DO78" s="306">
        <v>26</v>
      </c>
      <c r="DP78" s="306">
        <v>33</v>
      </c>
      <c r="DQ78" s="306">
        <v>26</v>
      </c>
      <c r="DR78" s="306">
        <v>26</v>
      </c>
      <c r="DS78" s="306">
        <v>32</v>
      </c>
      <c r="DT78" s="306">
        <v>27</v>
      </c>
      <c r="DU78" s="306">
        <v>4</v>
      </c>
      <c r="DV78" s="306">
        <v>3</v>
      </c>
      <c r="DW78" s="306">
        <v>1</v>
      </c>
      <c r="DX78" s="306">
        <v>3</v>
      </c>
      <c r="DY78" s="306">
        <v>3</v>
      </c>
      <c r="DZ78" s="306">
        <v>1</v>
      </c>
      <c r="EA78" s="306">
        <v>3</v>
      </c>
      <c r="EB78" s="306">
        <v>59</v>
      </c>
      <c r="EC78" s="306">
        <v>59</v>
      </c>
      <c r="ED78" s="342"/>
      <c r="EE78" s="342"/>
    </row>
    <row r="79" spans="1:138" x14ac:dyDescent="0.2">
      <c r="A79" s="12" t="s">
        <v>142</v>
      </c>
      <c r="B79" s="169">
        <v>70</v>
      </c>
      <c r="C79" s="12" t="s">
        <v>89</v>
      </c>
      <c r="D79" s="13">
        <v>1966</v>
      </c>
      <c r="E79" s="11"/>
      <c r="F79" s="169" t="s">
        <v>20</v>
      </c>
      <c r="G79" s="35">
        <v>1</v>
      </c>
      <c r="H79" s="45">
        <v>5</v>
      </c>
      <c r="I79" s="1" t="s">
        <v>22</v>
      </c>
      <c r="J79" s="122">
        <v>9077</v>
      </c>
      <c r="K79" s="122">
        <v>675</v>
      </c>
      <c r="L79" s="122">
        <v>787</v>
      </c>
      <c r="M79" s="122"/>
      <c r="N79" s="122">
        <v>60</v>
      </c>
      <c r="O79" s="122">
        <v>115</v>
      </c>
      <c r="P79" s="122">
        <v>60</v>
      </c>
      <c r="Q79" s="122">
        <v>117</v>
      </c>
      <c r="R79" s="179">
        <v>2593.9</v>
      </c>
      <c r="S79" s="121">
        <v>1771</v>
      </c>
      <c r="T79" s="122">
        <f t="shared" si="46"/>
        <v>51</v>
      </c>
      <c r="U79" s="180">
        <f t="shared" si="47"/>
        <v>2206.7000000000003</v>
      </c>
      <c r="V79" s="180">
        <f t="shared" si="47"/>
        <v>1496.09</v>
      </c>
      <c r="W79" s="122">
        <v>9</v>
      </c>
      <c r="X79" s="180">
        <v>387.2</v>
      </c>
      <c r="Y79" s="180">
        <v>274.91000000000003</v>
      </c>
      <c r="Z79" s="122"/>
      <c r="AA79" s="180"/>
      <c r="AB79" s="180"/>
      <c r="AC79" s="180">
        <f t="shared" si="48"/>
        <v>0</v>
      </c>
      <c r="AD79" s="179">
        <f t="shared" si="49"/>
        <v>0</v>
      </c>
      <c r="AE79" s="271"/>
      <c r="AF79" s="180"/>
      <c r="AG79" s="180"/>
      <c r="AH79" s="180"/>
      <c r="AI79" s="180">
        <f t="shared" si="50"/>
        <v>2593.9</v>
      </c>
      <c r="AJ79" s="122"/>
      <c r="AK79" s="122"/>
      <c r="AL79" s="122">
        <v>3</v>
      </c>
      <c r="AM79" s="122"/>
      <c r="AN79" s="122"/>
      <c r="AO79" s="122">
        <v>1</v>
      </c>
      <c r="AP79" s="122">
        <v>1813</v>
      </c>
      <c r="AQ79" s="35"/>
      <c r="AR79" s="122">
        <f>136+68+117</f>
        <v>321</v>
      </c>
      <c r="AS79" s="122">
        <v>166</v>
      </c>
      <c r="AT79" s="122">
        <v>38</v>
      </c>
      <c r="AU79" s="122">
        <f t="shared" si="38"/>
        <v>2193</v>
      </c>
      <c r="AV79" s="122"/>
      <c r="AW79" s="122">
        <v>2193</v>
      </c>
      <c r="AX79" s="122">
        <v>1425</v>
      </c>
      <c r="AY79" s="122">
        <v>143</v>
      </c>
      <c r="AZ79" s="122">
        <v>655</v>
      </c>
      <c r="BA79" s="122">
        <v>655</v>
      </c>
      <c r="BB79" s="122">
        <v>15</v>
      </c>
      <c r="BC79" s="122">
        <v>10</v>
      </c>
      <c r="BD79" s="122">
        <v>178</v>
      </c>
      <c r="BE79" s="122">
        <v>60</v>
      </c>
      <c r="BF79" s="122">
        <v>1</v>
      </c>
      <c r="BG79" s="122">
        <v>11274</v>
      </c>
      <c r="BH79" s="122">
        <v>219</v>
      </c>
      <c r="BI79" s="122"/>
      <c r="BJ79" s="115" t="str">
        <f t="shared" si="51"/>
        <v>0</v>
      </c>
      <c r="BK79" s="115" t="str">
        <f t="shared" si="52"/>
        <v>0</v>
      </c>
      <c r="BL79" s="115" t="str">
        <f t="shared" si="53"/>
        <v>0</v>
      </c>
      <c r="BM79" s="115">
        <f t="shared" si="54"/>
        <v>1</v>
      </c>
      <c r="BN79" s="115">
        <f t="shared" si="55"/>
        <v>2593.9</v>
      </c>
      <c r="BO79" s="115">
        <f t="shared" si="56"/>
        <v>1771</v>
      </c>
      <c r="BP79" s="115" t="str">
        <f t="shared" si="57"/>
        <v>0</v>
      </c>
      <c r="BQ79" s="115" t="str">
        <f t="shared" si="58"/>
        <v>0</v>
      </c>
      <c r="BR79" s="115" t="str">
        <f t="shared" si="59"/>
        <v>0</v>
      </c>
      <c r="BS79" s="115"/>
      <c r="BT79" s="115">
        <v>1</v>
      </c>
      <c r="BU79" s="122"/>
      <c r="BV79" s="115"/>
      <c r="BW79" s="115"/>
      <c r="BX79" s="115"/>
      <c r="BY79" s="275">
        <v>858.7</v>
      </c>
      <c r="BZ79" s="253">
        <v>203.3</v>
      </c>
      <c r="CA79" s="354">
        <v>203.3</v>
      </c>
      <c r="CB79" s="354"/>
      <c r="CC79" s="354"/>
      <c r="CD79" s="354">
        <v>655.4</v>
      </c>
      <c r="CE79" s="354"/>
      <c r="CF79" s="354"/>
      <c r="CG79" s="354"/>
      <c r="CH79" s="355"/>
      <c r="CI79" s="356">
        <f t="shared" si="69"/>
        <v>858.7</v>
      </c>
      <c r="CJ79" s="356">
        <f t="shared" si="60"/>
        <v>203.3</v>
      </c>
      <c r="CK79" s="357">
        <v>655</v>
      </c>
      <c r="CL79" s="358">
        <f t="shared" si="70"/>
        <v>1513.7</v>
      </c>
      <c r="CM79" s="157">
        <v>1583</v>
      </c>
      <c r="CN79" s="275">
        <f t="shared" si="61"/>
        <v>908</v>
      </c>
      <c r="CO79" s="209" t="str">
        <f t="shared" si="40"/>
        <v>0</v>
      </c>
      <c r="CP79" s="235">
        <f t="shared" si="41"/>
        <v>0</v>
      </c>
      <c r="CQ79" s="209">
        <f t="shared" si="72"/>
        <v>1</v>
      </c>
      <c r="CR79" s="235">
        <f t="shared" si="43"/>
        <v>2193</v>
      </c>
      <c r="CS79" s="235">
        <f t="shared" si="44"/>
        <v>1</v>
      </c>
      <c r="CT79" s="235">
        <f t="shared" si="44"/>
        <v>2193</v>
      </c>
      <c r="CU79" s="14">
        <v>53</v>
      </c>
      <c r="CV79" s="284" t="str">
        <f t="shared" si="62"/>
        <v>0</v>
      </c>
      <c r="CW79" s="284" t="str">
        <f t="shared" si="63"/>
        <v>0</v>
      </c>
      <c r="CX79" s="243">
        <f t="shared" si="64"/>
        <v>14.927329503835921</v>
      </c>
      <c r="CY79" s="216" t="str">
        <f t="shared" si="65"/>
        <v>0</v>
      </c>
      <c r="CZ79" s="216" t="str">
        <f t="shared" si="66"/>
        <v>0</v>
      </c>
      <c r="DA79" s="243">
        <f t="shared" si="67"/>
        <v>14.927329503835921</v>
      </c>
      <c r="DB79" s="305">
        <v>1</v>
      </c>
      <c r="DC79" s="305">
        <v>0</v>
      </c>
      <c r="DD79" s="305">
        <v>0</v>
      </c>
      <c r="DE79" s="305">
        <v>0</v>
      </c>
      <c r="DF79" s="305">
        <v>1</v>
      </c>
      <c r="DG79" s="305">
        <v>0</v>
      </c>
      <c r="DH79" s="305">
        <v>0</v>
      </c>
      <c r="DI79" s="305">
        <v>0</v>
      </c>
      <c r="DJ79" s="306">
        <v>0</v>
      </c>
      <c r="DK79" s="306">
        <v>60</v>
      </c>
      <c r="DL79" s="306">
        <f t="shared" si="45"/>
        <v>52</v>
      </c>
      <c r="DM79" s="306">
        <v>8</v>
      </c>
      <c r="DN79" s="306">
        <v>50</v>
      </c>
      <c r="DO79" s="306">
        <v>30</v>
      </c>
      <c r="DP79" s="306">
        <v>29</v>
      </c>
      <c r="DQ79" s="306">
        <v>31</v>
      </c>
      <c r="DR79" s="306">
        <v>29</v>
      </c>
      <c r="DS79" s="306">
        <v>31</v>
      </c>
      <c r="DT79" s="306">
        <v>29</v>
      </c>
      <c r="DU79" s="306">
        <v>6</v>
      </c>
      <c r="DV79" s="306">
        <v>3</v>
      </c>
      <c r="DW79" s="306">
        <v>5</v>
      </c>
      <c r="DX79" s="306">
        <v>3</v>
      </c>
      <c r="DY79" s="306">
        <v>3</v>
      </c>
      <c r="DZ79" s="306">
        <v>5</v>
      </c>
      <c r="EA79" s="306">
        <v>3</v>
      </c>
      <c r="EB79" s="306">
        <v>60</v>
      </c>
      <c r="EC79" s="306">
        <v>60</v>
      </c>
      <c r="ED79" s="342"/>
      <c r="EE79" s="342"/>
    </row>
    <row r="80" spans="1:138" x14ac:dyDescent="0.2">
      <c r="A80" s="12" t="s">
        <v>142</v>
      </c>
      <c r="B80" s="169">
        <v>71</v>
      </c>
      <c r="C80" s="12" t="s">
        <v>90</v>
      </c>
      <c r="D80" s="13">
        <v>1970</v>
      </c>
      <c r="E80" s="11"/>
      <c r="F80" s="169" t="s">
        <v>13</v>
      </c>
      <c r="G80" s="35">
        <v>1</v>
      </c>
      <c r="H80" s="45">
        <v>5</v>
      </c>
      <c r="I80" s="1" t="s">
        <v>19</v>
      </c>
      <c r="J80" s="122">
        <v>12634</v>
      </c>
      <c r="K80" s="122">
        <v>911</v>
      </c>
      <c r="L80" s="122">
        <v>1051</v>
      </c>
      <c r="M80" s="122"/>
      <c r="N80" s="122">
        <v>76</v>
      </c>
      <c r="O80" s="122">
        <v>139</v>
      </c>
      <c r="P80" s="122">
        <v>76</v>
      </c>
      <c r="Q80" s="122">
        <v>129</v>
      </c>
      <c r="R80" s="179">
        <f>3140.08+0.01</f>
        <v>3140.09</v>
      </c>
      <c r="S80" s="121">
        <v>2096.25</v>
      </c>
      <c r="T80" s="122">
        <f t="shared" si="46"/>
        <v>69</v>
      </c>
      <c r="U80" s="180">
        <f t="shared" si="47"/>
        <v>2839.7400000000002</v>
      </c>
      <c r="V80" s="180">
        <f t="shared" si="47"/>
        <v>1891.27</v>
      </c>
      <c r="W80" s="122">
        <v>7</v>
      </c>
      <c r="X80" s="180">
        <v>300.35000000000002</v>
      </c>
      <c r="Y80" s="180">
        <v>204.98</v>
      </c>
      <c r="Z80" s="122"/>
      <c r="AA80" s="180"/>
      <c r="AB80" s="180"/>
      <c r="AC80" s="180">
        <f t="shared" si="48"/>
        <v>0</v>
      </c>
      <c r="AD80" s="179">
        <f t="shared" si="49"/>
        <v>0</v>
      </c>
      <c r="AE80" s="271"/>
      <c r="AF80" s="180"/>
      <c r="AG80" s="180"/>
      <c r="AH80" s="180"/>
      <c r="AI80" s="180">
        <f t="shared" si="50"/>
        <v>3140.09</v>
      </c>
      <c r="AJ80" s="122"/>
      <c r="AK80" s="122"/>
      <c r="AL80" s="122">
        <v>4</v>
      </c>
      <c r="AM80" s="122"/>
      <c r="AN80" s="122"/>
      <c r="AO80" s="122">
        <v>1</v>
      </c>
      <c r="AP80" s="122">
        <v>2329</v>
      </c>
      <c r="AQ80" s="35"/>
      <c r="AR80" s="122">
        <f>46+32+127</f>
        <v>205</v>
      </c>
      <c r="AS80" s="122">
        <v>326</v>
      </c>
      <c r="AT80" s="122">
        <v>51</v>
      </c>
      <c r="AU80" s="122">
        <f t="shared" si="38"/>
        <v>2923</v>
      </c>
      <c r="AV80" s="122"/>
      <c r="AW80" s="122">
        <v>2923</v>
      </c>
      <c r="AX80" s="122"/>
      <c r="AY80" s="122">
        <v>107</v>
      </c>
      <c r="AZ80" s="122">
        <v>884</v>
      </c>
      <c r="BA80" s="122">
        <v>884</v>
      </c>
      <c r="BB80" s="122">
        <v>20</v>
      </c>
      <c r="BC80" s="122">
        <v>13</v>
      </c>
      <c r="BD80" s="122">
        <v>220</v>
      </c>
      <c r="BE80" s="122">
        <v>76</v>
      </c>
      <c r="BF80" s="122">
        <v>4</v>
      </c>
      <c r="BG80" s="122">
        <v>14872</v>
      </c>
      <c r="BH80" s="122">
        <v>492</v>
      </c>
      <c r="BI80" s="122"/>
      <c r="BJ80" s="115">
        <f t="shared" si="51"/>
        <v>1</v>
      </c>
      <c r="BK80" s="115">
        <f t="shared" si="52"/>
        <v>3140.09</v>
      </c>
      <c r="BL80" s="115">
        <f t="shared" si="53"/>
        <v>2096.25</v>
      </c>
      <c r="BM80" s="115" t="str">
        <f t="shared" si="54"/>
        <v>0</v>
      </c>
      <c r="BN80" s="115" t="str">
        <f t="shared" si="55"/>
        <v>0</v>
      </c>
      <c r="BO80" s="115" t="str">
        <f t="shared" si="56"/>
        <v>0</v>
      </c>
      <c r="BP80" s="115" t="str">
        <f t="shared" si="57"/>
        <v>0</v>
      </c>
      <c r="BQ80" s="115" t="str">
        <f t="shared" si="58"/>
        <v>0</v>
      </c>
      <c r="BR80" s="115" t="str">
        <f t="shared" si="59"/>
        <v>0</v>
      </c>
      <c r="BS80" s="115">
        <v>2</v>
      </c>
      <c r="BT80" s="115"/>
      <c r="BU80" s="122"/>
      <c r="BV80" s="115"/>
      <c r="BW80" s="115"/>
      <c r="BX80" s="115">
        <f>AP80</f>
        <v>2329</v>
      </c>
      <c r="BY80" s="275">
        <v>1183.08</v>
      </c>
      <c r="BZ80" s="253">
        <v>288.77999999999997</v>
      </c>
      <c r="CA80" s="354">
        <v>288.77999999999997</v>
      </c>
      <c r="CB80" s="354"/>
      <c r="CC80" s="354"/>
      <c r="CD80" s="354">
        <v>883.5</v>
      </c>
      <c r="CE80" s="354">
        <v>10.8</v>
      </c>
      <c r="CF80" s="354"/>
      <c r="CG80" s="354"/>
      <c r="CH80" s="355"/>
      <c r="CI80" s="356">
        <f t="shared" si="69"/>
        <v>1183.08</v>
      </c>
      <c r="CJ80" s="356">
        <f t="shared" si="60"/>
        <v>288.77999999999997</v>
      </c>
      <c r="CK80" s="357">
        <v>884</v>
      </c>
      <c r="CL80" s="358">
        <f t="shared" si="70"/>
        <v>2067.08</v>
      </c>
      <c r="CM80" s="157">
        <v>2481</v>
      </c>
      <c r="CN80" s="275">
        <f t="shared" si="61"/>
        <v>1570</v>
      </c>
      <c r="CO80" s="209" t="str">
        <f t="shared" si="40"/>
        <v>0</v>
      </c>
      <c r="CP80" s="235">
        <f t="shared" si="41"/>
        <v>0</v>
      </c>
      <c r="CQ80" s="209">
        <f t="shared" si="72"/>
        <v>1</v>
      </c>
      <c r="CR80" s="235">
        <f t="shared" si="43"/>
        <v>2923</v>
      </c>
      <c r="CS80" s="235">
        <f t="shared" si="44"/>
        <v>1</v>
      </c>
      <c r="CT80" s="235">
        <f t="shared" si="44"/>
        <v>2923</v>
      </c>
      <c r="CU80" s="14">
        <v>46</v>
      </c>
      <c r="CV80" s="284" t="str">
        <f t="shared" si="62"/>
        <v>0</v>
      </c>
      <c r="CW80" s="284" t="str">
        <f t="shared" si="63"/>
        <v>0</v>
      </c>
      <c r="CX80" s="243">
        <f t="shared" si="64"/>
        <v>9.5650124677955102</v>
      </c>
      <c r="CY80" s="216" t="str">
        <f t="shared" si="65"/>
        <v>0</v>
      </c>
      <c r="CZ80" s="216" t="str">
        <f t="shared" si="66"/>
        <v>0</v>
      </c>
      <c r="DA80" s="243">
        <f t="shared" si="67"/>
        <v>9.5650124677955102</v>
      </c>
      <c r="DB80" s="305">
        <v>1</v>
      </c>
      <c r="DC80" s="305">
        <v>0</v>
      </c>
      <c r="DD80" s="305">
        <v>0</v>
      </c>
      <c r="DE80" s="305">
        <v>0</v>
      </c>
      <c r="DF80" s="305">
        <v>1</v>
      </c>
      <c r="DG80" s="305">
        <v>0</v>
      </c>
      <c r="DH80" s="305">
        <v>0</v>
      </c>
      <c r="DI80" s="305">
        <v>0</v>
      </c>
      <c r="DJ80" s="306">
        <v>0</v>
      </c>
      <c r="DK80" s="306">
        <v>76</v>
      </c>
      <c r="DL80" s="306">
        <f t="shared" si="45"/>
        <v>69</v>
      </c>
      <c r="DM80" s="306">
        <v>7</v>
      </c>
      <c r="DN80" s="306">
        <v>48</v>
      </c>
      <c r="DO80" s="306">
        <v>36</v>
      </c>
      <c r="DP80" s="306">
        <v>40</v>
      </c>
      <c r="DQ80" s="306">
        <v>36</v>
      </c>
      <c r="DR80" s="306">
        <v>37</v>
      </c>
      <c r="DS80" s="306">
        <v>38</v>
      </c>
      <c r="DT80" s="306">
        <v>38</v>
      </c>
      <c r="DU80" s="306">
        <v>4</v>
      </c>
      <c r="DV80" s="306">
        <v>3</v>
      </c>
      <c r="DW80" s="306">
        <v>4</v>
      </c>
      <c r="DX80" s="306">
        <v>3</v>
      </c>
      <c r="DY80" s="306">
        <v>3</v>
      </c>
      <c r="DZ80" s="306">
        <v>4</v>
      </c>
      <c r="EA80" s="306">
        <v>3</v>
      </c>
      <c r="EB80" s="306">
        <v>76</v>
      </c>
      <c r="EC80" s="306">
        <v>76</v>
      </c>
      <c r="ED80" s="342"/>
      <c r="EE80" s="342"/>
    </row>
    <row r="81" spans="1:138" x14ac:dyDescent="0.2">
      <c r="A81" s="27" t="s">
        <v>142</v>
      </c>
      <c r="B81" s="169">
        <v>72</v>
      </c>
      <c r="C81" s="12" t="s">
        <v>91</v>
      </c>
      <c r="D81" s="13">
        <v>1971</v>
      </c>
      <c r="E81" s="11"/>
      <c r="F81" s="169" t="s">
        <v>13</v>
      </c>
      <c r="G81" s="35">
        <v>1</v>
      </c>
      <c r="H81" s="45">
        <v>5</v>
      </c>
      <c r="I81" s="1" t="s">
        <v>19</v>
      </c>
      <c r="J81" s="122">
        <v>9968</v>
      </c>
      <c r="K81" s="122">
        <v>718</v>
      </c>
      <c r="L81" s="122">
        <v>833</v>
      </c>
      <c r="M81" s="122"/>
      <c r="N81" s="122">
        <v>56</v>
      </c>
      <c r="O81" s="122">
        <v>110</v>
      </c>
      <c r="P81" s="122">
        <v>56</v>
      </c>
      <c r="Q81" s="122">
        <v>117</v>
      </c>
      <c r="R81" s="179">
        <v>2339.14</v>
      </c>
      <c r="S81" s="121">
        <v>1508.43</v>
      </c>
      <c r="T81" s="122">
        <f t="shared" si="46"/>
        <v>53</v>
      </c>
      <c r="U81" s="180">
        <f t="shared" si="47"/>
        <v>2223.85</v>
      </c>
      <c r="V81" s="180">
        <f t="shared" si="47"/>
        <v>1433.49</v>
      </c>
      <c r="W81" s="122">
        <v>3</v>
      </c>
      <c r="X81" s="180">
        <v>115.29</v>
      </c>
      <c r="Y81" s="180">
        <v>74.94</v>
      </c>
      <c r="Z81" s="122"/>
      <c r="AA81" s="180"/>
      <c r="AB81" s="180"/>
      <c r="AC81" s="180">
        <f t="shared" si="48"/>
        <v>133.4</v>
      </c>
      <c r="AD81" s="179">
        <f t="shared" si="49"/>
        <v>0</v>
      </c>
      <c r="AE81" s="271"/>
      <c r="AF81" s="180"/>
      <c r="AG81" s="179">
        <v>133.4</v>
      </c>
      <c r="AH81" s="179"/>
      <c r="AI81" s="180">
        <f t="shared" si="50"/>
        <v>2472.54</v>
      </c>
      <c r="AJ81" s="122"/>
      <c r="AK81" s="122"/>
      <c r="AL81" s="122">
        <v>3</v>
      </c>
      <c r="AM81" s="122"/>
      <c r="AN81" s="122"/>
      <c r="AO81" s="122">
        <v>1</v>
      </c>
      <c r="AP81" s="122">
        <v>1916</v>
      </c>
      <c r="AQ81" s="35"/>
      <c r="AR81" s="122">
        <f>76+52+104</f>
        <v>232</v>
      </c>
      <c r="AS81" s="122">
        <v>186</v>
      </c>
      <c r="AT81" s="122">
        <v>38</v>
      </c>
      <c r="AU81" s="122">
        <f t="shared" si="38"/>
        <v>2193</v>
      </c>
      <c r="AV81" s="122"/>
      <c r="AW81" s="122">
        <v>2193</v>
      </c>
      <c r="AX81" s="122"/>
      <c r="AY81" s="122">
        <v>86</v>
      </c>
      <c r="AZ81" s="122">
        <v>697</v>
      </c>
      <c r="BA81" s="122">
        <v>697</v>
      </c>
      <c r="BB81" s="122">
        <v>15</v>
      </c>
      <c r="BC81" s="122">
        <v>10</v>
      </c>
      <c r="BD81" s="122">
        <v>180</v>
      </c>
      <c r="BE81" s="122">
        <v>59</v>
      </c>
      <c r="BF81" s="122">
        <v>3</v>
      </c>
      <c r="BG81" s="122">
        <v>11154</v>
      </c>
      <c r="BH81" s="122">
        <v>369</v>
      </c>
      <c r="BI81" s="122"/>
      <c r="BJ81" s="115">
        <f t="shared" si="51"/>
        <v>1</v>
      </c>
      <c r="BK81" s="115">
        <f t="shared" si="52"/>
        <v>2339.14</v>
      </c>
      <c r="BL81" s="115">
        <f t="shared" si="53"/>
        <v>1508.43</v>
      </c>
      <c r="BM81" s="115" t="str">
        <f t="shared" si="54"/>
        <v>0</v>
      </c>
      <c r="BN81" s="115" t="str">
        <f t="shared" si="55"/>
        <v>0</v>
      </c>
      <c r="BO81" s="115" t="str">
        <f t="shared" si="56"/>
        <v>0</v>
      </c>
      <c r="BP81" s="115" t="str">
        <f t="shared" si="57"/>
        <v>0</v>
      </c>
      <c r="BQ81" s="115" t="str">
        <f t="shared" si="58"/>
        <v>0</v>
      </c>
      <c r="BR81" s="115" t="str">
        <f t="shared" si="59"/>
        <v>0</v>
      </c>
      <c r="BS81" s="115">
        <v>1</v>
      </c>
      <c r="BT81" s="115"/>
      <c r="BU81" s="122"/>
      <c r="BV81" s="115"/>
      <c r="BW81" s="115"/>
      <c r="BX81" s="115">
        <f>AP81</f>
        <v>1916</v>
      </c>
      <c r="BY81" s="275">
        <v>916.42</v>
      </c>
      <c r="BZ81" s="253">
        <v>179.62</v>
      </c>
      <c r="CA81" s="354">
        <v>179.62</v>
      </c>
      <c r="CB81" s="354"/>
      <c r="CC81" s="354"/>
      <c r="CD81" s="354">
        <v>697</v>
      </c>
      <c r="CE81" s="354">
        <f>7.99</f>
        <v>7.99</v>
      </c>
      <c r="CF81" s="354"/>
      <c r="CG81" s="354"/>
      <c r="CH81" s="355">
        <f>39.8*0+29.37+2.44</f>
        <v>31.810000000000002</v>
      </c>
      <c r="CI81" s="356">
        <f t="shared" si="69"/>
        <v>916.42</v>
      </c>
      <c r="CJ81" s="356">
        <f t="shared" si="60"/>
        <v>179.62</v>
      </c>
      <c r="CK81" s="357">
        <v>697</v>
      </c>
      <c r="CL81" s="358">
        <f t="shared" si="70"/>
        <v>1613.42</v>
      </c>
      <c r="CM81" s="157">
        <v>2346</v>
      </c>
      <c r="CN81" s="275">
        <f t="shared" si="61"/>
        <v>1628</v>
      </c>
      <c r="CO81" s="209" t="str">
        <f t="shared" si="40"/>
        <v>0</v>
      </c>
      <c r="CP81" s="235">
        <f t="shared" si="41"/>
        <v>0</v>
      </c>
      <c r="CQ81" s="209">
        <f t="shared" si="72"/>
        <v>1</v>
      </c>
      <c r="CR81" s="235">
        <f t="shared" si="43"/>
        <v>2193</v>
      </c>
      <c r="CS81" s="235">
        <f t="shared" si="44"/>
        <v>1</v>
      </c>
      <c r="CT81" s="235">
        <f t="shared" si="44"/>
        <v>2193</v>
      </c>
      <c r="CU81" s="14">
        <v>43</v>
      </c>
      <c r="CV81" s="284" t="str">
        <f t="shared" si="62"/>
        <v>0</v>
      </c>
      <c r="CW81" s="284" t="str">
        <f t="shared" si="63"/>
        <v>0</v>
      </c>
      <c r="CX81" s="243">
        <f t="shared" si="64"/>
        <v>4.9287344921637875</v>
      </c>
      <c r="CY81" s="216" t="str">
        <f t="shared" si="65"/>
        <v>0</v>
      </c>
      <c r="CZ81" s="216" t="str">
        <f t="shared" si="66"/>
        <v>0</v>
      </c>
      <c r="DA81" s="243">
        <f t="shared" si="67"/>
        <v>4.6628163750636995</v>
      </c>
      <c r="DB81" s="305">
        <v>1</v>
      </c>
      <c r="DC81" s="305">
        <v>0</v>
      </c>
      <c r="DD81" s="305">
        <v>0</v>
      </c>
      <c r="DE81" s="305">
        <v>0</v>
      </c>
      <c r="DF81" s="305">
        <v>1</v>
      </c>
      <c r="DG81" s="305">
        <v>0</v>
      </c>
      <c r="DH81" s="305">
        <v>0</v>
      </c>
      <c r="DI81" s="305">
        <v>0</v>
      </c>
      <c r="DJ81" s="306">
        <v>0</v>
      </c>
      <c r="DK81" s="306">
        <v>57</v>
      </c>
      <c r="DL81" s="306">
        <f t="shared" si="45"/>
        <v>51</v>
      </c>
      <c r="DM81" s="306">
        <v>6</v>
      </c>
      <c r="DN81" s="306">
        <v>32</v>
      </c>
      <c r="DO81" s="306">
        <v>24</v>
      </c>
      <c r="DP81" s="306">
        <v>32</v>
      </c>
      <c r="DQ81" s="306">
        <v>24</v>
      </c>
      <c r="DR81" s="306">
        <v>25</v>
      </c>
      <c r="DS81" s="306">
        <v>31</v>
      </c>
      <c r="DT81" s="306">
        <v>25</v>
      </c>
      <c r="DU81" s="306">
        <v>3</v>
      </c>
      <c r="DV81" s="306">
        <v>2</v>
      </c>
      <c r="DW81" s="306">
        <v>4</v>
      </c>
      <c r="DX81" s="306">
        <v>2</v>
      </c>
      <c r="DY81" s="306">
        <v>2</v>
      </c>
      <c r="DZ81" s="306">
        <v>4</v>
      </c>
      <c r="EA81" s="306">
        <v>2</v>
      </c>
      <c r="EB81" s="306">
        <v>57</v>
      </c>
      <c r="EC81" s="306">
        <v>57</v>
      </c>
      <c r="ED81" s="342"/>
      <c r="EE81" s="342"/>
    </row>
    <row r="82" spans="1:138" x14ac:dyDescent="0.2">
      <c r="A82" s="27" t="s">
        <v>142</v>
      </c>
      <c r="B82" s="169">
        <v>73</v>
      </c>
      <c r="C82" s="12" t="s">
        <v>92</v>
      </c>
      <c r="D82" s="13">
        <v>1971</v>
      </c>
      <c r="E82" s="11"/>
      <c r="F82" s="169" t="s">
        <v>13</v>
      </c>
      <c r="G82" s="35">
        <v>1</v>
      </c>
      <c r="H82" s="45">
        <v>5</v>
      </c>
      <c r="I82" s="1" t="s">
        <v>19</v>
      </c>
      <c r="J82" s="122">
        <v>18876</v>
      </c>
      <c r="K82" s="122">
        <v>1360</v>
      </c>
      <c r="L82" s="122">
        <v>1561</v>
      </c>
      <c r="M82" s="122"/>
      <c r="N82" s="122">
        <v>112</v>
      </c>
      <c r="O82" s="122">
        <v>209</v>
      </c>
      <c r="P82" s="122">
        <v>114</v>
      </c>
      <c r="Q82" s="122">
        <v>191</v>
      </c>
      <c r="R82" s="179">
        <f>4653.47-0.03</f>
        <v>4653.4400000000005</v>
      </c>
      <c r="S82" s="121">
        <v>3129.57</v>
      </c>
      <c r="T82" s="122">
        <f t="shared" si="46"/>
        <v>100</v>
      </c>
      <c r="U82" s="180">
        <f t="shared" si="47"/>
        <v>4134.25</v>
      </c>
      <c r="V82" s="180">
        <f t="shared" si="47"/>
        <v>2776.52</v>
      </c>
      <c r="W82" s="122">
        <v>12</v>
      </c>
      <c r="X82" s="180">
        <v>519.19000000000005</v>
      </c>
      <c r="Y82" s="180">
        <v>353.05</v>
      </c>
      <c r="Z82" s="122"/>
      <c r="AA82" s="180"/>
      <c r="AB82" s="180"/>
      <c r="AC82" s="180">
        <f t="shared" si="48"/>
        <v>0</v>
      </c>
      <c r="AD82" s="179">
        <f t="shared" si="49"/>
        <v>0</v>
      </c>
      <c r="AE82" s="271"/>
      <c r="AF82" s="180"/>
      <c r="AG82" s="180"/>
      <c r="AH82" s="180"/>
      <c r="AI82" s="180">
        <f t="shared" si="50"/>
        <v>4653.4400000000005</v>
      </c>
      <c r="AJ82" s="122"/>
      <c r="AK82" s="122"/>
      <c r="AL82" s="122">
        <v>6</v>
      </c>
      <c r="AM82" s="122"/>
      <c r="AN82" s="122">
        <v>1</v>
      </c>
      <c r="AO82" s="122">
        <v>1</v>
      </c>
      <c r="AP82" s="122">
        <v>3296</v>
      </c>
      <c r="AQ82" s="35"/>
      <c r="AR82" s="122">
        <f>145+73+167</f>
        <v>385</v>
      </c>
      <c r="AS82" s="122">
        <v>558</v>
      </c>
      <c r="AT82" s="122">
        <v>77</v>
      </c>
      <c r="AU82" s="122">
        <f t="shared" si="38"/>
        <v>4386</v>
      </c>
      <c r="AV82" s="122"/>
      <c r="AW82" s="122">
        <v>4386</v>
      </c>
      <c r="AX82" s="122"/>
      <c r="AY82" s="122">
        <v>186</v>
      </c>
      <c r="AZ82" s="122">
        <v>1320</v>
      </c>
      <c r="BA82" s="122">
        <v>1320</v>
      </c>
      <c r="BB82" s="122">
        <v>30</v>
      </c>
      <c r="BC82" s="122">
        <v>19</v>
      </c>
      <c r="BD82" s="122">
        <v>320</v>
      </c>
      <c r="BE82" s="122">
        <v>113</v>
      </c>
      <c r="BF82" s="122">
        <v>6</v>
      </c>
      <c r="BG82" s="122">
        <v>22308</v>
      </c>
      <c r="BH82" s="122">
        <v>828</v>
      </c>
      <c r="BI82" s="122"/>
      <c r="BJ82" s="115">
        <f t="shared" si="51"/>
        <v>1</v>
      </c>
      <c r="BK82" s="115">
        <f t="shared" si="52"/>
        <v>4653.4400000000005</v>
      </c>
      <c r="BL82" s="115">
        <f t="shared" si="53"/>
        <v>3129.57</v>
      </c>
      <c r="BM82" s="115" t="str">
        <f t="shared" si="54"/>
        <v>0</v>
      </c>
      <c r="BN82" s="115" t="str">
        <f t="shared" si="55"/>
        <v>0</v>
      </c>
      <c r="BO82" s="115" t="str">
        <f t="shared" si="56"/>
        <v>0</v>
      </c>
      <c r="BP82" s="115" t="str">
        <f t="shared" si="57"/>
        <v>0</v>
      </c>
      <c r="BQ82" s="115" t="str">
        <f t="shared" si="58"/>
        <v>0</v>
      </c>
      <c r="BR82" s="115" t="str">
        <f t="shared" si="59"/>
        <v>0</v>
      </c>
      <c r="BS82" s="115">
        <v>2</v>
      </c>
      <c r="BT82" s="115">
        <v>1</v>
      </c>
      <c r="BU82" s="122"/>
      <c r="BV82" s="115"/>
      <c r="BW82" s="115"/>
      <c r="BX82" s="115">
        <f>AP82</f>
        <v>3296</v>
      </c>
      <c r="BY82" s="275">
        <v>1796.6299999999999</v>
      </c>
      <c r="BZ82" s="253">
        <v>438.84</v>
      </c>
      <c r="CA82" s="354">
        <v>438.84</v>
      </c>
      <c r="CB82" s="354"/>
      <c r="CC82" s="354"/>
      <c r="CD82" s="354">
        <v>1320</v>
      </c>
      <c r="CE82" s="354">
        <f>14.1+2.14</f>
        <v>16.239999999999998</v>
      </c>
      <c r="CF82" s="354"/>
      <c r="CG82" s="354"/>
      <c r="CH82" s="354">
        <v>21.55</v>
      </c>
      <c r="CI82" s="356">
        <f t="shared" si="69"/>
        <v>1796.6299999999999</v>
      </c>
      <c r="CJ82" s="356">
        <f t="shared" si="60"/>
        <v>438.84</v>
      </c>
      <c r="CK82" s="357">
        <v>1320</v>
      </c>
      <c r="CL82" s="358">
        <f t="shared" si="70"/>
        <v>3116.63</v>
      </c>
      <c r="CM82" s="157">
        <v>3714</v>
      </c>
      <c r="CN82" s="275">
        <f t="shared" si="61"/>
        <v>2354</v>
      </c>
      <c r="CO82" s="209" t="str">
        <f t="shared" si="40"/>
        <v>0</v>
      </c>
      <c r="CP82" s="235">
        <f t="shared" si="41"/>
        <v>0</v>
      </c>
      <c r="CQ82" s="209">
        <f t="shared" si="72"/>
        <v>1</v>
      </c>
      <c r="CR82" s="235">
        <f t="shared" si="43"/>
        <v>4386</v>
      </c>
      <c r="CS82" s="235">
        <f t="shared" si="44"/>
        <v>1</v>
      </c>
      <c r="CT82" s="235">
        <f t="shared" si="44"/>
        <v>4386</v>
      </c>
      <c r="CU82" s="14">
        <v>48</v>
      </c>
      <c r="CV82" s="284" t="str">
        <f t="shared" si="62"/>
        <v>0</v>
      </c>
      <c r="CW82" s="284" t="str">
        <f t="shared" si="63"/>
        <v>0</v>
      </c>
      <c r="CX82" s="243">
        <f t="shared" si="64"/>
        <v>11.157122472837298</v>
      </c>
      <c r="CY82" s="216" t="str">
        <f t="shared" si="65"/>
        <v>0</v>
      </c>
      <c r="CZ82" s="216" t="str">
        <f t="shared" si="66"/>
        <v>0</v>
      </c>
      <c r="DA82" s="243">
        <f t="shared" si="67"/>
        <v>11.157122472837298</v>
      </c>
      <c r="DB82" s="305">
        <v>1</v>
      </c>
      <c r="DC82" s="305">
        <v>0</v>
      </c>
      <c r="DD82" s="305">
        <v>0</v>
      </c>
      <c r="DE82" s="305">
        <v>0</v>
      </c>
      <c r="DF82" s="305">
        <v>2</v>
      </c>
      <c r="DG82" s="305">
        <v>0</v>
      </c>
      <c r="DH82" s="305">
        <v>0</v>
      </c>
      <c r="DI82" s="305">
        <v>0</v>
      </c>
      <c r="DJ82" s="306">
        <v>0</v>
      </c>
      <c r="DK82" s="306">
        <v>113</v>
      </c>
      <c r="DL82" s="306">
        <f t="shared" si="45"/>
        <v>102</v>
      </c>
      <c r="DM82" s="306">
        <v>11</v>
      </c>
      <c r="DN82" s="306">
        <v>65</v>
      </c>
      <c r="DO82" s="306">
        <v>43</v>
      </c>
      <c r="DP82" s="306">
        <v>67</v>
      </c>
      <c r="DQ82" s="306">
        <v>45</v>
      </c>
      <c r="DR82" s="306">
        <v>43</v>
      </c>
      <c r="DS82" s="306">
        <v>67</v>
      </c>
      <c r="DT82" s="306">
        <v>45</v>
      </c>
      <c r="DU82" s="306">
        <v>4</v>
      </c>
      <c r="DV82" s="306">
        <v>2</v>
      </c>
      <c r="DW82" s="306">
        <v>8</v>
      </c>
      <c r="DX82" s="306">
        <v>2</v>
      </c>
      <c r="DY82" s="306">
        <v>2</v>
      </c>
      <c r="DZ82" s="306">
        <v>8</v>
      </c>
      <c r="EA82" s="306">
        <v>2</v>
      </c>
      <c r="EB82" s="306">
        <v>113</v>
      </c>
      <c r="EC82" s="306">
        <v>113</v>
      </c>
      <c r="ED82" s="342"/>
      <c r="EE82" s="342"/>
    </row>
    <row r="83" spans="1:138" x14ac:dyDescent="0.2">
      <c r="A83" s="14" t="s">
        <v>203</v>
      </c>
      <c r="B83" s="169">
        <v>77</v>
      </c>
      <c r="C83" s="12" t="s">
        <v>253</v>
      </c>
      <c r="D83" s="200">
        <v>1952</v>
      </c>
      <c r="E83" s="11"/>
      <c r="F83" s="169" t="s">
        <v>207</v>
      </c>
      <c r="G83" s="35">
        <v>1</v>
      </c>
      <c r="H83" s="201">
        <v>6</v>
      </c>
      <c r="I83" s="201" t="s">
        <v>19</v>
      </c>
      <c r="J83" s="115">
        <v>47012</v>
      </c>
      <c r="K83" s="115">
        <v>2212</v>
      </c>
      <c r="L83" s="157">
        <v>2567</v>
      </c>
      <c r="M83" s="115"/>
      <c r="N83" s="115">
        <f>79+1</f>
        <v>80</v>
      </c>
      <c r="O83" s="115">
        <v>253</v>
      </c>
      <c r="P83" s="115">
        <v>80</v>
      </c>
      <c r="Q83" s="115">
        <v>150</v>
      </c>
      <c r="R83" s="228">
        <f>6321.43+113.4</f>
        <v>6434.83</v>
      </c>
      <c r="S83" s="230">
        <v>3833.7</v>
      </c>
      <c r="T83" s="115">
        <f t="shared" si="46"/>
        <v>47</v>
      </c>
      <c r="U83" s="219">
        <f t="shared" si="47"/>
        <v>3707.63</v>
      </c>
      <c r="V83" s="180">
        <f t="shared" si="47"/>
        <v>2142.84</v>
      </c>
      <c r="W83" s="115">
        <v>33</v>
      </c>
      <c r="X83" s="207">
        <v>2727.2</v>
      </c>
      <c r="Y83" s="207">
        <v>1690.86</v>
      </c>
      <c r="Z83" s="204"/>
      <c r="AA83" s="207"/>
      <c r="AB83" s="207"/>
      <c r="AC83" s="207">
        <f t="shared" si="48"/>
        <v>3369.1</v>
      </c>
      <c r="AD83" s="248">
        <f t="shared" si="49"/>
        <v>306.60000000000002</v>
      </c>
      <c r="AE83" s="275"/>
      <c r="AF83" s="248">
        <v>306.60000000000002</v>
      </c>
      <c r="AG83" s="207">
        <v>3062.5</v>
      </c>
      <c r="AH83" s="207"/>
      <c r="AI83" s="207">
        <f t="shared" si="50"/>
        <v>9803.93</v>
      </c>
      <c r="AJ83" s="170"/>
      <c r="AK83" s="170"/>
      <c r="AL83" s="170">
        <v>4</v>
      </c>
      <c r="AM83" s="170"/>
      <c r="AN83" s="170">
        <v>1</v>
      </c>
      <c r="AO83" s="170">
        <v>1</v>
      </c>
      <c r="AP83" s="170">
        <v>4924</v>
      </c>
      <c r="AQ83" s="170"/>
      <c r="AR83" s="170">
        <v>769</v>
      </c>
      <c r="AS83" s="170">
        <v>626</v>
      </c>
      <c r="AT83" s="170">
        <v>128</v>
      </c>
      <c r="AU83" s="170">
        <f t="shared" si="38"/>
        <v>6508</v>
      </c>
      <c r="AV83" s="170"/>
      <c r="AW83" s="170">
        <v>6508</v>
      </c>
      <c r="AX83" s="170"/>
      <c r="AY83" s="170">
        <v>125</v>
      </c>
      <c r="AZ83" s="170">
        <v>1800</v>
      </c>
      <c r="BA83" s="170">
        <v>1800</v>
      </c>
      <c r="BB83" s="170">
        <v>44</v>
      </c>
      <c r="BC83" s="170">
        <v>16</v>
      </c>
      <c r="BD83" s="170">
        <v>393</v>
      </c>
      <c r="BE83" s="170">
        <v>898</v>
      </c>
      <c r="BF83" s="170">
        <v>1</v>
      </c>
      <c r="BG83" s="170">
        <f>5351+9933.8</f>
        <v>15284.8</v>
      </c>
      <c r="BH83" s="170">
        <f>152+990.4</f>
        <v>1142.4000000000001</v>
      </c>
      <c r="BI83" s="170"/>
      <c r="BJ83" s="115">
        <f t="shared" si="51"/>
        <v>1</v>
      </c>
      <c r="BK83" s="115">
        <f t="shared" si="52"/>
        <v>6434.83</v>
      </c>
      <c r="BL83" s="115">
        <f t="shared" si="53"/>
        <v>3833.7</v>
      </c>
      <c r="BM83" s="115" t="str">
        <f t="shared" si="54"/>
        <v>0</v>
      </c>
      <c r="BN83" s="115" t="str">
        <f t="shared" si="55"/>
        <v>0</v>
      </c>
      <c r="BO83" s="115" t="str">
        <f t="shared" si="56"/>
        <v>0</v>
      </c>
      <c r="BP83" s="115" t="str">
        <f t="shared" si="57"/>
        <v>0</v>
      </c>
      <c r="BQ83" s="115" t="str">
        <f t="shared" si="58"/>
        <v>0</v>
      </c>
      <c r="BR83" s="115" t="str">
        <f t="shared" si="59"/>
        <v>0</v>
      </c>
      <c r="BS83" s="115"/>
      <c r="BT83" s="115">
        <v>2</v>
      </c>
      <c r="BU83" s="115">
        <f t="shared" ref="BU83:BU90" si="73">BA83</f>
        <v>1800</v>
      </c>
      <c r="BV83" s="115">
        <v>2360</v>
      </c>
      <c r="BW83" s="115"/>
      <c r="BX83" s="115">
        <f t="shared" ref="BX83:BX97" si="74">AP83</f>
        <v>4924</v>
      </c>
      <c r="BY83" s="253">
        <v>2913.57</v>
      </c>
      <c r="BZ83" s="253">
        <v>771.1</v>
      </c>
      <c r="CA83" s="354">
        <v>771.1</v>
      </c>
      <c r="CB83" s="354"/>
      <c r="CC83" s="354"/>
      <c r="CD83" s="354">
        <v>2118.4699999999998</v>
      </c>
      <c r="CE83" s="354">
        <v>24</v>
      </c>
      <c r="CF83" s="354"/>
      <c r="CG83" s="354"/>
      <c r="CH83" s="355"/>
      <c r="CI83" s="356">
        <f t="shared" si="69"/>
        <v>2913.5699999999997</v>
      </c>
      <c r="CJ83" s="356">
        <f t="shared" si="60"/>
        <v>771.1</v>
      </c>
      <c r="CK83" s="357">
        <v>1800</v>
      </c>
      <c r="CL83" s="358">
        <f t="shared" si="70"/>
        <v>4713.57</v>
      </c>
      <c r="CM83" s="205">
        <v>5422</v>
      </c>
      <c r="CN83" s="282">
        <f t="shared" si="61"/>
        <v>3210</v>
      </c>
      <c r="CO83" s="209" t="str">
        <f t="shared" si="40"/>
        <v>0</v>
      </c>
      <c r="CP83" s="235">
        <f t="shared" si="41"/>
        <v>0</v>
      </c>
      <c r="CQ83" s="209">
        <f t="shared" ref="CQ83:CQ97" si="75">IF(CR83&gt;0,G83,"0")</f>
        <v>1</v>
      </c>
      <c r="CR83" s="235">
        <f t="shared" si="43"/>
        <v>6508</v>
      </c>
      <c r="CS83" s="235">
        <f t="shared" si="44"/>
        <v>1</v>
      </c>
      <c r="CT83" s="235">
        <f t="shared" si="44"/>
        <v>6508</v>
      </c>
      <c r="CU83" s="234">
        <v>30</v>
      </c>
      <c r="CV83" s="284" t="str">
        <f t="shared" si="62"/>
        <v>0</v>
      </c>
      <c r="CW83" s="284" t="str">
        <f t="shared" si="63"/>
        <v>0</v>
      </c>
      <c r="CX83" s="243">
        <f t="shared" si="64"/>
        <v>42.381850025563999</v>
      </c>
      <c r="CY83" s="216" t="str">
        <f t="shared" si="65"/>
        <v>0</v>
      </c>
      <c r="CZ83" s="216" t="str">
        <f t="shared" si="66"/>
        <v>0</v>
      </c>
      <c r="DA83" s="243">
        <f t="shared" si="67"/>
        <v>30.944733387529283</v>
      </c>
      <c r="DB83" s="306">
        <v>1</v>
      </c>
      <c r="DC83" s="306">
        <v>0</v>
      </c>
      <c r="DD83" s="306">
        <v>0</v>
      </c>
      <c r="DE83" s="306">
        <v>0</v>
      </c>
      <c r="DF83" s="306">
        <v>1</v>
      </c>
      <c r="DG83" s="306">
        <v>0</v>
      </c>
      <c r="DH83" s="306">
        <v>0</v>
      </c>
      <c r="DI83" s="306">
        <v>0</v>
      </c>
      <c r="DJ83" s="306">
        <v>0</v>
      </c>
      <c r="DK83" s="306">
        <v>80</v>
      </c>
      <c r="DL83" s="306">
        <f t="shared" si="45"/>
        <v>53</v>
      </c>
      <c r="DM83" s="306">
        <v>27</v>
      </c>
      <c r="DN83" s="306">
        <v>37</v>
      </c>
      <c r="DO83" s="306">
        <v>21</v>
      </c>
      <c r="DP83" s="306">
        <v>58</v>
      </c>
      <c r="DQ83" s="306">
        <v>30</v>
      </c>
      <c r="DR83" s="306">
        <v>22</v>
      </c>
      <c r="DS83" s="306">
        <v>56</v>
      </c>
      <c r="DT83" s="306">
        <v>33</v>
      </c>
      <c r="DU83" s="306">
        <v>20</v>
      </c>
      <c r="DV83" s="306">
        <v>16</v>
      </c>
      <c r="DW83" s="306">
        <v>0</v>
      </c>
      <c r="DX83" s="306">
        <v>17</v>
      </c>
      <c r="DY83" s="306">
        <v>16</v>
      </c>
      <c r="DZ83" s="306">
        <v>0</v>
      </c>
      <c r="EA83" s="306">
        <v>17</v>
      </c>
      <c r="EB83" s="306">
        <v>80</v>
      </c>
      <c r="EC83" s="306">
        <f>80-2</f>
        <v>78</v>
      </c>
      <c r="ED83" s="342"/>
      <c r="EE83" s="342"/>
      <c r="EF83" s="210"/>
      <c r="EG83" s="210"/>
      <c r="EH83" s="210"/>
    </row>
    <row r="84" spans="1:138" x14ac:dyDescent="0.2">
      <c r="A84" s="27" t="s">
        <v>197</v>
      </c>
      <c r="B84" s="169">
        <v>78</v>
      </c>
      <c r="C84" s="12" t="s">
        <v>254</v>
      </c>
      <c r="D84" s="200">
        <v>1954</v>
      </c>
      <c r="E84" s="11"/>
      <c r="F84" s="169" t="s">
        <v>207</v>
      </c>
      <c r="G84" s="35">
        <v>1</v>
      </c>
      <c r="H84" s="201">
        <v>5</v>
      </c>
      <c r="I84" s="201" t="s">
        <v>19</v>
      </c>
      <c r="J84" s="115">
        <v>53133</v>
      </c>
      <c r="K84" s="115">
        <v>2930</v>
      </c>
      <c r="L84" s="157">
        <v>3391</v>
      </c>
      <c r="M84" s="115"/>
      <c r="N84" s="115">
        <v>86</v>
      </c>
      <c r="O84" s="115">
        <v>216</v>
      </c>
      <c r="P84" s="115">
        <v>87</v>
      </c>
      <c r="Q84" s="115">
        <v>163</v>
      </c>
      <c r="R84" s="228">
        <f>5956.4-0.02+0.04-0.03</f>
        <v>5956.3899999999994</v>
      </c>
      <c r="S84" s="230">
        <v>3589.95</v>
      </c>
      <c r="T84" s="115">
        <f t="shared" si="46"/>
        <v>70</v>
      </c>
      <c r="U84" s="203">
        <f t="shared" si="47"/>
        <v>4920.4399999999996</v>
      </c>
      <c r="V84" s="180">
        <f t="shared" si="47"/>
        <v>2996.21</v>
      </c>
      <c r="W84" s="115">
        <v>15</v>
      </c>
      <c r="X84" s="207">
        <v>957.65</v>
      </c>
      <c r="Y84" s="207">
        <v>593.74</v>
      </c>
      <c r="Z84" s="115">
        <v>1</v>
      </c>
      <c r="AA84" s="207">
        <v>78.3</v>
      </c>
      <c r="AB84" s="207"/>
      <c r="AC84" s="207">
        <f t="shared" si="48"/>
        <v>5463.9</v>
      </c>
      <c r="AD84" s="248">
        <f t="shared" si="49"/>
        <v>674.3</v>
      </c>
      <c r="AE84" s="275"/>
      <c r="AF84" s="275">
        <f>667.3+7</f>
        <v>674.3</v>
      </c>
      <c r="AG84" s="207">
        <f>2639.3-27.4</f>
        <v>2611.9</v>
      </c>
      <c r="AH84" s="207">
        <v>2177.6999999999998</v>
      </c>
      <c r="AI84" s="207">
        <f t="shared" si="50"/>
        <v>11420.289999999999</v>
      </c>
      <c r="AJ84" s="170"/>
      <c r="AK84" s="170"/>
      <c r="AL84" s="170">
        <v>6</v>
      </c>
      <c r="AM84" s="170"/>
      <c r="AN84" s="170">
        <v>1</v>
      </c>
      <c r="AO84" s="170">
        <v>2</v>
      </c>
      <c r="AP84" s="170">
        <v>8544</v>
      </c>
      <c r="AQ84" s="170">
        <v>90.5</v>
      </c>
      <c r="AR84" s="170">
        <v>550</v>
      </c>
      <c r="AS84" s="170">
        <v>372</v>
      </c>
      <c r="AT84" s="170">
        <v>90</v>
      </c>
      <c r="AU84" s="170">
        <f t="shared" si="38"/>
        <v>5138</v>
      </c>
      <c r="AV84" s="170"/>
      <c r="AW84" s="170">
        <v>5138</v>
      </c>
      <c r="AX84" s="170"/>
      <c r="AY84" s="170">
        <v>160</v>
      </c>
      <c r="AZ84" s="170">
        <v>2890</v>
      </c>
      <c r="BA84" s="170">
        <v>2890</v>
      </c>
      <c r="BB84" s="170">
        <v>26</v>
      </c>
      <c r="BC84" s="170">
        <v>12</v>
      </c>
      <c r="BD84" s="170">
        <v>442</v>
      </c>
      <c r="BE84" s="170">
        <v>572</v>
      </c>
      <c r="BF84" s="170"/>
      <c r="BG84" s="170">
        <v>6540</v>
      </c>
      <c r="BH84" s="170">
        <v>190</v>
      </c>
      <c r="BI84" s="170"/>
      <c r="BJ84" s="115">
        <f t="shared" si="51"/>
        <v>1</v>
      </c>
      <c r="BK84" s="115">
        <f t="shared" si="52"/>
        <v>5956.3899999999994</v>
      </c>
      <c r="BL84" s="115">
        <f t="shared" si="53"/>
        <v>3589.95</v>
      </c>
      <c r="BM84" s="115" t="str">
        <f t="shared" si="54"/>
        <v>0</v>
      </c>
      <c r="BN84" s="115" t="str">
        <f t="shared" si="55"/>
        <v>0</v>
      </c>
      <c r="BO84" s="115" t="str">
        <f t="shared" si="56"/>
        <v>0</v>
      </c>
      <c r="BP84" s="115" t="str">
        <f t="shared" si="57"/>
        <v>0</v>
      </c>
      <c r="BQ84" s="115" t="str">
        <f t="shared" si="58"/>
        <v>0</v>
      </c>
      <c r="BR84" s="115" t="str">
        <f t="shared" si="59"/>
        <v>0</v>
      </c>
      <c r="BS84" s="115"/>
      <c r="BT84" s="115">
        <v>3</v>
      </c>
      <c r="BU84" s="115">
        <f t="shared" si="73"/>
        <v>2890</v>
      </c>
      <c r="BV84" s="115">
        <v>4914</v>
      </c>
      <c r="BW84" s="115"/>
      <c r="BX84" s="115">
        <f t="shared" si="74"/>
        <v>8544</v>
      </c>
      <c r="BY84" s="253">
        <v>3900.7</v>
      </c>
      <c r="BZ84" s="253">
        <v>1025.1500000000001</v>
      </c>
      <c r="CA84" s="354">
        <v>1025.1500000000001</v>
      </c>
      <c r="CB84" s="354"/>
      <c r="CC84" s="354"/>
      <c r="CD84" s="354">
        <f>1434.3+1414.4</f>
        <v>2848.7</v>
      </c>
      <c r="CE84" s="354"/>
      <c r="CF84" s="354"/>
      <c r="CG84" s="354"/>
      <c r="CH84" s="355">
        <v>26.85</v>
      </c>
      <c r="CI84" s="356">
        <f t="shared" si="69"/>
        <v>3900.7</v>
      </c>
      <c r="CJ84" s="356">
        <f t="shared" si="60"/>
        <v>1025.1500000000001</v>
      </c>
      <c r="CK84" s="357">
        <v>2890</v>
      </c>
      <c r="CL84" s="358">
        <f t="shared" si="70"/>
        <v>6790.7</v>
      </c>
      <c r="CM84" s="205">
        <v>6865</v>
      </c>
      <c r="CN84" s="282">
        <f t="shared" si="61"/>
        <v>3935</v>
      </c>
      <c r="CO84" s="209" t="str">
        <f t="shared" si="40"/>
        <v>0</v>
      </c>
      <c r="CP84" s="235">
        <f t="shared" si="41"/>
        <v>0</v>
      </c>
      <c r="CQ84" s="209">
        <f t="shared" si="75"/>
        <v>1</v>
      </c>
      <c r="CR84" s="235">
        <f t="shared" si="43"/>
        <v>5138</v>
      </c>
      <c r="CS84" s="235">
        <f t="shared" si="44"/>
        <v>1</v>
      </c>
      <c r="CT84" s="235">
        <f t="shared" si="44"/>
        <v>5138</v>
      </c>
      <c r="CU84" s="234">
        <v>49</v>
      </c>
      <c r="CV84" s="284" t="str">
        <f t="shared" si="62"/>
        <v>0</v>
      </c>
      <c r="CW84" s="284" t="str">
        <f t="shared" si="63"/>
        <v>0</v>
      </c>
      <c r="CX84" s="243">
        <f t="shared" si="64"/>
        <v>16.077691353319715</v>
      </c>
      <c r="CY84" s="216" t="str">
        <f t="shared" si="65"/>
        <v>0</v>
      </c>
      <c r="CZ84" s="216" t="str">
        <f t="shared" si="66"/>
        <v>0</v>
      </c>
      <c r="DA84" s="243">
        <f t="shared" si="67"/>
        <v>14.289917331346228</v>
      </c>
      <c r="DB84" s="306">
        <v>1</v>
      </c>
      <c r="DC84" s="306">
        <v>0</v>
      </c>
      <c r="DD84" s="306">
        <v>0</v>
      </c>
      <c r="DE84" s="306">
        <v>0</v>
      </c>
      <c r="DF84" s="306">
        <v>2</v>
      </c>
      <c r="DG84" s="306">
        <v>0</v>
      </c>
      <c r="DH84" s="306">
        <v>0</v>
      </c>
      <c r="DI84" s="306">
        <v>0</v>
      </c>
      <c r="DJ84" s="306">
        <v>0</v>
      </c>
      <c r="DK84" s="306">
        <v>88</v>
      </c>
      <c r="DL84" s="306">
        <f t="shared" si="45"/>
        <v>78</v>
      </c>
      <c r="DM84" s="306">
        <v>10</v>
      </c>
      <c r="DN84" s="306">
        <v>51</v>
      </c>
      <c r="DO84" s="306">
        <v>17</v>
      </c>
      <c r="DP84" s="306">
        <v>69</v>
      </c>
      <c r="DQ84" s="306">
        <v>19</v>
      </c>
      <c r="DR84" s="306">
        <v>20</v>
      </c>
      <c r="DS84" s="306">
        <v>65</v>
      </c>
      <c r="DT84" s="306">
        <v>24</v>
      </c>
      <c r="DU84" s="306">
        <v>2</v>
      </c>
      <c r="DV84" s="306">
        <v>1</v>
      </c>
      <c r="DW84" s="306">
        <v>11</v>
      </c>
      <c r="DX84" s="306">
        <v>1</v>
      </c>
      <c r="DY84" s="306">
        <v>1</v>
      </c>
      <c r="DZ84" s="306">
        <v>11</v>
      </c>
      <c r="EA84" s="306">
        <v>1</v>
      </c>
      <c r="EB84" s="306">
        <v>88</v>
      </c>
      <c r="EC84" s="306">
        <f>88-7</f>
        <v>81</v>
      </c>
      <c r="ED84" s="342"/>
      <c r="EE84" s="342"/>
      <c r="EF84" s="210"/>
      <c r="EG84" s="210"/>
      <c r="EH84" s="210"/>
    </row>
    <row r="85" spans="1:138" x14ac:dyDescent="0.2">
      <c r="A85" s="12" t="s">
        <v>197</v>
      </c>
      <c r="B85" s="169">
        <v>79</v>
      </c>
      <c r="C85" s="12" t="s">
        <v>255</v>
      </c>
      <c r="D85" s="200">
        <v>1954</v>
      </c>
      <c r="E85" s="11"/>
      <c r="F85" s="169" t="s">
        <v>207</v>
      </c>
      <c r="G85" s="35">
        <v>1</v>
      </c>
      <c r="H85" s="201">
        <v>6</v>
      </c>
      <c r="I85" s="201" t="s">
        <v>19</v>
      </c>
      <c r="J85" s="115">
        <v>53684</v>
      </c>
      <c r="K85" s="115">
        <v>2972</v>
      </c>
      <c r="L85" s="157">
        <v>3580</v>
      </c>
      <c r="M85" s="115"/>
      <c r="N85" s="115">
        <v>122</v>
      </c>
      <c r="O85" s="115">
        <v>304</v>
      </c>
      <c r="P85" s="115">
        <v>122</v>
      </c>
      <c r="Q85" s="115">
        <v>211</v>
      </c>
      <c r="R85" s="228">
        <v>8081.15</v>
      </c>
      <c r="S85" s="230">
        <v>4881.1000000000004</v>
      </c>
      <c r="T85" s="115">
        <f t="shared" si="46"/>
        <v>100</v>
      </c>
      <c r="U85" s="203">
        <f t="shared" si="47"/>
        <v>6659.7099999999991</v>
      </c>
      <c r="V85" s="180">
        <f t="shared" si="47"/>
        <v>3999.8100000000004</v>
      </c>
      <c r="W85" s="115">
        <v>22</v>
      </c>
      <c r="X85" s="207">
        <v>1421.44</v>
      </c>
      <c r="Y85" s="207">
        <v>881.29</v>
      </c>
      <c r="Z85" s="204"/>
      <c r="AA85" s="207"/>
      <c r="AB85" s="207"/>
      <c r="AC85" s="207">
        <f t="shared" si="48"/>
        <v>2111.1999999999998</v>
      </c>
      <c r="AD85" s="248">
        <f t="shared" si="49"/>
        <v>501.5</v>
      </c>
      <c r="AE85" s="275"/>
      <c r="AF85" s="248">
        <v>501.5</v>
      </c>
      <c r="AG85" s="207">
        <v>1609.7</v>
      </c>
      <c r="AH85" s="207"/>
      <c r="AI85" s="207">
        <f t="shared" si="50"/>
        <v>10192.349999999999</v>
      </c>
      <c r="AJ85" s="170"/>
      <c r="AK85" s="170"/>
      <c r="AL85" s="170">
        <v>8</v>
      </c>
      <c r="AM85" s="170"/>
      <c r="AN85" s="170">
        <v>1</v>
      </c>
      <c r="AO85" s="170">
        <v>2</v>
      </c>
      <c r="AP85" s="170">
        <v>8544</v>
      </c>
      <c r="AQ85" s="170">
        <v>89.125</v>
      </c>
      <c r="AR85" s="170">
        <v>550</v>
      </c>
      <c r="AS85" s="170">
        <v>772</v>
      </c>
      <c r="AT85" s="170">
        <v>120</v>
      </c>
      <c r="AU85" s="170">
        <f t="shared" si="38"/>
        <v>6854</v>
      </c>
      <c r="AV85" s="170"/>
      <c r="AW85" s="170">
        <f>6884-30</f>
        <v>6854</v>
      </c>
      <c r="AX85" s="170"/>
      <c r="AY85" s="170">
        <v>265</v>
      </c>
      <c r="AZ85" s="170">
        <v>2580</v>
      </c>
      <c r="BA85" s="170">
        <v>2869</v>
      </c>
      <c r="BB85" s="170">
        <v>34</v>
      </c>
      <c r="BC85" s="170">
        <v>16</v>
      </c>
      <c r="BD85" s="170">
        <f>442-3</f>
        <v>439</v>
      </c>
      <c r="BE85" s="170">
        <f>572-1</f>
        <v>571</v>
      </c>
      <c r="BF85" s="170"/>
      <c r="BG85" s="170">
        <f>9089-120</f>
        <v>8969</v>
      </c>
      <c r="BH85" s="170">
        <v>266</v>
      </c>
      <c r="BI85" s="170"/>
      <c r="BJ85" s="115">
        <f t="shared" si="51"/>
        <v>1</v>
      </c>
      <c r="BK85" s="115">
        <f t="shared" si="52"/>
        <v>8081.15</v>
      </c>
      <c r="BL85" s="115">
        <f t="shared" si="53"/>
        <v>4881.1000000000004</v>
      </c>
      <c r="BM85" s="115" t="str">
        <f t="shared" si="54"/>
        <v>0</v>
      </c>
      <c r="BN85" s="115" t="str">
        <f t="shared" si="55"/>
        <v>0</v>
      </c>
      <c r="BO85" s="115" t="str">
        <f t="shared" si="56"/>
        <v>0</v>
      </c>
      <c r="BP85" s="115" t="str">
        <f t="shared" si="57"/>
        <v>0</v>
      </c>
      <c r="BQ85" s="115" t="str">
        <f t="shared" si="58"/>
        <v>0</v>
      </c>
      <c r="BR85" s="115" t="str">
        <f t="shared" si="59"/>
        <v>0</v>
      </c>
      <c r="BS85" s="115"/>
      <c r="BT85" s="115">
        <v>4</v>
      </c>
      <c r="BU85" s="115">
        <f t="shared" si="73"/>
        <v>2869</v>
      </c>
      <c r="BV85" s="115">
        <v>6935</v>
      </c>
      <c r="BW85" s="115"/>
      <c r="BX85" s="115">
        <f t="shared" si="74"/>
        <v>8544</v>
      </c>
      <c r="BY85" s="253">
        <v>3947.27</v>
      </c>
      <c r="BZ85" s="253">
        <v>1018.12</v>
      </c>
      <c r="CA85" s="354">
        <v>1018.12</v>
      </c>
      <c r="CB85" s="354"/>
      <c r="CC85" s="354"/>
      <c r="CD85" s="354">
        <v>2869.4</v>
      </c>
      <c r="CE85" s="354">
        <f>17.34+13</f>
        <v>30.34</v>
      </c>
      <c r="CF85" s="354"/>
      <c r="CG85" s="354"/>
      <c r="CH85" s="355">
        <f>6.4+7.77+15.24</f>
        <v>29.41</v>
      </c>
      <c r="CI85" s="356">
        <f t="shared" si="69"/>
        <v>3947.27</v>
      </c>
      <c r="CJ85" s="356">
        <f t="shared" si="60"/>
        <v>1018.12</v>
      </c>
      <c r="CK85" s="357">
        <v>2580</v>
      </c>
      <c r="CL85" s="358">
        <f t="shared" si="70"/>
        <v>6527.27</v>
      </c>
      <c r="CM85" s="205">
        <v>6736</v>
      </c>
      <c r="CN85" s="282">
        <f t="shared" si="61"/>
        <v>3764</v>
      </c>
      <c r="CO85" s="209" t="str">
        <f t="shared" si="40"/>
        <v>0</v>
      </c>
      <c r="CP85" s="235">
        <f t="shared" si="41"/>
        <v>0</v>
      </c>
      <c r="CQ85" s="209">
        <f t="shared" si="75"/>
        <v>1</v>
      </c>
      <c r="CR85" s="235">
        <f t="shared" si="43"/>
        <v>6854</v>
      </c>
      <c r="CS85" s="235">
        <f t="shared" ref="CS85:CT122" si="76">CO85+CQ85</f>
        <v>1</v>
      </c>
      <c r="CT85" s="235">
        <f t="shared" si="76"/>
        <v>6854</v>
      </c>
      <c r="CU85" s="234">
        <v>42</v>
      </c>
      <c r="CV85" s="284" t="str">
        <f t="shared" si="62"/>
        <v>0</v>
      </c>
      <c r="CW85" s="284" t="str">
        <f t="shared" si="63"/>
        <v>0</v>
      </c>
      <c r="CX85" s="243">
        <f t="shared" si="64"/>
        <v>17.589575741076459</v>
      </c>
      <c r="CY85" s="216" t="str">
        <f t="shared" si="65"/>
        <v>0</v>
      </c>
      <c r="CZ85" s="216" t="str">
        <f t="shared" si="66"/>
        <v>0</v>
      </c>
      <c r="DA85" s="243">
        <f t="shared" si="67"/>
        <v>18.866502818290193</v>
      </c>
      <c r="DB85" s="306">
        <v>1</v>
      </c>
      <c r="DC85" s="306">
        <v>0</v>
      </c>
      <c r="DD85" s="306">
        <v>0</v>
      </c>
      <c r="DE85" s="306">
        <v>0</v>
      </c>
      <c r="DF85" s="306">
        <v>2</v>
      </c>
      <c r="DG85" s="306">
        <v>0</v>
      </c>
      <c r="DH85" s="306">
        <v>0</v>
      </c>
      <c r="DI85" s="306">
        <v>0</v>
      </c>
      <c r="DJ85" s="306">
        <v>0</v>
      </c>
      <c r="DK85" s="306">
        <v>123</v>
      </c>
      <c r="DL85" s="306">
        <f t="shared" si="45"/>
        <v>114</v>
      </c>
      <c r="DM85" s="306">
        <v>9</v>
      </c>
      <c r="DN85" s="306">
        <v>76</v>
      </c>
      <c r="DO85" s="306">
        <v>33</v>
      </c>
      <c r="DP85" s="306">
        <v>92</v>
      </c>
      <c r="DQ85" s="306">
        <v>39</v>
      </c>
      <c r="DR85" s="306">
        <v>34</v>
      </c>
      <c r="DS85" s="306">
        <v>88</v>
      </c>
      <c r="DT85" s="306">
        <v>47</v>
      </c>
      <c r="DU85" s="306">
        <v>4</v>
      </c>
      <c r="DV85" s="306">
        <v>4</v>
      </c>
      <c r="DW85" s="306">
        <v>14</v>
      </c>
      <c r="DX85" s="306">
        <v>4</v>
      </c>
      <c r="DY85" s="306">
        <v>4</v>
      </c>
      <c r="DZ85" s="306">
        <v>13</v>
      </c>
      <c r="EA85" s="306">
        <v>4</v>
      </c>
      <c r="EB85" s="306">
        <v>123</v>
      </c>
      <c r="EC85" s="306">
        <f>123-8</f>
        <v>115</v>
      </c>
      <c r="ED85" s="342"/>
      <c r="EE85" s="342"/>
      <c r="EF85" s="210"/>
      <c r="EG85" s="210"/>
      <c r="EH85" s="210"/>
    </row>
    <row r="86" spans="1:138" x14ac:dyDescent="0.2">
      <c r="A86" s="27" t="s">
        <v>197</v>
      </c>
      <c r="B86" s="169">
        <v>80</v>
      </c>
      <c r="C86" s="12" t="s">
        <v>256</v>
      </c>
      <c r="D86" s="200">
        <v>1957</v>
      </c>
      <c r="E86" s="11"/>
      <c r="F86" s="169" t="s">
        <v>207</v>
      </c>
      <c r="G86" s="35">
        <v>1</v>
      </c>
      <c r="H86" s="201">
        <v>5</v>
      </c>
      <c r="I86" s="201" t="s">
        <v>19</v>
      </c>
      <c r="J86" s="115">
        <v>28682</v>
      </c>
      <c r="K86" s="115">
        <v>1879</v>
      </c>
      <c r="L86" s="157">
        <v>2088</v>
      </c>
      <c r="M86" s="115"/>
      <c r="N86" s="115">
        <v>71</v>
      </c>
      <c r="O86" s="115">
        <v>171</v>
      </c>
      <c r="P86" s="115">
        <v>72</v>
      </c>
      <c r="Q86" s="115">
        <v>140</v>
      </c>
      <c r="R86" s="228">
        <f>4815.89-1.3</f>
        <v>4814.59</v>
      </c>
      <c r="S86" s="230">
        <v>2779.9</v>
      </c>
      <c r="T86" s="115">
        <f t="shared" si="46"/>
        <v>69</v>
      </c>
      <c r="U86" s="203">
        <f t="shared" si="47"/>
        <v>4713.29</v>
      </c>
      <c r="V86" s="180">
        <f t="shared" si="47"/>
        <v>2717.09</v>
      </c>
      <c r="W86" s="115">
        <v>2</v>
      </c>
      <c r="X86" s="207">
        <v>101.3</v>
      </c>
      <c r="Y86" s="207">
        <v>62.81</v>
      </c>
      <c r="Z86" s="204"/>
      <c r="AA86" s="207"/>
      <c r="AB86" s="207"/>
      <c r="AC86" s="207">
        <f t="shared" si="48"/>
        <v>1267.5999999999999</v>
      </c>
      <c r="AD86" s="248">
        <f t="shared" si="49"/>
        <v>961.2</v>
      </c>
      <c r="AE86" s="275"/>
      <c r="AF86" s="248">
        <v>961.2</v>
      </c>
      <c r="AG86" s="207">
        <v>306.39999999999998</v>
      </c>
      <c r="AH86" s="207"/>
      <c r="AI86" s="207">
        <f t="shared" si="50"/>
        <v>6082.1900000000005</v>
      </c>
      <c r="AJ86" s="170"/>
      <c r="AK86" s="170"/>
      <c r="AL86" s="170">
        <v>4</v>
      </c>
      <c r="AM86" s="170"/>
      <c r="AN86" s="170"/>
      <c r="AO86" s="170">
        <v>1</v>
      </c>
      <c r="AP86" s="170">
        <v>4000</v>
      </c>
      <c r="AQ86" s="170"/>
      <c r="AR86" s="170">
        <v>563</v>
      </c>
      <c r="AS86" s="170">
        <v>250</v>
      </c>
      <c r="AT86" s="170">
        <v>130</v>
      </c>
      <c r="AU86" s="170">
        <f t="shared" si="38"/>
        <v>5279</v>
      </c>
      <c r="AV86" s="170"/>
      <c r="AW86" s="170">
        <v>5279</v>
      </c>
      <c r="AX86" s="170"/>
      <c r="AY86" s="170">
        <v>100</v>
      </c>
      <c r="AZ86" s="170">
        <v>1686</v>
      </c>
      <c r="BA86" s="170">
        <v>1686</v>
      </c>
      <c r="BB86" s="170">
        <v>16</v>
      </c>
      <c r="BC86" s="170">
        <v>8</v>
      </c>
      <c r="BD86" s="170">
        <v>330</v>
      </c>
      <c r="BE86" s="170">
        <v>72</v>
      </c>
      <c r="BF86" s="170">
        <v>1</v>
      </c>
      <c r="BG86" s="170">
        <v>6800</v>
      </c>
      <c r="BH86" s="170">
        <v>120</v>
      </c>
      <c r="BI86" s="170"/>
      <c r="BJ86" s="115">
        <f t="shared" si="51"/>
        <v>1</v>
      </c>
      <c r="BK86" s="115">
        <f t="shared" si="52"/>
        <v>4814.59</v>
      </c>
      <c r="BL86" s="115">
        <f t="shared" si="53"/>
        <v>2779.9</v>
      </c>
      <c r="BM86" s="115" t="str">
        <f t="shared" si="54"/>
        <v>0</v>
      </c>
      <c r="BN86" s="115" t="str">
        <f t="shared" si="55"/>
        <v>0</v>
      </c>
      <c r="BO86" s="115" t="str">
        <f t="shared" si="56"/>
        <v>0</v>
      </c>
      <c r="BP86" s="115" t="str">
        <f t="shared" si="57"/>
        <v>0</v>
      </c>
      <c r="BQ86" s="115" t="str">
        <f t="shared" si="58"/>
        <v>0</v>
      </c>
      <c r="BR86" s="115" t="str">
        <f t="shared" si="59"/>
        <v>0</v>
      </c>
      <c r="BS86" s="115"/>
      <c r="BT86" s="115">
        <v>2</v>
      </c>
      <c r="BU86" s="115">
        <f t="shared" si="73"/>
        <v>1686</v>
      </c>
      <c r="BV86" s="115">
        <v>5274</v>
      </c>
      <c r="BW86" s="115"/>
      <c r="BX86" s="115">
        <f t="shared" si="74"/>
        <v>4000</v>
      </c>
      <c r="BY86" s="253">
        <v>2258.9</v>
      </c>
      <c r="BZ86" s="253">
        <v>526</v>
      </c>
      <c r="CA86" s="354">
        <v>526</v>
      </c>
      <c r="CB86" s="354"/>
      <c r="CC86" s="354"/>
      <c r="CD86" s="354">
        <f>1686*0+1685.3</f>
        <v>1685.3</v>
      </c>
      <c r="CE86" s="354">
        <f>10+4.7</f>
        <v>14.7</v>
      </c>
      <c r="CF86" s="354"/>
      <c r="CG86" s="354"/>
      <c r="CH86" s="355">
        <v>32.9</v>
      </c>
      <c r="CI86" s="356">
        <f t="shared" si="69"/>
        <v>2258.8999999999996</v>
      </c>
      <c r="CJ86" s="356">
        <f t="shared" si="60"/>
        <v>526</v>
      </c>
      <c r="CK86" s="357">
        <v>1686</v>
      </c>
      <c r="CL86" s="358">
        <f t="shared" si="70"/>
        <v>3944.8999999999996</v>
      </c>
      <c r="CM86" s="205">
        <v>2932</v>
      </c>
      <c r="CN86" s="282">
        <f t="shared" si="61"/>
        <v>1053</v>
      </c>
      <c r="CO86" s="209" t="str">
        <f t="shared" si="40"/>
        <v>0</v>
      </c>
      <c r="CP86" s="235">
        <f t="shared" si="41"/>
        <v>0</v>
      </c>
      <c r="CQ86" s="209">
        <f t="shared" si="75"/>
        <v>1</v>
      </c>
      <c r="CR86" s="235">
        <f t="shared" si="43"/>
        <v>5279</v>
      </c>
      <c r="CS86" s="235">
        <f t="shared" si="76"/>
        <v>1</v>
      </c>
      <c r="CT86" s="235">
        <f t="shared" si="76"/>
        <v>5279</v>
      </c>
      <c r="CU86" s="156">
        <v>39</v>
      </c>
      <c r="CV86" s="284" t="str">
        <f t="shared" si="62"/>
        <v>0</v>
      </c>
      <c r="CW86" s="284" t="str">
        <f t="shared" si="63"/>
        <v>0</v>
      </c>
      <c r="CX86" s="243">
        <f t="shared" si="64"/>
        <v>2.104021318533873</v>
      </c>
      <c r="CY86" s="216" t="str">
        <f t="shared" si="65"/>
        <v>0</v>
      </c>
      <c r="CZ86" s="216" t="str">
        <f t="shared" si="66"/>
        <v>0</v>
      </c>
      <c r="DA86" s="243">
        <f t="shared" si="67"/>
        <v>17.469036646339557</v>
      </c>
      <c r="DB86" s="306">
        <v>1</v>
      </c>
      <c r="DC86" s="306">
        <v>0</v>
      </c>
      <c r="DD86" s="306">
        <v>0</v>
      </c>
      <c r="DE86" s="306">
        <v>0</v>
      </c>
      <c r="DF86" s="306">
        <v>2</v>
      </c>
      <c r="DG86" s="306">
        <v>0</v>
      </c>
      <c r="DH86" s="306">
        <v>0</v>
      </c>
      <c r="DI86" s="306">
        <v>0</v>
      </c>
      <c r="DJ86" s="306">
        <v>0</v>
      </c>
      <c r="DK86" s="306">
        <v>72</v>
      </c>
      <c r="DL86" s="306">
        <f t="shared" si="45"/>
        <v>70</v>
      </c>
      <c r="DM86" s="306">
        <v>2</v>
      </c>
      <c r="DN86" s="306">
        <v>53</v>
      </c>
      <c r="DO86" s="306">
        <v>32</v>
      </c>
      <c r="DP86" s="306">
        <v>40</v>
      </c>
      <c r="DQ86" s="306">
        <v>32</v>
      </c>
      <c r="DR86" s="306">
        <v>33</v>
      </c>
      <c r="DS86" s="306">
        <v>39</v>
      </c>
      <c r="DT86" s="306">
        <v>33</v>
      </c>
      <c r="DU86" s="306">
        <v>1</v>
      </c>
      <c r="DV86" s="306">
        <v>0</v>
      </c>
      <c r="DW86" s="306">
        <v>4</v>
      </c>
      <c r="DX86" s="306">
        <v>0</v>
      </c>
      <c r="DY86" s="306">
        <v>0</v>
      </c>
      <c r="DZ86" s="306">
        <v>4</v>
      </c>
      <c r="EA86" s="306">
        <v>0</v>
      </c>
      <c r="EB86" s="306">
        <v>72</v>
      </c>
      <c r="EC86" s="306">
        <v>72</v>
      </c>
      <c r="ED86" s="342"/>
      <c r="EE86" s="342"/>
    </row>
    <row r="87" spans="1:138" x14ac:dyDescent="0.2">
      <c r="A87" s="12" t="s">
        <v>197</v>
      </c>
      <c r="B87" s="169">
        <v>81</v>
      </c>
      <c r="C87" s="12" t="s">
        <v>257</v>
      </c>
      <c r="D87" s="200">
        <v>1960</v>
      </c>
      <c r="E87" s="11"/>
      <c r="F87" s="169" t="s">
        <v>13</v>
      </c>
      <c r="G87" s="35">
        <v>1</v>
      </c>
      <c r="H87" s="201">
        <v>5</v>
      </c>
      <c r="I87" s="201" t="s">
        <v>19</v>
      </c>
      <c r="J87" s="115">
        <v>9934</v>
      </c>
      <c r="K87" s="115">
        <v>733</v>
      </c>
      <c r="L87" s="157">
        <v>838</v>
      </c>
      <c r="M87" s="115"/>
      <c r="N87" s="115">
        <v>47</v>
      </c>
      <c r="O87" s="115">
        <v>90</v>
      </c>
      <c r="P87" s="115">
        <v>47</v>
      </c>
      <c r="Q87" s="115">
        <v>67</v>
      </c>
      <c r="R87" s="228">
        <v>1973.12</v>
      </c>
      <c r="S87" s="230">
        <v>1290.3599999999999</v>
      </c>
      <c r="T87" s="115">
        <f t="shared" si="46"/>
        <v>47</v>
      </c>
      <c r="U87" s="203">
        <f t="shared" si="47"/>
        <v>1973.12</v>
      </c>
      <c r="V87" s="180">
        <f t="shared" si="47"/>
        <v>1290.3599999999999</v>
      </c>
      <c r="W87" s="115">
        <v>0</v>
      </c>
      <c r="X87" s="207">
        <v>0</v>
      </c>
      <c r="Y87" s="207">
        <v>0</v>
      </c>
      <c r="Z87" s="204"/>
      <c r="AA87" s="207"/>
      <c r="AB87" s="207"/>
      <c r="AC87" s="207">
        <f t="shared" si="48"/>
        <v>551.1</v>
      </c>
      <c r="AD87" s="248">
        <f t="shared" si="49"/>
        <v>13.4</v>
      </c>
      <c r="AE87" s="248"/>
      <c r="AF87" s="248">
        <f>13.34+0.06</f>
        <v>13.4</v>
      </c>
      <c r="AG87" s="207">
        <v>483.3</v>
      </c>
      <c r="AH87" s="207">
        <v>54.4</v>
      </c>
      <c r="AI87" s="207">
        <f t="shared" si="50"/>
        <v>2524.2199999999998</v>
      </c>
      <c r="AJ87" s="170"/>
      <c r="AK87" s="170"/>
      <c r="AL87" s="170">
        <v>3</v>
      </c>
      <c r="AM87" s="170"/>
      <c r="AN87" s="170"/>
      <c r="AO87" s="170">
        <v>1</v>
      </c>
      <c r="AP87" s="170">
        <v>1920</v>
      </c>
      <c r="AQ87" s="170"/>
      <c r="AR87" s="170">
        <v>277</v>
      </c>
      <c r="AS87" s="170">
        <v>259</v>
      </c>
      <c r="AT87" s="170">
        <v>54</v>
      </c>
      <c r="AU87" s="170">
        <f t="shared" si="38"/>
        <v>2655</v>
      </c>
      <c r="AV87" s="170"/>
      <c r="AW87" s="170">
        <v>2655</v>
      </c>
      <c r="AX87" s="170"/>
      <c r="AY87" s="170">
        <v>159</v>
      </c>
      <c r="AZ87" s="170">
        <v>694</v>
      </c>
      <c r="BA87" s="170">
        <v>733</v>
      </c>
      <c r="BB87" s="170">
        <v>12</v>
      </c>
      <c r="BC87" s="170">
        <v>6</v>
      </c>
      <c r="BD87" s="170">
        <v>181</v>
      </c>
      <c r="BE87" s="170">
        <v>47</v>
      </c>
      <c r="BF87" s="170"/>
      <c r="BG87" s="170">
        <v>300</v>
      </c>
      <c r="BH87" s="170">
        <v>60</v>
      </c>
      <c r="BI87" s="170"/>
      <c r="BJ87" s="115">
        <f t="shared" si="51"/>
        <v>1</v>
      </c>
      <c r="BK87" s="115">
        <f t="shared" si="52"/>
        <v>1973.12</v>
      </c>
      <c r="BL87" s="115">
        <f t="shared" si="53"/>
        <v>1290.3599999999999</v>
      </c>
      <c r="BM87" s="115" t="str">
        <f t="shared" si="54"/>
        <v>0</v>
      </c>
      <c r="BN87" s="115" t="str">
        <f t="shared" si="55"/>
        <v>0</v>
      </c>
      <c r="BO87" s="115" t="str">
        <f t="shared" si="56"/>
        <v>0</v>
      </c>
      <c r="BP87" s="115" t="str">
        <f t="shared" si="57"/>
        <v>0</v>
      </c>
      <c r="BQ87" s="115" t="str">
        <f t="shared" si="58"/>
        <v>0</v>
      </c>
      <c r="BR87" s="115" t="str">
        <f t="shared" si="59"/>
        <v>0</v>
      </c>
      <c r="BS87" s="115"/>
      <c r="BT87" s="115">
        <v>2</v>
      </c>
      <c r="BU87" s="115">
        <f t="shared" si="73"/>
        <v>733</v>
      </c>
      <c r="BV87" s="115">
        <v>1910</v>
      </c>
      <c r="BW87" s="115"/>
      <c r="BX87" s="115">
        <f t="shared" si="74"/>
        <v>1920</v>
      </c>
      <c r="BY87" s="253">
        <v>928.7</v>
      </c>
      <c r="BZ87" s="253">
        <v>183.62</v>
      </c>
      <c r="CA87" s="354">
        <v>183.62</v>
      </c>
      <c r="CB87" s="354"/>
      <c r="CC87" s="354"/>
      <c r="CD87" s="354">
        <v>733</v>
      </c>
      <c r="CE87" s="354">
        <v>4.5999999999999996</v>
      </c>
      <c r="CF87" s="354"/>
      <c r="CG87" s="354"/>
      <c r="CH87" s="355">
        <v>7.48</v>
      </c>
      <c r="CI87" s="356">
        <f t="shared" si="69"/>
        <v>928.7</v>
      </c>
      <c r="CJ87" s="356">
        <f t="shared" si="60"/>
        <v>183.62</v>
      </c>
      <c r="CK87" s="357">
        <v>694</v>
      </c>
      <c r="CL87" s="358">
        <f t="shared" si="70"/>
        <v>1622.7</v>
      </c>
      <c r="CM87" s="205">
        <v>2601</v>
      </c>
      <c r="CN87" s="282">
        <f t="shared" si="61"/>
        <v>1868</v>
      </c>
      <c r="CO87" s="209" t="str">
        <f t="shared" si="40"/>
        <v>0</v>
      </c>
      <c r="CP87" s="235">
        <f t="shared" si="41"/>
        <v>0</v>
      </c>
      <c r="CQ87" s="209">
        <f t="shared" si="75"/>
        <v>1</v>
      </c>
      <c r="CR87" s="235">
        <f t="shared" si="43"/>
        <v>2655</v>
      </c>
      <c r="CS87" s="235">
        <f t="shared" si="76"/>
        <v>1</v>
      </c>
      <c r="CT87" s="235">
        <f t="shared" si="76"/>
        <v>2655</v>
      </c>
      <c r="CU87" s="156">
        <v>34</v>
      </c>
      <c r="CV87" s="284" t="str">
        <f t="shared" si="62"/>
        <v>0</v>
      </c>
      <c r="CW87" s="284" t="str">
        <f t="shared" si="63"/>
        <v>0</v>
      </c>
      <c r="CX87" s="243">
        <f t="shared" si="64"/>
        <v>0</v>
      </c>
      <c r="CY87" s="216" t="str">
        <f t="shared" si="65"/>
        <v>0</v>
      </c>
      <c r="CZ87" s="216" t="str">
        <f t="shared" si="66"/>
        <v>0</v>
      </c>
      <c r="DA87" s="243">
        <f t="shared" si="67"/>
        <v>0.53085705683339812</v>
      </c>
      <c r="DB87" s="306">
        <v>1</v>
      </c>
      <c r="DC87" s="306">
        <v>0</v>
      </c>
      <c r="DD87" s="306">
        <v>0</v>
      </c>
      <c r="DE87" s="306">
        <v>0</v>
      </c>
      <c r="DF87" s="306">
        <v>1</v>
      </c>
      <c r="DG87" s="306">
        <v>0</v>
      </c>
      <c r="DH87" s="306">
        <v>0</v>
      </c>
      <c r="DI87" s="306">
        <v>0</v>
      </c>
      <c r="DJ87" s="306">
        <v>0</v>
      </c>
      <c r="DK87" s="306">
        <v>47</v>
      </c>
      <c r="DL87" s="306">
        <f t="shared" si="45"/>
        <v>47</v>
      </c>
      <c r="DM87" s="306">
        <v>0</v>
      </c>
      <c r="DN87" s="306">
        <v>38</v>
      </c>
      <c r="DO87" s="306">
        <v>23</v>
      </c>
      <c r="DP87" s="306">
        <v>24</v>
      </c>
      <c r="DQ87" s="306">
        <v>23</v>
      </c>
      <c r="DR87" s="306">
        <v>23</v>
      </c>
      <c r="DS87" s="306">
        <v>24</v>
      </c>
      <c r="DT87" s="306">
        <v>23</v>
      </c>
      <c r="DU87" s="306">
        <v>0</v>
      </c>
      <c r="DV87" s="306">
        <v>0</v>
      </c>
      <c r="DW87" s="306">
        <v>2</v>
      </c>
      <c r="DX87" s="306">
        <v>0</v>
      </c>
      <c r="DY87" s="306">
        <v>0</v>
      </c>
      <c r="DZ87" s="306">
        <v>2</v>
      </c>
      <c r="EA87" s="306">
        <v>0</v>
      </c>
      <c r="EB87" s="306">
        <v>47</v>
      </c>
      <c r="EC87" s="306">
        <v>47</v>
      </c>
      <c r="ED87" s="342"/>
      <c r="EE87" s="342"/>
    </row>
    <row r="88" spans="1:138" x14ac:dyDescent="0.2">
      <c r="A88" s="27" t="s">
        <v>197</v>
      </c>
      <c r="B88" s="169">
        <v>82</v>
      </c>
      <c r="C88" s="12" t="s">
        <v>258</v>
      </c>
      <c r="D88" s="200">
        <v>1957</v>
      </c>
      <c r="E88" s="11"/>
      <c r="F88" s="169" t="s">
        <v>207</v>
      </c>
      <c r="G88" s="35">
        <v>1</v>
      </c>
      <c r="H88" s="201">
        <v>5</v>
      </c>
      <c r="I88" s="201" t="s">
        <v>19</v>
      </c>
      <c r="J88" s="115">
        <v>27960</v>
      </c>
      <c r="K88" s="115">
        <v>1736</v>
      </c>
      <c r="L88" s="157">
        <v>1976</v>
      </c>
      <c r="M88" s="115"/>
      <c r="N88" s="115">
        <f>67-1</f>
        <v>66</v>
      </c>
      <c r="O88" s="115">
        <f>156-1</f>
        <v>155</v>
      </c>
      <c r="P88" s="115">
        <v>66</v>
      </c>
      <c r="Q88" s="115">
        <v>122</v>
      </c>
      <c r="R88" s="228">
        <f>4410.41+57-62.6-0.01</f>
        <v>4404.7999999999993</v>
      </c>
      <c r="S88" s="230">
        <v>2508.1999999999998</v>
      </c>
      <c r="T88" s="115">
        <f t="shared" si="46"/>
        <v>64</v>
      </c>
      <c r="U88" s="203">
        <f t="shared" si="47"/>
        <v>4299.4999999999991</v>
      </c>
      <c r="V88" s="180">
        <f t="shared" si="47"/>
        <v>2442.9199999999996</v>
      </c>
      <c r="W88" s="115">
        <v>2</v>
      </c>
      <c r="X88" s="207">
        <v>105.3</v>
      </c>
      <c r="Y88" s="207">
        <v>65.28</v>
      </c>
      <c r="Z88" s="204"/>
      <c r="AA88" s="207"/>
      <c r="AB88" s="207"/>
      <c r="AC88" s="207">
        <f t="shared" si="48"/>
        <v>1557.1999999999998</v>
      </c>
      <c r="AD88" s="248">
        <f t="shared" si="49"/>
        <v>943.8</v>
      </c>
      <c r="AE88" s="275"/>
      <c r="AF88" s="248">
        <f>939.7-1.6+202.2-196.5</f>
        <v>943.8</v>
      </c>
      <c r="AG88" s="207">
        <v>613.4</v>
      </c>
      <c r="AH88" s="207"/>
      <c r="AI88" s="207">
        <f t="shared" si="50"/>
        <v>5961.9999999999991</v>
      </c>
      <c r="AJ88" s="170"/>
      <c r="AK88" s="170"/>
      <c r="AL88" s="170">
        <v>4</v>
      </c>
      <c r="AM88" s="170"/>
      <c r="AN88" s="170"/>
      <c r="AO88" s="170">
        <v>1</v>
      </c>
      <c r="AP88" s="170">
        <v>4000</v>
      </c>
      <c r="AQ88" s="170">
        <v>83.75</v>
      </c>
      <c r="AR88" s="170">
        <v>541</v>
      </c>
      <c r="AS88" s="170">
        <v>250</v>
      </c>
      <c r="AT88" s="170">
        <v>128</v>
      </c>
      <c r="AU88" s="170">
        <f t="shared" si="38"/>
        <v>5279</v>
      </c>
      <c r="AV88" s="170"/>
      <c r="AW88" s="170">
        <v>5279</v>
      </c>
      <c r="AX88" s="170"/>
      <c r="AY88" s="170">
        <v>98</v>
      </c>
      <c r="AZ88" s="170">
        <v>1686</v>
      </c>
      <c r="BA88" s="170">
        <v>1686</v>
      </c>
      <c r="BB88" s="170">
        <v>16</v>
      </c>
      <c r="BC88" s="170">
        <v>8</v>
      </c>
      <c r="BD88" s="170">
        <v>325</v>
      </c>
      <c r="BE88" s="170">
        <v>69</v>
      </c>
      <c r="BF88" s="170">
        <v>1</v>
      </c>
      <c r="BG88" s="170">
        <v>6800</v>
      </c>
      <c r="BH88" s="170">
        <v>120</v>
      </c>
      <c r="BI88" s="170"/>
      <c r="BJ88" s="115">
        <f t="shared" si="51"/>
        <v>1</v>
      </c>
      <c r="BK88" s="115">
        <f t="shared" si="52"/>
        <v>4404.7999999999993</v>
      </c>
      <c r="BL88" s="115">
        <f t="shared" si="53"/>
        <v>2508.1999999999998</v>
      </c>
      <c r="BM88" s="115" t="str">
        <f t="shared" si="54"/>
        <v>0</v>
      </c>
      <c r="BN88" s="115" t="str">
        <f t="shared" si="55"/>
        <v>0</v>
      </c>
      <c r="BO88" s="115" t="str">
        <f t="shared" si="56"/>
        <v>0</v>
      </c>
      <c r="BP88" s="115" t="str">
        <f t="shared" si="57"/>
        <v>0</v>
      </c>
      <c r="BQ88" s="115" t="str">
        <f t="shared" si="58"/>
        <v>0</v>
      </c>
      <c r="BR88" s="115" t="str">
        <f t="shared" si="59"/>
        <v>0</v>
      </c>
      <c r="BS88" s="115"/>
      <c r="BT88" s="115">
        <v>2</v>
      </c>
      <c r="BU88" s="115">
        <f t="shared" si="73"/>
        <v>1686</v>
      </c>
      <c r="BV88" s="115">
        <v>5272</v>
      </c>
      <c r="BW88" s="115"/>
      <c r="BX88" s="115">
        <f t="shared" si="74"/>
        <v>4000</v>
      </c>
      <c r="BY88" s="253">
        <v>2309.3000000000002</v>
      </c>
      <c r="BZ88" s="253">
        <v>585</v>
      </c>
      <c r="CA88" s="354">
        <v>585</v>
      </c>
      <c r="CB88" s="354"/>
      <c r="CC88" s="354"/>
      <c r="CD88" s="354">
        <v>1681.3</v>
      </c>
      <c r="CE88" s="354">
        <v>32.700000000000003</v>
      </c>
      <c r="CF88" s="354"/>
      <c r="CG88" s="354"/>
      <c r="CH88" s="355">
        <v>10.3</v>
      </c>
      <c r="CI88" s="356">
        <f t="shared" si="69"/>
        <v>2309.3000000000002</v>
      </c>
      <c r="CJ88" s="356">
        <f t="shared" si="60"/>
        <v>585</v>
      </c>
      <c r="CK88" s="357">
        <v>1686</v>
      </c>
      <c r="CL88" s="358">
        <f t="shared" si="70"/>
        <v>3995.3</v>
      </c>
      <c r="CM88" s="205">
        <v>3037</v>
      </c>
      <c r="CN88" s="282">
        <f t="shared" si="61"/>
        <v>1301</v>
      </c>
      <c r="CO88" s="209" t="str">
        <f t="shared" si="40"/>
        <v>0</v>
      </c>
      <c r="CP88" s="235">
        <f t="shared" si="41"/>
        <v>0</v>
      </c>
      <c r="CQ88" s="209">
        <f t="shared" si="75"/>
        <v>1</v>
      </c>
      <c r="CR88" s="235">
        <f t="shared" si="43"/>
        <v>5279</v>
      </c>
      <c r="CS88" s="235">
        <f t="shared" si="76"/>
        <v>1</v>
      </c>
      <c r="CT88" s="235">
        <f t="shared" si="76"/>
        <v>5279</v>
      </c>
      <c r="CU88" s="156">
        <v>42</v>
      </c>
      <c r="CV88" s="284" t="str">
        <f t="shared" si="62"/>
        <v>0</v>
      </c>
      <c r="CW88" s="284" t="str">
        <f t="shared" si="63"/>
        <v>0</v>
      </c>
      <c r="CX88" s="243">
        <f t="shared" si="64"/>
        <v>2.3905739193606976</v>
      </c>
      <c r="CY88" s="216" t="str">
        <f t="shared" si="65"/>
        <v>0</v>
      </c>
      <c r="CZ88" s="216" t="str">
        <f t="shared" si="66"/>
        <v>0</v>
      </c>
      <c r="DA88" s="243">
        <f t="shared" si="67"/>
        <v>17.596444146259646</v>
      </c>
      <c r="DB88" s="306">
        <v>1</v>
      </c>
      <c r="DC88" s="306">
        <v>0</v>
      </c>
      <c r="DD88" s="306">
        <v>0</v>
      </c>
      <c r="DE88" s="306">
        <v>0</v>
      </c>
      <c r="DF88" s="306">
        <v>2</v>
      </c>
      <c r="DG88" s="306">
        <v>0</v>
      </c>
      <c r="DH88" s="306">
        <v>0</v>
      </c>
      <c r="DI88" s="306">
        <v>0</v>
      </c>
      <c r="DJ88" s="306">
        <v>0</v>
      </c>
      <c r="DK88" s="306">
        <v>67</v>
      </c>
      <c r="DL88" s="306">
        <f t="shared" si="45"/>
        <v>64</v>
      </c>
      <c r="DM88" s="306">
        <v>3</v>
      </c>
      <c r="DN88" s="306">
        <v>47</v>
      </c>
      <c r="DO88" s="306">
        <v>32</v>
      </c>
      <c r="DP88" s="306">
        <v>37</v>
      </c>
      <c r="DQ88" s="306">
        <v>33</v>
      </c>
      <c r="DR88" s="306">
        <v>32</v>
      </c>
      <c r="DS88" s="306">
        <v>37</v>
      </c>
      <c r="DT88" s="306">
        <v>33</v>
      </c>
      <c r="DU88" s="306">
        <v>0</v>
      </c>
      <c r="DV88" s="306">
        <v>0</v>
      </c>
      <c r="DW88" s="306">
        <v>5</v>
      </c>
      <c r="DX88" s="306">
        <v>0</v>
      </c>
      <c r="DY88" s="306">
        <v>0</v>
      </c>
      <c r="DZ88" s="306">
        <v>5</v>
      </c>
      <c r="EA88" s="306">
        <v>0</v>
      </c>
      <c r="EB88" s="306">
        <v>67</v>
      </c>
      <c r="EC88" s="306">
        <f>67-3</f>
        <v>64</v>
      </c>
      <c r="ED88" s="342"/>
      <c r="EE88" s="342"/>
    </row>
    <row r="89" spans="1:138" x14ac:dyDescent="0.2">
      <c r="A89" s="27" t="s">
        <v>197</v>
      </c>
      <c r="B89" s="169">
        <v>83</v>
      </c>
      <c r="C89" s="12" t="s">
        <v>259</v>
      </c>
      <c r="D89" s="200">
        <v>1960</v>
      </c>
      <c r="E89" s="11"/>
      <c r="F89" s="169" t="s">
        <v>13</v>
      </c>
      <c r="G89" s="35">
        <v>1</v>
      </c>
      <c r="H89" s="201">
        <v>5</v>
      </c>
      <c r="I89" s="201" t="s">
        <v>19</v>
      </c>
      <c r="J89" s="115">
        <v>32432</v>
      </c>
      <c r="K89" s="115">
        <v>2398</v>
      </c>
      <c r="L89" s="157">
        <v>2714</v>
      </c>
      <c r="M89" s="115"/>
      <c r="N89" s="115">
        <v>187</v>
      </c>
      <c r="O89" s="115">
        <v>354</v>
      </c>
      <c r="P89" s="115">
        <v>187</v>
      </c>
      <c r="Q89" s="115">
        <v>269</v>
      </c>
      <c r="R89" s="228">
        <f>7823.34+0.03</f>
        <v>7823.37</v>
      </c>
      <c r="S89" s="230">
        <v>4813.5599999999995</v>
      </c>
      <c r="T89" s="115">
        <f t="shared" si="46"/>
        <v>172</v>
      </c>
      <c r="U89" s="203">
        <f t="shared" si="47"/>
        <v>7206.62</v>
      </c>
      <c r="V89" s="180">
        <f t="shared" si="47"/>
        <v>4431.1699999999992</v>
      </c>
      <c r="W89" s="115">
        <v>15</v>
      </c>
      <c r="X89" s="207">
        <v>616.75</v>
      </c>
      <c r="Y89" s="207">
        <v>382.39</v>
      </c>
      <c r="Z89" s="204"/>
      <c r="AA89" s="207"/>
      <c r="AB89" s="207"/>
      <c r="AC89" s="207">
        <f t="shared" si="48"/>
        <v>412.8</v>
      </c>
      <c r="AD89" s="248">
        <f t="shared" si="49"/>
        <v>0</v>
      </c>
      <c r="AE89" s="275"/>
      <c r="AF89" s="248"/>
      <c r="AG89" s="207">
        <f>413.18-0.38</f>
        <v>412.8</v>
      </c>
      <c r="AH89" s="207"/>
      <c r="AI89" s="207">
        <f t="shared" si="50"/>
        <v>8236.17</v>
      </c>
      <c r="AJ89" s="170"/>
      <c r="AK89" s="170"/>
      <c r="AL89" s="170">
        <v>10</v>
      </c>
      <c r="AM89" s="170"/>
      <c r="AN89" s="170">
        <v>1</v>
      </c>
      <c r="AO89" s="170">
        <v>2</v>
      </c>
      <c r="AP89" s="170">
        <v>8892</v>
      </c>
      <c r="AQ89" s="170">
        <v>53.5</v>
      </c>
      <c r="AR89" s="170">
        <v>522</v>
      </c>
      <c r="AS89" s="170">
        <v>671</v>
      </c>
      <c r="AT89" s="170">
        <v>180</v>
      </c>
      <c r="AU89" s="170">
        <f t="shared" si="38"/>
        <v>8850</v>
      </c>
      <c r="AV89" s="170"/>
      <c r="AW89" s="170">
        <v>8850</v>
      </c>
      <c r="AX89" s="170"/>
      <c r="AY89" s="170">
        <v>569</v>
      </c>
      <c r="AZ89" s="170">
        <v>2172</v>
      </c>
      <c r="BA89" s="170">
        <v>2385</v>
      </c>
      <c r="BB89" s="170">
        <v>40</v>
      </c>
      <c r="BC89" s="170">
        <v>20</v>
      </c>
      <c r="BD89" s="170">
        <f>387-3</f>
        <v>384</v>
      </c>
      <c r="BE89" s="170">
        <f>188-1</f>
        <v>187</v>
      </c>
      <c r="BF89" s="170"/>
      <c r="BG89" s="170">
        <v>1000</v>
      </c>
      <c r="BH89" s="170">
        <v>200</v>
      </c>
      <c r="BI89" s="170"/>
      <c r="BJ89" s="115">
        <f t="shared" si="51"/>
        <v>1</v>
      </c>
      <c r="BK89" s="115">
        <f t="shared" si="52"/>
        <v>7823.37</v>
      </c>
      <c r="BL89" s="115">
        <f t="shared" si="53"/>
        <v>4813.5599999999995</v>
      </c>
      <c r="BM89" s="115" t="str">
        <f t="shared" si="54"/>
        <v>0</v>
      </c>
      <c r="BN89" s="115" t="str">
        <f t="shared" si="55"/>
        <v>0</v>
      </c>
      <c r="BO89" s="115" t="str">
        <f t="shared" si="56"/>
        <v>0</v>
      </c>
      <c r="BP89" s="115" t="str">
        <f t="shared" si="57"/>
        <v>0</v>
      </c>
      <c r="BQ89" s="115" t="str">
        <f t="shared" si="58"/>
        <v>0</v>
      </c>
      <c r="BR89" s="115" t="str">
        <f t="shared" si="59"/>
        <v>0</v>
      </c>
      <c r="BS89" s="115"/>
      <c r="BT89" s="115">
        <v>3</v>
      </c>
      <c r="BU89" s="115">
        <f t="shared" si="73"/>
        <v>2385</v>
      </c>
      <c r="BV89" s="115">
        <v>6924</v>
      </c>
      <c r="BW89" s="115">
        <v>3</v>
      </c>
      <c r="BX89" s="115">
        <f t="shared" si="74"/>
        <v>8892</v>
      </c>
      <c r="BY89" s="253">
        <v>2942.34</v>
      </c>
      <c r="BZ89" s="253">
        <v>612.85</v>
      </c>
      <c r="CA89" s="354">
        <f>122.29+307.42+183.14</f>
        <v>612.85</v>
      </c>
      <c r="CB89" s="354"/>
      <c r="CC89" s="354"/>
      <c r="CD89" s="354">
        <f>452+1137.1+703.2</f>
        <v>2292.3000000000002</v>
      </c>
      <c r="CE89" s="354">
        <v>10.57</v>
      </c>
      <c r="CF89" s="354"/>
      <c r="CG89" s="354"/>
      <c r="CH89" s="355">
        <v>26.62</v>
      </c>
      <c r="CI89" s="356">
        <f t="shared" si="69"/>
        <v>2942.34</v>
      </c>
      <c r="CJ89" s="356">
        <f t="shared" si="60"/>
        <v>612.85</v>
      </c>
      <c r="CK89" s="357">
        <v>2172</v>
      </c>
      <c r="CL89" s="358">
        <f t="shared" si="70"/>
        <v>5114.34</v>
      </c>
      <c r="CM89" s="205">
        <v>6235</v>
      </c>
      <c r="CN89" s="282">
        <f t="shared" si="61"/>
        <v>3837</v>
      </c>
      <c r="CO89" s="209" t="str">
        <f t="shared" si="40"/>
        <v>0</v>
      </c>
      <c r="CP89" s="235">
        <f t="shared" si="41"/>
        <v>0</v>
      </c>
      <c r="CQ89" s="209">
        <f t="shared" si="75"/>
        <v>1</v>
      </c>
      <c r="CR89" s="235">
        <f t="shared" si="43"/>
        <v>8850</v>
      </c>
      <c r="CS89" s="235">
        <f t="shared" si="76"/>
        <v>1</v>
      </c>
      <c r="CT89" s="235">
        <f t="shared" si="76"/>
        <v>8850</v>
      </c>
      <c r="CU89" s="156">
        <v>60</v>
      </c>
      <c r="CV89" s="284" t="str">
        <f t="shared" si="62"/>
        <v>0</v>
      </c>
      <c r="CW89" s="284" t="str">
        <f t="shared" si="63"/>
        <v>0</v>
      </c>
      <c r="CX89" s="243">
        <f t="shared" si="64"/>
        <v>7.8834313090138899</v>
      </c>
      <c r="CY89" s="216" t="str">
        <f t="shared" si="65"/>
        <v>0</v>
      </c>
      <c r="CZ89" s="216" t="str">
        <f t="shared" si="66"/>
        <v>0</v>
      </c>
      <c r="DA89" s="243">
        <f t="shared" si="67"/>
        <v>7.4883107075254642</v>
      </c>
      <c r="DB89" s="306">
        <v>1</v>
      </c>
      <c r="DC89" s="306">
        <v>0</v>
      </c>
      <c r="DD89" s="306">
        <v>0</v>
      </c>
      <c r="DE89" s="306">
        <v>0</v>
      </c>
      <c r="DF89" s="306">
        <v>2</v>
      </c>
      <c r="DG89" s="306">
        <v>0</v>
      </c>
      <c r="DH89" s="306">
        <v>0</v>
      </c>
      <c r="DI89" s="306">
        <v>0</v>
      </c>
      <c r="DJ89" s="306">
        <v>0</v>
      </c>
      <c r="DK89" s="306">
        <v>185</v>
      </c>
      <c r="DL89" s="306">
        <f t="shared" si="45"/>
        <v>170</v>
      </c>
      <c r="DM89" s="306">
        <v>15</v>
      </c>
      <c r="DN89" s="306">
        <v>132</v>
      </c>
      <c r="DO89" s="306">
        <v>78</v>
      </c>
      <c r="DP89" s="306">
        <v>109</v>
      </c>
      <c r="DQ89" s="306">
        <v>79</v>
      </c>
      <c r="DR89" s="306">
        <v>78</v>
      </c>
      <c r="DS89" s="306">
        <v>110</v>
      </c>
      <c r="DT89" s="306">
        <v>78</v>
      </c>
      <c r="DU89" s="306">
        <v>6</v>
      </c>
      <c r="DV89" s="306">
        <v>6</v>
      </c>
      <c r="DW89" s="306">
        <v>16</v>
      </c>
      <c r="DX89" s="306">
        <v>6</v>
      </c>
      <c r="DY89" s="306">
        <v>6</v>
      </c>
      <c r="DZ89" s="306">
        <v>16</v>
      </c>
      <c r="EA89" s="306">
        <v>6</v>
      </c>
      <c r="EB89" s="306">
        <v>185</v>
      </c>
      <c r="EC89" s="306">
        <v>185</v>
      </c>
      <c r="ED89" s="342"/>
      <c r="EE89" s="342"/>
    </row>
    <row r="90" spans="1:138" x14ac:dyDescent="0.2">
      <c r="A90" s="3" t="s">
        <v>203</v>
      </c>
      <c r="B90" s="169">
        <v>84</v>
      </c>
      <c r="C90" s="12" t="s">
        <v>260</v>
      </c>
      <c r="D90" s="200">
        <v>1958</v>
      </c>
      <c r="E90" s="11"/>
      <c r="F90" s="169" t="s">
        <v>207</v>
      </c>
      <c r="G90" s="35">
        <v>1</v>
      </c>
      <c r="H90" s="201">
        <v>5</v>
      </c>
      <c r="I90" s="201" t="s">
        <v>19</v>
      </c>
      <c r="J90" s="115">
        <v>47301</v>
      </c>
      <c r="K90" s="115">
        <v>3086</v>
      </c>
      <c r="L90" s="157">
        <v>3500</v>
      </c>
      <c r="M90" s="115"/>
      <c r="N90" s="115">
        <v>139</v>
      </c>
      <c r="O90" s="115">
        <v>312</v>
      </c>
      <c r="P90" s="115">
        <v>139</v>
      </c>
      <c r="Q90" s="115">
        <v>290</v>
      </c>
      <c r="R90" s="228">
        <f>8691.64-0.4</f>
        <v>8691.24</v>
      </c>
      <c r="S90" s="230">
        <v>4943.43</v>
      </c>
      <c r="T90" s="115">
        <f t="shared" si="46"/>
        <v>133</v>
      </c>
      <c r="U90" s="203">
        <f t="shared" si="47"/>
        <v>8336.93</v>
      </c>
      <c r="V90" s="180">
        <f t="shared" si="47"/>
        <v>4723.76</v>
      </c>
      <c r="W90" s="115">
        <v>6</v>
      </c>
      <c r="X90" s="207">
        <v>354.31</v>
      </c>
      <c r="Y90" s="207">
        <v>219.67</v>
      </c>
      <c r="Z90" s="204"/>
      <c r="AA90" s="207"/>
      <c r="AB90" s="207"/>
      <c r="AC90" s="207">
        <f t="shared" si="48"/>
        <v>1992.1000000000001</v>
      </c>
      <c r="AD90" s="248">
        <f t="shared" si="49"/>
        <v>1011.4000000000001</v>
      </c>
      <c r="AE90" s="275"/>
      <c r="AF90" s="248">
        <f>1003.2+8.2</f>
        <v>1011.4000000000001</v>
      </c>
      <c r="AG90" s="207">
        <f>980.7</f>
        <v>980.7</v>
      </c>
      <c r="AH90" s="207"/>
      <c r="AI90" s="207">
        <f t="shared" si="50"/>
        <v>10683.34</v>
      </c>
      <c r="AJ90" s="170"/>
      <c r="AK90" s="170"/>
      <c r="AL90" s="170">
        <v>8</v>
      </c>
      <c r="AM90" s="170"/>
      <c r="AN90" s="170"/>
      <c r="AO90" s="170">
        <v>2</v>
      </c>
      <c r="AP90" s="170">
        <v>6418</v>
      </c>
      <c r="AQ90" s="170"/>
      <c r="AR90" s="170">
        <v>493</v>
      </c>
      <c r="AS90" s="170">
        <v>542</v>
      </c>
      <c r="AT90" s="170">
        <v>256</v>
      </c>
      <c r="AU90" s="170">
        <f t="shared" si="38"/>
        <v>10419</v>
      </c>
      <c r="AV90" s="170"/>
      <c r="AW90" s="170">
        <v>10419</v>
      </c>
      <c r="AX90" s="170"/>
      <c r="AY90" s="170">
        <v>209</v>
      </c>
      <c r="AZ90" s="170">
        <v>3086</v>
      </c>
      <c r="BA90" s="170">
        <v>3086</v>
      </c>
      <c r="BB90" s="170">
        <v>32</v>
      </c>
      <c r="BC90" s="170">
        <v>16</v>
      </c>
      <c r="BD90" s="170">
        <v>590</v>
      </c>
      <c r="BE90" s="170">
        <v>139</v>
      </c>
      <c r="BF90" s="170">
        <v>1</v>
      </c>
      <c r="BG90" s="170">
        <v>13600</v>
      </c>
      <c r="BH90" s="170">
        <v>240</v>
      </c>
      <c r="BI90" s="170"/>
      <c r="BJ90" s="115">
        <f t="shared" si="51"/>
        <v>1</v>
      </c>
      <c r="BK90" s="115">
        <f t="shared" si="52"/>
        <v>8691.24</v>
      </c>
      <c r="BL90" s="115">
        <f t="shared" si="53"/>
        <v>4943.43</v>
      </c>
      <c r="BM90" s="115" t="str">
        <f t="shared" si="54"/>
        <v>0</v>
      </c>
      <c r="BN90" s="115" t="str">
        <f t="shared" si="55"/>
        <v>0</v>
      </c>
      <c r="BO90" s="115" t="str">
        <f t="shared" si="56"/>
        <v>0</v>
      </c>
      <c r="BP90" s="115" t="str">
        <f t="shared" si="57"/>
        <v>0</v>
      </c>
      <c r="BQ90" s="115" t="str">
        <f t="shared" si="58"/>
        <v>0</v>
      </c>
      <c r="BR90" s="115" t="str">
        <f t="shared" si="59"/>
        <v>0</v>
      </c>
      <c r="BS90" s="115"/>
      <c r="BT90" s="115">
        <v>3</v>
      </c>
      <c r="BU90" s="115">
        <f t="shared" si="73"/>
        <v>3086</v>
      </c>
      <c r="BV90" s="115">
        <v>9116</v>
      </c>
      <c r="BW90" s="115">
        <v>15</v>
      </c>
      <c r="BX90" s="115">
        <f t="shared" si="74"/>
        <v>6418</v>
      </c>
      <c r="BY90" s="253">
        <v>4020.78</v>
      </c>
      <c r="BZ90" s="253">
        <v>1016.38</v>
      </c>
      <c r="CA90" s="354">
        <v>1016.38</v>
      </c>
      <c r="CB90" s="354"/>
      <c r="CC90" s="354"/>
      <c r="CD90" s="354">
        <v>2969.1</v>
      </c>
      <c r="CE90" s="354">
        <v>6.3</v>
      </c>
      <c r="CF90" s="354"/>
      <c r="CG90" s="354"/>
      <c r="CH90" s="355">
        <v>29</v>
      </c>
      <c r="CI90" s="356">
        <f t="shared" si="69"/>
        <v>4020.78</v>
      </c>
      <c r="CJ90" s="356">
        <f t="shared" si="60"/>
        <v>1016.38</v>
      </c>
      <c r="CK90" s="357">
        <v>3086</v>
      </c>
      <c r="CL90" s="358">
        <f t="shared" si="70"/>
        <v>7106.7800000000007</v>
      </c>
      <c r="CM90" s="205">
        <v>5176</v>
      </c>
      <c r="CN90" s="282">
        <f t="shared" si="61"/>
        <v>2090</v>
      </c>
      <c r="CO90" s="209" t="str">
        <f t="shared" si="40"/>
        <v>0</v>
      </c>
      <c r="CP90" s="235">
        <f t="shared" si="41"/>
        <v>0</v>
      </c>
      <c r="CQ90" s="209">
        <f t="shared" si="75"/>
        <v>1</v>
      </c>
      <c r="CR90" s="235">
        <f t="shared" si="43"/>
        <v>10419</v>
      </c>
      <c r="CS90" s="235">
        <f t="shared" si="76"/>
        <v>1</v>
      </c>
      <c r="CT90" s="235">
        <f t="shared" si="76"/>
        <v>10419</v>
      </c>
      <c r="CU90" s="156">
        <v>43</v>
      </c>
      <c r="CV90" s="284" t="str">
        <f t="shared" si="62"/>
        <v>0</v>
      </c>
      <c r="CW90" s="284" t="str">
        <f t="shared" si="63"/>
        <v>0</v>
      </c>
      <c r="CX90" s="243">
        <f t="shared" si="64"/>
        <v>4.0766334838296956</v>
      </c>
      <c r="CY90" s="216" t="str">
        <f t="shared" si="65"/>
        <v>0</v>
      </c>
      <c r="CZ90" s="216" t="str">
        <f t="shared" si="66"/>
        <v>0</v>
      </c>
      <c r="DA90" s="243">
        <f t="shared" si="67"/>
        <v>12.783548965024046</v>
      </c>
      <c r="DB90" s="306">
        <v>1</v>
      </c>
      <c r="DC90" s="306">
        <v>0</v>
      </c>
      <c r="DD90" s="306">
        <v>0</v>
      </c>
      <c r="DE90" s="306">
        <v>0</v>
      </c>
      <c r="DF90" s="306">
        <v>2</v>
      </c>
      <c r="DG90" s="306">
        <v>0</v>
      </c>
      <c r="DH90" s="306">
        <v>0</v>
      </c>
      <c r="DI90" s="306">
        <v>0</v>
      </c>
      <c r="DJ90" s="306">
        <v>0</v>
      </c>
      <c r="DK90" s="306">
        <v>139</v>
      </c>
      <c r="DL90" s="306">
        <f t="shared" si="45"/>
        <v>132</v>
      </c>
      <c r="DM90" s="306">
        <v>7</v>
      </c>
      <c r="DN90" s="306">
        <v>101</v>
      </c>
      <c r="DO90" s="306">
        <v>59</v>
      </c>
      <c r="DP90" s="306">
        <v>80</v>
      </c>
      <c r="DQ90" s="306">
        <v>59</v>
      </c>
      <c r="DR90" s="306">
        <v>59</v>
      </c>
      <c r="DS90" s="306">
        <v>80</v>
      </c>
      <c r="DT90" s="306">
        <v>59</v>
      </c>
      <c r="DU90" s="306">
        <v>3</v>
      </c>
      <c r="DV90" s="306">
        <v>3</v>
      </c>
      <c r="DW90" s="306">
        <v>6</v>
      </c>
      <c r="DX90" s="306">
        <v>4</v>
      </c>
      <c r="DY90" s="306">
        <v>3</v>
      </c>
      <c r="DZ90" s="306">
        <v>6</v>
      </c>
      <c r="EA90" s="306">
        <v>4</v>
      </c>
      <c r="EB90" s="306">
        <v>139</v>
      </c>
      <c r="EC90" s="306">
        <f>139-2</f>
        <v>137</v>
      </c>
      <c r="ED90" s="342"/>
      <c r="EE90" s="342"/>
    </row>
    <row r="91" spans="1:138" x14ac:dyDescent="0.2">
      <c r="A91" s="27" t="s">
        <v>142</v>
      </c>
      <c r="B91" s="169">
        <v>85</v>
      </c>
      <c r="C91" s="12" t="s">
        <v>172</v>
      </c>
      <c r="D91" s="13">
        <v>1960</v>
      </c>
      <c r="E91" s="11"/>
      <c r="F91" s="169" t="s">
        <v>13</v>
      </c>
      <c r="G91" s="35">
        <v>1</v>
      </c>
      <c r="H91" s="45">
        <v>5</v>
      </c>
      <c r="I91" s="1" t="s">
        <v>19</v>
      </c>
      <c r="J91" s="116">
        <v>43621</v>
      </c>
      <c r="K91" s="116">
        <v>3248</v>
      </c>
      <c r="L91" s="122">
        <f>835+834+1193+834</f>
        <v>3696</v>
      </c>
      <c r="M91" s="122"/>
      <c r="N91" s="122">
        <v>218</v>
      </c>
      <c r="O91" s="122">
        <v>434</v>
      </c>
      <c r="P91" s="122">
        <v>221</v>
      </c>
      <c r="Q91" s="122">
        <v>413</v>
      </c>
      <c r="R91" s="180">
        <v>9353.7999999999993</v>
      </c>
      <c r="S91" s="122">
        <v>5771.6</v>
      </c>
      <c r="T91" s="122">
        <f t="shared" si="46"/>
        <v>202</v>
      </c>
      <c r="U91" s="180">
        <f t="shared" si="47"/>
        <v>8703.2999999999993</v>
      </c>
      <c r="V91" s="180">
        <f t="shared" si="47"/>
        <v>5374.79</v>
      </c>
      <c r="W91" s="122">
        <v>16</v>
      </c>
      <c r="X91" s="180">
        <v>650.5</v>
      </c>
      <c r="Y91" s="180">
        <v>396.81</v>
      </c>
      <c r="Z91" s="122"/>
      <c r="AA91" s="180"/>
      <c r="AB91" s="180"/>
      <c r="AC91" s="180">
        <f t="shared" si="48"/>
        <v>1651.3</v>
      </c>
      <c r="AD91" s="179">
        <f t="shared" si="49"/>
        <v>0</v>
      </c>
      <c r="AE91" s="272"/>
      <c r="AF91" s="179"/>
      <c r="AG91" s="180">
        <v>1651.3</v>
      </c>
      <c r="AH91" s="180"/>
      <c r="AI91" s="180">
        <f t="shared" si="50"/>
        <v>11005.099999999999</v>
      </c>
      <c r="AJ91" s="122"/>
      <c r="AK91" s="122"/>
      <c r="AL91" s="122">
        <f>3+3+4+3</f>
        <v>13</v>
      </c>
      <c r="AM91" s="122"/>
      <c r="AN91" s="122"/>
      <c r="AO91" s="122">
        <f>1+2</f>
        <v>3</v>
      </c>
      <c r="AP91" s="122">
        <f>1877+1988+2127+1750</f>
        <v>7742</v>
      </c>
      <c r="AQ91" s="35">
        <v>98.25</v>
      </c>
      <c r="AR91" s="122">
        <f>219+215+233+257</f>
        <v>924</v>
      </c>
      <c r="AS91" s="35">
        <f>292+232+232+232</f>
        <v>988</v>
      </c>
      <c r="AT91" s="122">
        <f>38+38+51+38</f>
        <v>165</v>
      </c>
      <c r="AU91" s="122">
        <f t="shared" si="38"/>
        <v>9989</v>
      </c>
      <c r="AV91" s="122"/>
      <c r="AW91" s="122">
        <f>2305+2305+3074+2305</f>
        <v>9989</v>
      </c>
      <c r="AX91" s="122"/>
      <c r="AY91" s="122">
        <f>164+165+220+164</f>
        <v>713</v>
      </c>
      <c r="AZ91" s="122">
        <f>699+699+883+698</f>
        <v>2979</v>
      </c>
      <c r="BA91" s="122">
        <f>699+699+883+698</f>
        <v>2979</v>
      </c>
      <c r="BB91" s="122">
        <f>15+15+15+20</f>
        <v>65</v>
      </c>
      <c r="BC91" s="122">
        <f>9+9+9+12</f>
        <v>39</v>
      </c>
      <c r="BD91" s="122">
        <f>175+148+192+148</f>
        <v>663</v>
      </c>
      <c r="BE91" s="122">
        <f>59+48+48+64</f>
        <v>219</v>
      </c>
      <c r="BF91" s="122">
        <f>3+10</f>
        <v>13</v>
      </c>
      <c r="BG91" s="122">
        <f>11454+11154+14872+11154</f>
        <v>48634</v>
      </c>
      <c r="BH91" s="122">
        <f>369+369+369+492</f>
        <v>1599</v>
      </c>
      <c r="BI91" s="122"/>
      <c r="BJ91" s="115">
        <f t="shared" si="51"/>
        <v>1</v>
      </c>
      <c r="BK91" s="115">
        <f t="shared" si="52"/>
        <v>9353.7999999999993</v>
      </c>
      <c r="BL91" s="115">
        <f t="shared" si="53"/>
        <v>5771.6</v>
      </c>
      <c r="BM91" s="115" t="str">
        <f t="shared" si="54"/>
        <v>0</v>
      </c>
      <c r="BN91" s="115" t="str">
        <f t="shared" si="55"/>
        <v>0</v>
      </c>
      <c r="BO91" s="115" t="str">
        <f t="shared" si="56"/>
        <v>0</v>
      </c>
      <c r="BP91" s="115" t="str">
        <f t="shared" si="57"/>
        <v>0</v>
      </c>
      <c r="BQ91" s="115" t="str">
        <f t="shared" si="58"/>
        <v>0</v>
      </c>
      <c r="BR91" s="115" t="str">
        <f t="shared" si="59"/>
        <v>0</v>
      </c>
      <c r="BS91" s="115"/>
      <c r="BT91" s="115">
        <f>1+5</f>
        <v>6</v>
      </c>
      <c r="BU91" s="122">
        <v>698</v>
      </c>
      <c r="BV91" s="115"/>
      <c r="BW91" s="115">
        <v>29</v>
      </c>
      <c r="BX91" s="115">
        <f t="shared" si="74"/>
        <v>7742</v>
      </c>
      <c r="BY91" s="275">
        <v>3846.3</v>
      </c>
      <c r="BZ91" s="253">
        <v>785</v>
      </c>
      <c r="CA91" s="354">
        <f>181.6+180.7+180.6+242.1</f>
        <v>785</v>
      </c>
      <c r="CB91" s="354"/>
      <c r="CC91" s="354"/>
      <c r="CD91" s="354">
        <f>698.7+698.3+883+697.9</f>
        <v>2977.9</v>
      </c>
      <c r="CE91" s="354">
        <f>8.1+15.5+2.5</f>
        <v>26.1</v>
      </c>
      <c r="CF91" s="354"/>
      <c r="CG91" s="354"/>
      <c r="CH91" s="355">
        <f>28.3+29</f>
        <v>57.3</v>
      </c>
      <c r="CI91" s="356">
        <f t="shared" si="69"/>
        <v>3846.3</v>
      </c>
      <c r="CJ91" s="356">
        <f t="shared" si="60"/>
        <v>785</v>
      </c>
      <c r="CK91" s="357">
        <v>2979</v>
      </c>
      <c r="CL91" s="358">
        <f t="shared" si="70"/>
        <v>6825.3</v>
      </c>
      <c r="CM91" s="157">
        <f>1525+1054+3558+1052</f>
        <v>7189</v>
      </c>
      <c r="CN91" s="275">
        <f t="shared" si="61"/>
        <v>3941</v>
      </c>
      <c r="CO91" s="209" t="str">
        <f t="shared" si="40"/>
        <v>0</v>
      </c>
      <c r="CP91" s="235">
        <f t="shared" si="41"/>
        <v>0</v>
      </c>
      <c r="CQ91" s="209">
        <f t="shared" si="75"/>
        <v>1</v>
      </c>
      <c r="CR91" s="235">
        <f t="shared" si="43"/>
        <v>9989</v>
      </c>
      <c r="CS91" s="235">
        <f t="shared" si="76"/>
        <v>1</v>
      </c>
      <c r="CT91" s="235">
        <f t="shared" si="76"/>
        <v>9989</v>
      </c>
      <c r="CU91" s="14">
        <v>39</v>
      </c>
      <c r="CV91" s="284" t="str">
        <f t="shared" si="62"/>
        <v>0</v>
      </c>
      <c r="CW91" s="284" t="str">
        <f t="shared" si="63"/>
        <v>0</v>
      </c>
      <c r="CX91" s="243">
        <f t="shared" si="64"/>
        <v>6.9543928670700677</v>
      </c>
      <c r="CY91" s="216" t="str">
        <f t="shared" si="65"/>
        <v>0</v>
      </c>
      <c r="CZ91" s="216" t="str">
        <f t="shared" si="66"/>
        <v>0</v>
      </c>
      <c r="DA91" s="243">
        <f t="shared" si="67"/>
        <v>5.9108958573752171</v>
      </c>
      <c r="DB91" s="305">
        <v>1</v>
      </c>
      <c r="DC91" s="305">
        <v>0</v>
      </c>
      <c r="DD91" s="305">
        <v>0</v>
      </c>
      <c r="DE91" s="305">
        <v>0</v>
      </c>
      <c r="DF91" s="305">
        <v>4</v>
      </c>
      <c r="DG91" s="305">
        <v>0</v>
      </c>
      <c r="DH91" s="305">
        <v>0</v>
      </c>
      <c r="DI91" s="305">
        <v>0</v>
      </c>
      <c r="DJ91" s="306">
        <v>0</v>
      </c>
      <c r="DK91" s="306">
        <v>219</v>
      </c>
      <c r="DL91" s="306">
        <f t="shared" si="45"/>
        <v>201</v>
      </c>
      <c r="DM91" s="306">
        <v>18</v>
      </c>
      <c r="DN91" s="306">
        <v>143</v>
      </c>
      <c r="DO91" s="306">
        <v>96</v>
      </c>
      <c r="DP91" s="306">
        <v>123</v>
      </c>
      <c r="DQ91" s="306">
        <v>96</v>
      </c>
      <c r="DR91" s="306">
        <v>97</v>
      </c>
      <c r="DS91" s="306">
        <v>122</v>
      </c>
      <c r="DT91" s="306">
        <v>97</v>
      </c>
      <c r="DU91" s="306">
        <v>9</v>
      </c>
      <c r="DV91" s="306">
        <v>6</v>
      </c>
      <c r="DW91" s="306">
        <v>9</v>
      </c>
      <c r="DX91" s="306">
        <v>6</v>
      </c>
      <c r="DY91" s="306">
        <v>6</v>
      </c>
      <c r="DZ91" s="306">
        <v>9</v>
      </c>
      <c r="EA91" s="306">
        <v>6</v>
      </c>
      <c r="EB91" s="306">
        <v>219</v>
      </c>
      <c r="EC91" s="306">
        <v>219</v>
      </c>
      <c r="ED91" s="342"/>
      <c r="EE91" s="342"/>
    </row>
    <row r="92" spans="1:138" x14ac:dyDescent="0.2">
      <c r="A92" s="12" t="s">
        <v>142</v>
      </c>
      <c r="B92" s="169">
        <v>86</v>
      </c>
      <c r="C92" s="12" t="s">
        <v>78</v>
      </c>
      <c r="D92" s="13">
        <v>1962</v>
      </c>
      <c r="E92" s="11"/>
      <c r="F92" s="169" t="s">
        <v>13</v>
      </c>
      <c r="G92" s="35">
        <v>1</v>
      </c>
      <c r="H92" s="45">
        <v>5</v>
      </c>
      <c r="I92" s="1" t="s">
        <v>19</v>
      </c>
      <c r="J92" s="122">
        <f>7361/2</f>
        <v>3680.5</v>
      </c>
      <c r="K92" s="122">
        <v>623</v>
      </c>
      <c r="L92" s="122">
        <f>562/2</f>
        <v>281</v>
      </c>
      <c r="M92" s="122"/>
      <c r="N92" s="122">
        <v>16</v>
      </c>
      <c r="O92" s="122">
        <v>28</v>
      </c>
      <c r="P92" s="122">
        <v>16</v>
      </c>
      <c r="Q92" s="122">
        <v>14</v>
      </c>
      <c r="R92" s="180">
        <v>639.6</v>
      </c>
      <c r="S92" s="121">
        <v>404.5</v>
      </c>
      <c r="T92" s="122">
        <f t="shared" si="46"/>
        <v>14</v>
      </c>
      <c r="U92" s="180">
        <f t="shared" si="47"/>
        <v>579.30000000000007</v>
      </c>
      <c r="V92" s="180">
        <f t="shared" si="47"/>
        <v>369.7</v>
      </c>
      <c r="W92" s="122">
        <v>2</v>
      </c>
      <c r="X92" s="180">
        <v>60.3</v>
      </c>
      <c r="Y92" s="180">
        <v>34.799999999999997</v>
      </c>
      <c r="Z92" s="122"/>
      <c r="AA92" s="180"/>
      <c r="AB92" s="180"/>
      <c r="AC92" s="180">
        <f t="shared" si="48"/>
        <v>479</v>
      </c>
      <c r="AD92" s="179">
        <f t="shared" si="49"/>
        <v>0</v>
      </c>
      <c r="AE92" s="271"/>
      <c r="AF92" s="273"/>
      <c r="AG92" s="273">
        <v>479</v>
      </c>
      <c r="AH92" s="273"/>
      <c r="AI92" s="180">
        <f t="shared" si="50"/>
        <v>1118.5999999999999</v>
      </c>
      <c r="AJ92" s="122"/>
      <c r="AK92" s="122"/>
      <c r="AL92" s="122">
        <v>1</v>
      </c>
      <c r="AM92" s="122"/>
      <c r="AN92" s="122"/>
      <c r="AO92" s="122">
        <v>1</v>
      </c>
      <c r="AP92" s="122">
        <f>1604/2</f>
        <v>802</v>
      </c>
      <c r="AQ92" s="35">
        <v>55</v>
      </c>
      <c r="AR92" s="122">
        <f>(56+28+77)/2</f>
        <v>80.5</v>
      </c>
      <c r="AS92" s="122">
        <f>150/2</f>
        <v>75</v>
      </c>
      <c r="AT92" s="122">
        <f>26/2</f>
        <v>13</v>
      </c>
      <c r="AU92" s="122">
        <f t="shared" si="38"/>
        <v>728</v>
      </c>
      <c r="AV92" s="122"/>
      <c r="AW92" s="122">
        <f>1456/2</f>
        <v>728</v>
      </c>
      <c r="AX92" s="122"/>
      <c r="AY92" s="122">
        <v>67</v>
      </c>
      <c r="AZ92" s="122">
        <f>585/2</f>
        <v>292.5</v>
      </c>
      <c r="BA92" s="122">
        <f>585/2</f>
        <v>292.5</v>
      </c>
      <c r="BB92" s="122">
        <f>10/2</f>
        <v>5</v>
      </c>
      <c r="BC92" s="122">
        <f>6/2</f>
        <v>3</v>
      </c>
      <c r="BD92" s="122">
        <f>76/2</f>
        <v>38</v>
      </c>
      <c r="BE92" s="122">
        <f>31/2</f>
        <v>15.5</v>
      </c>
      <c r="BF92" s="122">
        <f>2/2</f>
        <v>1</v>
      </c>
      <c r="BG92" s="122">
        <f>7436/2</f>
        <v>3718</v>
      </c>
      <c r="BH92" s="122">
        <f>246/2</f>
        <v>123</v>
      </c>
      <c r="BI92" s="122"/>
      <c r="BJ92" s="115">
        <f t="shared" si="51"/>
        <v>1</v>
      </c>
      <c r="BK92" s="115">
        <f t="shared" si="52"/>
        <v>639.6</v>
      </c>
      <c r="BL92" s="115">
        <f t="shared" si="53"/>
        <v>404.5</v>
      </c>
      <c r="BM92" s="115" t="str">
        <f t="shared" si="54"/>
        <v>0</v>
      </c>
      <c r="BN92" s="115" t="str">
        <f t="shared" si="55"/>
        <v>0</v>
      </c>
      <c r="BO92" s="115" t="str">
        <f t="shared" si="56"/>
        <v>0</v>
      </c>
      <c r="BP92" s="115" t="str">
        <f t="shared" si="57"/>
        <v>0</v>
      </c>
      <c r="BQ92" s="115" t="str">
        <f t="shared" si="58"/>
        <v>0</v>
      </c>
      <c r="BR92" s="115" t="str">
        <f t="shared" si="59"/>
        <v>0</v>
      </c>
      <c r="BS92" s="115"/>
      <c r="BT92" s="115"/>
      <c r="BU92" s="122">
        <v>585</v>
      </c>
      <c r="BV92" s="115"/>
      <c r="BW92" s="115">
        <v>8</v>
      </c>
      <c r="BX92" s="115">
        <f t="shared" si="74"/>
        <v>802</v>
      </c>
      <c r="BY92" s="275">
        <v>359.70000000000005</v>
      </c>
      <c r="BZ92" s="253">
        <v>61.1</v>
      </c>
      <c r="CA92" s="354">
        <v>61.1</v>
      </c>
      <c r="CB92" s="354"/>
      <c r="CC92" s="354"/>
      <c r="CD92" s="354">
        <f>585/2</f>
        <v>292.5</v>
      </c>
      <c r="CE92" s="354">
        <v>6.1</v>
      </c>
      <c r="CF92" s="354"/>
      <c r="CG92" s="354"/>
      <c r="CH92" s="355"/>
      <c r="CI92" s="356">
        <f t="shared" si="69"/>
        <v>359.70000000000005</v>
      </c>
      <c r="CJ92" s="356">
        <f t="shared" si="60"/>
        <v>61.1</v>
      </c>
      <c r="CK92" s="357">
        <v>292.5</v>
      </c>
      <c r="CL92" s="358">
        <f t="shared" si="70"/>
        <v>652.20000000000005</v>
      </c>
      <c r="CM92" s="157">
        <v>1033</v>
      </c>
      <c r="CN92" s="275">
        <f t="shared" si="61"/>
        <v>410</v>
      </c>
      <c r="CO92" s="209" t="str">
        <f t="shared" si="40"/>
        <v>0</v>
      </c>
      <c r="CP92" s="235">
        <f t="shared" si="41"/>
        <v>0</v>
      </c>
      <c r="CQ92" s="209">
        <f t="shared" si="75"/>
        <v>1</v>
      </c>
      <c r="CR92" s="235">
        <f t="shared" si="43"/>
        <v>728</v>
      </c>
      <c r="CS92" s="235">
        <f t="shared" si="76"/>
        <v>1</v>
      </c>
      <c r="CT92" s="235">
        <f t="shared" si="76"/>
        <v>728</v>
      </c>
      <c r="CU92" s="14">
        <v>40</v>
      </c>
      <c r="CV92" s="284" t="str">
        <f t="shared" si="62"/>
        <v>0</v>
      </c>
      <c r="CW92" s="284" t="str">
        <f t="shared" si="63"/>
        <v>0</v>
      </c>
      <c r="CX92" s="243">
        <f t="shared" si="64"/>
        <v>9.4277673545966216</v>
      </c>
      <c r="CY92" s="216" t="str">
        <f t="shared" si="65"/>
        <v>0</v>
      </c>
      <c r="CZ92" s="216" t="str">
        <f t="shared" si="66"/>
        <v>0</v>
      </c>
      <c r="DA92" s="243">
        <f t="shared" si="67"/>
        <v>5.3906669050598968</v>
      </c>
      <c r="DB92" s="305">
        <v>1</v>
      </c>
      <c r="DC92" s="305">
        <v>0</v>
      </c>
      <c r="DD92" s="305">
        <v>0</v>
      </c>
      <c r="DE92" s="305">
        <v>0</v>
      </c>
      <c r="DF92" s="305">
        <v>1</v>
      </c>
      <c r="DG92" s="305">
        <v>0</v>
      </c>
      <c r="DH92" s="305">
        <v>0</v>
      </c>
      <c r="DI92" s="305">
        <v>0</v>
      </c>
      <c r="DJ92" s="306">
        <v>0</v>
      </c>
      <c r="DK92" s="306">
        <v>16</v>
      </c>
      <c r="DL92" s="306">
        <f t="shared" si="45"/>
        <v>14</v>
      </c>
      <c r="DM92" s="306">
        <v>2</v>
      </c>
      <c r="DN92" s="306">
        <v>10</v>
      </c>
      <c r="DO92" s="306">
        <v>5</v>
      </c>
      <c r="DP92" s="306">
        <v>26</v>
      </c>
      <c r="DQ92" s="306">
        <v>5</v>
      </c>
      <c r="DR92" s="306">
        <v>5</v>
      </c>
      <c r="DS92" s="306">
        <v>26</v>
      </c>
      <c r="DT92" s="306">
        <v>5</v>
      </c>
      <c r="DU92" s="306">
        <v>2</v>
      </c>
      <c r="DV92" s="306">
        <v>1</v>
      </c>
      <c r="DW92" s="306">
        <v>0</v>
      </c>
      <c r="DX92" s="306">
        <v>1</v>
      </c>
      <c r="DY92" s="306">
        <v>1</v>
      </c>
      <c r="DZ92" s="306">
        <v>0</v>
      </c>
      <c r="EA92" s="306">
        <v>1</v>
      </c>
      <c r="EB92" s="306">
        <v>16</v>
      </c>
      <c r="EC92" s="306">
        <v>16</v>
      </c>
      <c r="ED92" s="342"/>
      <c r="EE92" s="342"/>
    </row>
    <row r="93" spans="1:138" x14ac:dyDescent="0.2">
      <c r="A93" s="12" t="s">
        <v>142</v>
      </c>
      <c r="B93" s="169">
        <v>87</v>
      </c>
      <c r="C93" s="12" t="s">
        <v>168</v>
      </c>
      <c r="D93" s="13">
        <v>1961</v>
      </c>
      <c r="E93" s="11"/>
      <c r="F93" s="169" t="s">
        <v>13</v>
      </c>
      <c r="G93" s="35">
        <v>1</v>
      </c>
      <c r="H93" s="45">
        <v>5</v>
      </c>
      <c r="I93" s="1" t="s">
        <v>19</v>
      </c>
      <c r="J93" s="116">
        <v>40498</v>
      </c>
      <c r="K93" s="116">
        <v>2877</v>
      </c>
      <c r="L93" s="122">
        <f>544+1189+784+834</f>
        <v>3351</v>
      </c>
      <c r="M93" s="122"/>
      <c r="N93" s="122">
        <v>189</v>
      </c>
      <c r="O93" s="122">
        <v>381</v>
      </c>
      <c r="P93" s="122">
        <v>189</v>
      </c>
      <c r="Q93" s="122">
        <v>312</v>
      </c>
      <c r="R93" s="180">
        <f>8156.24-0.09</f>
        <v>8156.15</v>
      </c>
      <c r="S93" s="121">
        <f>5394.92</f>
        <v>5394.92</v>
      </c>
      <c r="T93" s="122">
        <f t="shared" si="46"/>
        <v>177</v>
      </c>
      <c r="U93" s="180">
        <f t="shared" si="47"/>
        <v>7633.0099999999993</v>
      </c>
      <c r="V93" s="180">
        <f t="shared" si="47"/>
        <v>5075.8</v>
      </c>
      <c r="W93" s="122">
        <v>12</v>
      </c>
      <c r="X93" s="180">
        <v>523.14</v>
      </c>
      <c r="Y93" s="180">
        <v>319.12</v>
      </c>
      <c r="Z93" s="122"/>
      <c r="AA93" s="180"/>
      <c r="AB93" s="180"/>
      <c r="AC93" s="180">
        <f t="shared" si="48"/>
        <v>2011</v>
      </c>
      <c r="AD93" s="179">
        <f t="shared" si="49"/>
        <v>749.40000000000009</v>
      </c>
      <c r="AE93" s="271"/>
      <c r="AF93" s="179">
        <f>992.2-13.9-5.8-223.1</f>
        <v>749.40000000000009</v>
      </c>
      <c r="AG93" s="180">
        <f>880.5+223.1</f>
        <v>1103.5999999999999</v>
      </c>
      <c r="AH93" s="180">
        <f>123.3+34.7</f>
        <v>158</v>
      </c>
      <c r="AI93" s="180">
        <f t="shared" si="50"/>
        <v>10167.15</v>
      </c>
      <c r="AJ93" s="122"/>
      <c r="AK93" s="122"/>
      <c r="AL93" s="122">
        <f>9+3</f>
        <v>12</v>
      </c>
      <c r="AM93" s="122"/>
      <c r="AN93" s="122"/>
      <c r="AO93" s="122">
        <f>2+1</f>
        <v>3</v>
      </c>
      <c r="AP93" s="122">
        <f>1412+2350+1931+1930</f>
        <v>7623</v>
      </c>
      <c r="AQ93" s="35"/>
      <c r="AR93" s="122">
        <f>308+257+204+220</f>
        <v>989</v>
      </c>
      <c r="AS93" s="122">
        <f>198+264+198+200</f>
        <v>860</v>
      </c>
      <c r="AT93" s="122">
        <f>26+51+38+38</f>
        <v>153</v>
      </c>
      <c r="AU93" s="122">
        <f t="shared" si="38"/>
        <v>8916</v>
      </c>
      <c r="AV93" s="122"/>
      <c r="AW93" s="122">
        <f>1456+3074+2193+2193</f>
        <v>8916</v>
      </c>
      <c r="AX93" s="122"/>
      <c r="AY93" s="122">
        <f>164+227+163+155</f>
        <v>709</v>
      </c>
      <c r="AZ93" s="122">
        <f>466+887+699+698</f>
        <v>2750</v>
      </c>
      <c r="BA93" s="122">
        <f>466+887+699+698</f>
        <v>2750</v>
      </c>
      <c r="BB93" s="122">
        <f>10+20+15+15</f>
        <v>60</v>
      </c>
      <c r="BC93" s="122">
        <f>6+10+8+8</f>
        <v>32</v>
      </c>
      <c r="BD93" s="122">
        <f>148+192+140+140</f>
        <v>620</v>
      </c>
      <c r="BE93" s="122">
        <f>32+64+48+46</f>
        <v>190</v>
      </c>
      <c r="BF93" s="122">
        <f>9+3</f>
        <v>12</v>
      </c>
      <c r="BG93" s="122">
        <f>7436+14872+11154+11154</f>
        <v>44616</v>
      </c>
      <c r="BH93" s="122">
        <f>246+492+369+369</f>
        <v>1476</v>
      </c>
      <c r="BI93" s="122"/>
      <c r="BJ93" s="115">
        <f t="shared" si="51"/>
        <v>1</v>
      </c>
      <c r="BK93" s="115">
        <f t="shared" si="52"/>
        <v>8156.15</v>
      </c>
      <c r="BL93" s="115">
        <f t="shared" si="53"/>
        <v>5394.92</v>
      </c>
      <c r="BM93" s="115" t="str">
        <f t="shared" si="54"/>
        <v>0</v>
      </c>
      <c r="BN93" s="115" t="str">
        <f t="shared" si="55"/>
        <v>0</v>
      </c>
      <c r="BO93" s="115" t="str">
        <f t="shared" si="56"/>
        <v>0</v>
      </c>
      <c r="BP93" s="115" t="str">
        <f t="shared" si="57"/>
        <v>0</v>
      </c>
      <c r="BQ93" s="115" t="str">
        <f t="shared" si="58"/>
        <v>0</v>
      </c>
      <c r="BR93" s="115" t="str">
        <f t="shared" si="59"/>
        <v>0</v>
      </c>
      <c r="BS93" s="115"/>
      <c r="BT93" s="115">
        <f>5+1</f>
        <v>6</v>
      </c>
      <c r="BU93" s="122">
        <f>466+887+699+698</f>
        <v>2750</v>
      </c>
      <c r="BV93" s="115"/>
      <c r="BW93" s="115">
        <f>34+33+38+14</f>
        <v>119</v>
      </c>
      <c r="BX93" s="115">
        <f t="shared" si="74"/>
        <v>7623</v>
      </c>
      <c r="BY93" s="275">
        <v>3858.5</v>
      </c>
      <c r="BZ93" s="253">
        <v>791.4</v>
      </c>
      <c r="CA93" s="354">
        <f>183.3+244.3+181.3+182.5</f>
        <v>791.40000000000009</v>
      </c>
      <c r="CB93" s="354"/>
      <c r="CC93" s="354"/>
      <c r="CD93" s="354">
        <f>698.1+886.8+699.1+698.2</f>
        <v>2982.2</v>
      </c>
      <c r="CE93" s="354">
        <v>10</v>
      </c>
      <c r="CF93" s="354"/>
      <c r="CG93" s="354"/>
      <c r="CH93" s="355">
        <f>(21.6+7.2+8.1)+38</f>
        <v>74.900000000000006</v>
      </c>
      <c r="CI93" s="356">
        <f t="shared" si="69"/>
        <v>3858.5</v>
      </c>
      <c r="CJ93" s="356">
        <f t="shared" si="60"/>
        <v>791.40000000000009</v>
      </c>
      <c r="CK93" s="357">
        <v>2750</v>
      </c>
      <c r="CL93" s="358">
        <f t="shared" si="70"/>
        <v>6608.5</v>
      </c>
      <c r="CM93" s="157">
        <f>1208+2220+2220+1620</f>
        <v>7268</v>
      </c>
      <c r="CN93" s="275">
        <f t="shared" si="61"/>
        <v>4391</v>
      </c>
      <c r="CO93" s="209" t="str">
        <f t="shared" si="40"/>
        <v>0</v>
      </c>
      <c r="CP93" s="235">
        <f t="shared" si="41"/>
        <v>0</v>
      </c>
      <c r="CQ93" s="209">
        <f t="shared" si="75"/>
        <v>1</v>
      </c>
      <c r="CR93" s="235">
        <f t="shared" si="43"/>
        <v>8916</v>
      </c>
      <c r="CS93" s="235">
        <f t="shared" si="76"/>
        <v>1</v>
      </c>
      <c r="CT93" s="235">
        <f t="shared" si="76"/>
        <v>8916</v>
      </c>
      <c r="CU93" s="14">
        <v>39</v>
      </c>
      <c r="CV93" s="284" t="str">
        <f t="shared" si="62"/>
        <v>0</v>
      </c>
      <c r="CW93" s="284" t="str">
        <f t="shared" si="63"/>
        <v>0</v>
      </c>
      <c r="CX93" s="243">
        <f t="shared" si="64"/>
        <v>6.4140556512570264</v>
      </c>
      <c r="CY93" s="216" t="str">
        <f t="shared" si="65"/>
        <v>0</v>
      </c>
      <c r="CZ93" s="216" t="str">
        <f t="shared" si="66"/>
        <v>0</v>
      </c>
      <c r="DA93" s="243">
        <f t="shared" si="67"/>
        <v>12.516191853174194</v>
      </c>
      <c r="DB93" s="305">
        <v>1</v>
      </c>
      <c r="DC93" s="305">
        <v>0</v>
      </c>
      <c r="DD93" s="305">
        <v>0</v>
      </c>
      <c r="DE93" s="305">
        <v>0</v>
      </c>
      <c r="DF93" s="305">
        <v>4</v>
      </c>
      <c r="DG93" s="305">
        <v>0</v>
      </c>
      <c r="DH93" s="305">
        <v>0</v>
      </c>
      <c r="DI93" s="305">
        <v>0</v>
      </c>
      <c r="DJ93" s="306">
        <v>0</v>
      </c>
      <c r="DK93" s="306">
        <v>190</v>
      </c>
      <c r="DL93" s="306">
        <f t="shared" si="45"/>
        <v>175</v>
      </c>
      <c r="DM93" s="306">
        <v>15</v>
      </c>
      <c r="DN93" s="306">
        <v>119</v>
      </c>
      <c r="DO93" s="306">
        <v>81</v>
      </c>
      <c r="DP93" s="306">
        <v>108</v>
      </c>
      <c r="DQ93" s="306">
        <v>81</v>
      </c>
      <c r="DR93" s="306">
        <v>82</v>
      </c>
      <c r="DS93" s="306">
        <v>107</v>
      </c>
      <c r="DT93" s="306">
        <v>82</v>
      </c>
      <c r="DU93" s="306">
        <v>7</v>
      </c>
      <c r="DV93" s="306">
        <v>3</v>
      </c>
      <c r="DW93" s="306">
        <v>13</v>
      </c>
      <c r="DX93" s="306">
        <v>3</v>
      </c>
      <c r="DY93" s="306">
        <v>3</v>
      </c>
      <c r="DZ93" s="306">
        <v>13</v>
      </c>
      <c r="EA93" s="306">
        <v>3</v>
      </c>
      <c r="EB93" s="306">
        <v>190</v>
      </c>
      <c r="EC93" s="306">
        <v>190</v>
      </c>
      <c r="ED93" s="342"/>
      <c r="EE93" s="342"/>
    </row>
    <row r="94" spans="1:138" x14ac:dyDescent="0.2">
      <c r="A94" s="14" t="s">
        <v>203</v>
      </c>
      <c r="B94" s="169">
        <v>88</v>
      </c>
      <c r="C94" s="12" t="s">
        <v>261</v>
      </c>
      <c r="D94" s="200">
        <v>1952</v>
      </c>
      <c r="E94" s="11"/>
      <c r="F94" s="169" t="s">
        <v>207</v>
      </c>
      <c r="G94" s="35">
        <v>1</v>
      </c>
      <c r="H94" s="201">
        <v>4</v>
      </c>
      <c r="I94" s="201" t="s">
        <v>19</v>
      </c>
      <c r="J94" s="115">
        <v>22782</v>
      </c>
      <c r="K94" s="115">
        <v>1708</v>
      </c>
      <c r="L94" s="157">
        <v>2108</v>
      </c>
      <c r="M94" s="115"/>
      <c r="N94" s="115">
        <f>78+1</f>
        <v>79</v>
      </c>
      <c r="O94" s="115">
        <f>174+2</f>
        <v>176</v>
      </c>
      <c r="P94" s="115">
        <v>80</v>
      </c>
      <c r="Q94" s="115">
        <v>128</v>
      </c>
      <c r="R94" s="228">
        <f>4949.2+54.3+2.2</f>
        <v>5005.7</v>
      </c>
      <c r="S94" s="230">
        <v>2825.1</v>
      </c>
      <c r="T94" s="115">
        <f t="shared" si="46"/>
        <v>72</v>
      </c>
      <c r="U94" s="194">
        <f t="shared" si="47"/>
        <v>4525.3999999999996</v>
      </c>
      <c r="V94" s="180">
        <f t="shared" si="47"/>
        <v>2527.3199999999997</v>
      </c>
      <c r="W94" s="115">
        <v>7</v>
      </c>
      <c r="X94" s="207">
        <v>480.3</v>
      </c>
      <c r="Y94" s="207">
        <v>297.77999999999997</v>
      </c>
      <c r="Z94" s="204"/>
      <c r="AA94" s="207"/>
      <c r="AB94" s="207"/>
      <c r="AC94" s="207">
        <f t="shared" si="48"/>
        <v>17</v>
      </c>
      <c r="AD94" s="248">
        <f t="shared" si="49"/>
        <v>17</v>
      </c>
      <c r="AE94" s="275"/>
      <c r="AF94" s="275">
        <v>17</v>
      </c>
      <c r="AG94" s="207">
        <f>17-17</f>
        <v>0</v>
      </c>
      <c r="AH94" s="207"/>
      <c r="AI94" s="207">
        <f t="shared" si="50"/>
        <v>5022.7</v>
      </c>
      <c r="AJ94" s="170"/>
      <c r="AK94" s="170"/>
      <c r="AL94" s="170">
        <v>4</v>
      </c>
      <c r="AM94" s="170"/>
      <c r="AN94" s="170">
        <v>0</v>
      </c>
      <c r="AO94" s="170">
        <v>1</v>
      </c>
      <c r="AP94" s="170">
        <v>3209</v>
      </c>
      <c r="AQ94" s="170">
        <v>54.5</v>
      </c>
      <c r="AR94" s="170">
        <v>410</v>
      </c>
      <c r="AS94" s="170">
        <v>474</v>
      </c>
      <c r="AT94" s="170">
        <v>60</v>
      </c>
      <c r="AU94" s="170">
        <f t="shared" si="38"/>
        <v>3692</v>
      </c>
      <c r="AV94" s="170"/>
      <c r="AW94" s="170">
        <v>3692</v>
      </c>
      <c r="AX94" s="170"/>
      <c r="AY94" s="170">
        <v>131</v>
      </c>
      <c r="AZ94" s="170">
        <v>1708</v>
      </c>
      <c r="BA94" s="170">
        <v>1708</v>
      </c>
      <c r="BB94" s="170">
        <v>12</v>
      </c>
      <c r="BC94" s="170">
        <v>8</v>
      </c>
      <c r="BD94" s="170">
        <v>280</v>
      </c>
      <c r="BE94" s="170">
        <v>400</v>
      </c>
      <c r="BF94" s="170"/>
      <c r="BG94" s="170">
        <v>2616</v>
      </c>
      <c r="BH94" s="170">
        <v>76</v>
      </c>
      <c r="BI94" s="170"/>
      <c r="BJ94" s="115">
        <f t="shared" si="51"/>
        <v>1</v>
      </c>
      <c r="BK94" s="115">
        <f t="shared" si="52"/>
        <v>5005.7</v>
      </c>
      <c r="BL94" s="115">
        <f t="shared" si="53"/>
        <v>2825.1</v>
      </c>
      <c r="BM94" s="115" t="str">
        <f t="shared" si="54"/>
        <v>0</v>
      </c>
      <c r="BN94" s="115" t="str">
        <f t="shared" si="55"/>
        <v>0</v>
      </c>
      <c r="BO94" s="115" t="str">
        <f t="shared" si="56"/>
        <v>0</v>
      </c>
      <c r="BP94" s="115" t="str">
        <f t="shared" si="57"/>
        <v>0</v>
      </c>
      <c r="BQ94" s="115" t="str">
        <f t="shared" si="58"/>
        <v>0</v>
      </c>
      <c r="BR94" s="115" t="str">
        <f t="shared" si="59"/>
        <v>0</v>
      </c>
      <c r="BS94" s="115"/>
      <c r="BT94" s="115">
        <v>4</v>
      </c>
      <c r="BU94" s="115">
        <f>BA94</f>
        <v>1708</v>
      </c>
      <c r="BV94" s="115">
        <v>2955</v>
      </c>
      <c r="BW94" s="115">
        <v>3</v>
      </c>
      <c r="BX94" s="115">
        <f t="shared" si="74"/>
        <v>3209</v>
      </c>
      <c r="BY94" s="253">
        <v>2099.6</v>
      </c>
      <c r="BZ94" s="253">
        <v>391.8</v>
      </c>
      <c r="CA94" s="354">
        <v>391.8</v>
      </c>
      <c r="CB94" s="354"/>
      <c r="CC94" s="354"/>
      <c r="CD94" s="354">
        <v>1707.8</v>
      </c>
      <c r="CE94" s="354"/>
      <c r="CF94" s="354"/>
      <c r="CG94" s="354"/>
      <c r="CH94" s="355"/>
      <c r="CI94" s="356">
        <f t="shared" si="69"/>
        <v>2099.6</v>
      </c>
      <c r="CJ94" s="356">
        <f t="shared" si="60"/>
        <v>391.8</v>
      </c>
      <c r="CK94" s="357">
        <v>1708</v>
      </c>
      <c r="CL94" s="358">
        <f t="shared" si="70"/>
        <v>3807.6</v>
      </c>
      <c r="CM94" s="205">
        <v>5838</v>
      </c>
      <c r="CN94" s="282">
        <f t="shared" si="61"/>
        <v>4130</v>
      </c>
      <c r="CO94" s="209" t="str">
        <f t="shared" si="40"/>
        <v>0</v>
      </c>
      <c r="CP94" s="235">
        <f t="shared" si="41"/>
        <v>0</v>
      </c>
      <c r="CQ94" s="209">
        <f t="shared" si="75"/>
        <v>1</v>
      </c>
      <c r="CR94" s="235">
        <f t="shared" si="43"/>
        <v>3692</v>
      </c>
      <c r="CS94" s="235">
        <f t="shared" si="76"/>
        <v>1</v>
      </c>
      <c r="CT94" s="235">
        <f t="shared" si="76"/>
        <v>3692</v>
      </c>
      <c r="CU94" s="156">
        <v>30</v>
      </c>
      <c r="CV94" s="284" t="str">
        <f t="shared" si="62"/>
        <v>0</v>
      </c>
      <c r="CW94" s="284" t="str">
        <f t="shared" si="63"/>
        <v>0</v>
      </c>
      <c r="CX94" s="243">
        <f t="shared" si="64"/>
        <v>9.5950616297420943</v>
      </c>
      <c r="CY94" s="216" t="str">
        <f t="shared" si="65"/>
        <v>0</v>
      </c>
      <c r="CZ94" s="216" t="str">
        <f t="shared" si="66"/>
        <v>0</v>
      </c>
      <c r="DA94" s="243">
        <f t="shared" si="67"/>
        <v>9.9010492364664433</v>
      </c>
      <c r="DB94" s="306">
        <v>1</v>
      </c>
      <c r="DC94" s="306">
        <v>0</v>
      </c>
      <c r="DD94" s="306">
        <v>0</v>
      </c>
      <c r="DE94" s="306">
        <v>0</v>
      </c>
      <c r="DF94" s="306">
        <v>1</v>
      </c>
      <c r="DG94" s="306">
        <v>0</v>
      </c>
      <c r="DH94" s="306">
        <v>0</v>
      </c>
      <c r="DI94" s="306">
        <v>0</v>
      </c>
      <c r="DJ94" s="306">
        <v>0</v>
      </c>
      <c r="DK94" s="306">
        <v>74</v>
      </c>
      <c r="DL94" s="306">
        <f t="shared" si="45"/>
        <v>66</v>
      </c>
      <c r="DM94" s="306">
        <v>8</v>
      </c>
      <c r="DN94" s="306">
        <v>55</v>
      </c>
      <c r="DO94" s="306">
        <v>21</v>
      </c>
      <c r="DP94" s="306">
        <v>57</v>
      </c>
      <c r="DQ94" s="306">
        <v>21</v>
      </c>
      <c r="DR94" s="306">
        <v>21</v>
      </c>
      <c r="DS94" s="306">
        <v>56</v>
      </c>
      <c r="DT94" s="306">
        <v>22</v>
      </c>
      <c r="DU94" s="306">
        <v>4</v>
      </c>
      <c r="DV94" s="306">
        <v>1</v>
      </c>
      <c r="DW94" s="306">
        <v>7</v>
      </c>
      <c r="DX94" s="306">
        <v>1</v>
      </c>
      <c r="DY94" s="306">
        <v>1</v>
      </c>
      <c r="DZ94" s="306">
        <v>7</v>
      </c>
      <c r="EA94" s="306">
        <v>1</v>
      </c>
      <c r="EB94" s="306">
        <v>74</v>
      </c>
      <c r="EC94" s="306">
        <f>74-5</f>
        <v>69</v>
      </c>
      <c r="ED94" s="342"/>
      <c r="EE94" s="342"/>
    </row>
    <row r="95" spans="1:138" x14ac:dyDescent="0.2">
      <c r="A95" s="14" t="s">
        <v>203</v>
      </c>
      <c r="B95" s="169">
        <v>89</v>
      </c>
      <c r="C95" s="12" t="s">
        <v>262</v>
      </c>
      <c r="D95" s="200">
        <v>1952</v>
      </c>
      <c r="E95" s="11"/>
      <c r="F95" s="169" t="s">
        <v>207</v>
      </c>
      <c r="G95" s="35">
        <v>1</v>
      </c>
      <c r="H95" s="201">
        <v>5</v>
      </c>
      <c r="I95" s="201" t="s">
        <v>19</v>
      </c>
      <c r="J95" s="115">
        <v>23329</v>
      </c>
      <c r="K95" s="115">
        <v>1578</v>
      </c>
      <c r="L95" s="157">
        <v>1884</v>
      </c>
      <c r="M95" s="115"/>
      <c r="N95" s="115">
        <f>69+1</f>
        <v>70</v>
      </c>
      <c r="O95" s="115">
        <f>165+1</f>
        <v>166</v>
      </c>
      <c r="P95" s="115">
        <v>71</v>
      </c>
      <c r="Q95" s="115">
        <v>145</v>
      </c>
      <c r="R95" s="228">
        <f>4331.3+53.7</f>
        <v>4385</v>
      </c>
      <c r="S95" s="230">
        <v>2702.9</v>
      </c>
      <c r="T95" s="115">
        <f t="shared" si="46"/>
        <v>51</v>
      </c>
      <c r="U95" s="194">
        <f t="shared" si="47"/>
        <v>3349.4</v>
      </c>
      <c r="V95" s="180">
        <f t="shared" si="47"/>
        <v>2060.83</v>
      </c>
      <c r="W95" s="115">
        <v>19</v>
      </c>
      <c r="X95" s="207">
        <v>1035.5999999999999</v>
      </c>
      <c r="Y95" s="207">
        <v>642.07000000000005</v>
      </c>
      <c r="Z95" s="204"/>
      <c r="AA95" s="207"/>
      <c r="AB95" s="207"/>
      <c r="AC95" s="207">
        <f>AD95+AG95+AH95</f>
        <v>794.1</v>
      </c>
      <c r="AD95" s="248">
        <f t="shared" si="49"/>
        <v>17.500000000000021</v>
      </c>
      <c r="AE95" s="248"/>
      <c r="AF95" s="275">
        <f>15.1+709.6-709.6+2.4</f>
        <v>17.500000000000021</v>
      </c>
      <c r="AG95" s="207">
        <f>834.2-709.6-53.7+705.7</f>
        <v>776.6</v>
      </c>
      <c r="AH95" s="207"/>
      <c r="AI95" s="207">
        <f t="shared" si="50"/>
        <v>5179.1000000000004</v>
      </c>
      <c r="AJ95" s="170"/>
      <c r="AK95" s="170"/>
      <c r="AL95" s="170">
        <v>4</v>
      </c>
      <c r="AM95" s="170"/>
      <c r="AN95" s="170">
        <v>1</v>
      </c>
      <c r="AO95" s="170">
        <v>1</v>
      </c>
      <c r="AP95" s="170">
        <v>2872</v>
      </c>
      <c r="AQ95" s="170"/>
      <c r="AR95" s="170">
        <v>430</v>
      </c>
      <c r="AS95" s="170">
        <v>448</v>
      </c>
      <c r="AT95" s="170">
        <v>60</v>
      </c>
      <c r="AU95" s="170">
        <f t="shared" si="38"/>
        <v>3530</v>
      </c>
      <c r="AV95" s="170"/>
      <c r="AW95" s="170">
        <v>3530</v>
      </c>
      <c r="AX95" s="170"/>
      <c r="AY95" s="170">
        <v>135</v>
      </c>
      <c r="AZ95" s="170">
        <v>1524</v>
      </c>
      <c r="BA95" s="170">
        <v>1524</v>
      </c>
      <c r="BB95" s="170">
        <v>12</v>
      </c>
      <c r="BC95" s="170">
        <v>8</v>
      </c>
      <c r="BD95" s="170">
        <v>280</v>
      </c>
      <c r="BE95" s="170">
        <v>400</v>
      </c>
      <c r="BF95" s="170"/>
      <c r="BG95" s="170">
        <v>2616</v>
      </c>
      <c r="BH95" s="170">
        <v>76</v>
      </c>
      <c r="BI95" s="170"/>
      <c r="BJ95" s="115">
        <f t="shared" si="51"/>
        <v>1</v>
      </c>
      <c r="BK95" s="115">
        <f t="shared" si="52"/>
        <v>4385</v>
      </c>
      <c r="BL95" s="115">
        <f t="shared" si="53"/>
        <v>2702.9</v>
      </c>
      <c r="BM95" s="115" t="str">
        <f t="shared" si="54"/>
        <v>0</v>
      </c>
      <c r="BN95" s="115" t="str">
        <f t="shared" si="55"/>
        <v>0</v>
      </c>
      <c r="BO95" s="115" t="str">
        <f t="shared" si="56"/>
        <v>0</v>
      </c>
      <c r="BP95" s="115" t="str">
        <f t="shared" si="57"/>
        <v>0</v>
      </c>
      <c r="BQ95" s="115" t="str">
        <f t="shared" si="58"/>
        <v>0</v>
      </c>
      <c r="BR95" s="115" t="str">
        <f t="shared" si="59"/>
        <v>0</v>
      </c>
      <c r="BS95" s="115"/>
      <c r="BT95" s="115">
        <v>2</v>
      </c>
      <c r="BU95" s="115">
        <f>BA95</f>
        <v>1524</v>
      </c>
      <c r="BV95" s="115">
        <v>2735</v>
      </c>
      <c r="BW95" s="115"/>
      <c r="BX95" s="115">
        <f t="shared" si="74"/>
        <v>2872</v>
      </c>
      <c r="BY95" s="253">
        <v>1951.9</v>
      </c>
      <c r="BZ95" s="253">
        <v>386.6</v>
      </c>
      <c r="CA95" s="354">
        <v>386.6</v>
      </c>
      <c r="CB95" s="354"/>
      <c r="CC95" s="354"/>
      <c r="CD95" s="354">
        <v>1524</v>
      </c>
      <c r="CE95" s="354">
        <v>31.8</v>
      </c>
      <c r="CF95" s="354">
        <v>9.5</v>
      </c>
      <c r="CG95" s="354"/>
      <c r="CH95" s="355"/>
      <c r="CI95" s="356">
        <f t="shared" si="69"/>
        <v>1951.9</v>
      </c>
      <c r="CJ95" s="356">
        <f t="shared" si="60"/>
        <v>386.6</v>
      </c>
      <c r="CK95" s="357">
        <v>1524</v>
      </c>
      <c r="CL95" s="358">
        <f t="shared" si="70"/>
        <v>3475.9</v>
      </c>
      <c r="CM95" s="205">
        <v>4307</v>
      </c>
      <c r="CN95" s="282">
        <f t="shared" si="61"/>
        <v>2729</v>
      </c>
      <c r="CO95" s="209" t="str">
        <f t="shared" si="40"/>
        <v>0</v>
      </c>
      <c r="CP95" s="235">
        <f t="shared" si="41"/>
        <v>0</v>
      </c>
      <c r="CQ95" s="209">
        <f t="shared" si="75"/>
        <v>1</v>
      </c>
      <c r="CR95" s="235">
        <f t="shared" si="43"/>
        <v>3530</v>
      </c>
      <c r="CS95" s="235">
        <f t="shared" si="76"/>
        <v>1</v>
      </c>
      <c r="CT95" s="235">
        <f t="shared" si="76"/>
        <v>3530</v>
      </c>
      <c r="CU95" s="156">
        <v>33</v>
      </c>
      <c r="CV95" s="284" t="str">
        <f t="shared" si="62"/>
        <v>0</v>
      </c>
      <c r="CW95" s="284" t="str">
        <f t="shared" si="63"/>
        <v>0</v>
      </c>
      <c r="CX95" s="243">
        <f t="shared" si="64"/>
        <v>23.616875712656782</v>
      </c>
      <c r="CY95" s="216" t="str">
        <f t="shared" si="65"/>
        <v>0</v>
      </c>
      <c r="CZ95" s="216" t="str">
        <f t="shared" si="66"/>
        <v>0</v>
      </c>
      <c r="DA95" s="243">
        <f t="shared" si="67"/>
        <v>20.33364870344268</v>
      </c>
      <c r="DB95" s="306">
        <v>1</v>
      </c>
      <c r="DC95" s="306">
        <v>0</v>
      </c>
      <c r="DD95" s="306">
        <v>0</v>
      </c>
      <c r="DE95" s="306">
        <v>0</v>
      </c>
      <c r="DF95" s="306">
        <v>1</v>
      </c>
      <c r="DG95" s="306">
        <v>0</v>
      </c>
      <c r="DH95" s="306">
        <v>0</v>
      </c>
      <c r="DI95" s="306">
        <v>0</v>
      </c>
      <c r="DJ95" s="306">
        <v>0</v>
      </c>
      <c r="DK95" s="306">
        <v>71</v>
      </c>
      <c r="DL95" s="306">
        <f t="shared" si="45"/>
        <v>62</v>
      </c>
      <c r="DM95" s="306">
        <v>9</v>
      </c>
      <c r="DN95" s="306">
        <v>43</v>
      </c>
      <c r="DO95" s="306">
        <v>17</v>
      </c>
      <c r="DP95" s="306">
        <v>54</v>
      </c>
      <c r="DQ95" s="306">
        <v>18</v>
      </c>
      <c r="DR95" s="306">
        <v>18</v>
      </c>
      <c r="DS95" s="306">
        <v>53</v>
      </c>
      <c r="DT95" s="306">
        <v>20</v>
      </c>
      <c r="DU95" s="306">
        <v>4</v>
      </c>
      <c r="DV95" s="306">
        <v>2</v>
      </c>
      <c r="DW95" s="306">
        <v>8</v>
      </c>
      <c r="DX95" s="306">
        <v>2</v>
      </c>
      <c r="DY95" s="306">
        <v>2</v>
      </c>
      <c r="DZ95" s="306">
        <v>8</v>
      </c>
      <c r="EA95" s="306">
        <v>2</v>
      </c>
      <c r="EB95" s="306">
        <v>71</v>
      </c>
      <c r="EC95" s="306">
        <f>71-8</f>
        <v>63</v>
      </c>
      <c r="ED95" s="342"/>
      <c r="EE95" s="342"/>
    </row>
    <row r="96" spans="1:138" x14ac:dyDescent="0.2">
      <c r="A96" s="12" t="s">
        <v>142</v>
      </c>
      <c r="B96" s="169">
        <v>90</v>
      </c>
      <c r="C96" s="12" t="s">
        <v>169</v>
      </c>
      <c r="D96" s="13">
        <v>1960</v>
      </c>
      <c r="E96" s="11"/>
      <c r="F96" s="169" t="s">
        <v>13</v>
      </c>
      <c r="G96" s="35">
        <v>1</v>
      </c>
      <c r="H96" s="45">
        <v>5</v>
      </c>
      <c r="I96" s="1" t="s">
        <v>19</v>
      </c>
      <c r="J96" s="140">
        <v>56534</v>
      </c>
      <c r="K96" s="122">
        <f>728+852+728+914+706</f>
        <v>3928</v>
      </c>
      <c r="L96" s="122">
        <f>838+1130+913+1056+839</f>
        <v>4776</v>
      </c>
      <c r="M96" s="122"/>
      <c r="N96" s="122">
        <f>321-1</f>
        <v>320</v>
      </c>
      <c r="O96" s="122">
        <f>621-2</f>
        <v>619</v>
      </c>
      <c r="P96" s="122">
        <v>321</v>
      </c>
      <c r="Q96" s="122">
        <v>569</v>
      </c>
      <c r="R96" s="181">
        <f>13611-44.5</f>
        <v>13566.5</v>
      </c>
      <c r="S96" s="116">
        <v>8809.1</v>
      </c>
      <c r="T96" s="122">
        <f t="shared" si="46"/>
        <v>282</v>
      </c>
      <c r="U96" s="181">
        <f t="shared" si="47"/>
        <v>11939.4</v>
      </c>
      <c r="V96" s="180">
        <f t="shared" si="47"/>
        <v>7800.3</v>
      </c>
      <c r="W96" s="122">
        <v>38</v>
      </c>
      <c r="X96" s="180">
        <v>1627.1</v>
      </c>
      <c r="Y96" s="180">
        <v>1008.8</v>
      </c>
      <c r="Z96" s="122"/>
      <c r="AA96" s="180"/>
      <c r="AB96" s="180"/>
      <c r="AC96" s="180">
        <f t="shared" si="48"/>
        <v>619.4</v>
      </c>
      <c r="AD96" s="179">
        <f t="shared" si="49"/>
        <v>0</v>
      </c>
      <c r="AE96" s="271"/>
      <c r="AF96" s="274">
        <f>212-212</f>
        <v>0</v>
      </c>
      <c r="AG96" s="180">
        <f>371.3+44.5+203.6</f>
        <v>619.4</v>
      </c>
      <c r="AH96" s="180"/>
      <c r="AI96" s="180">
        <f t="shared" si="50"/>
        <v>14185.9</v>
      </c>
      <c r="AJ96" s="122"/>
      <c r="AK96" s="122"/>
      <c r="AL96" s="139">
        <f>3+4+3+4+3</f>
        <v>17</v>
      </c>
      <c r="AM96" s="122"/>
      <c r="AN96" s="122">
        <v>1</v>
      </c>
      <c r="AO96" s="122">
        <f>3+1+1</f>
        <v>5</v>
      </c>
      <c r="AP96" s="122">
        <f>1922+2334+1922+2335+1925</f>
        <v>10438</v>
      </c>
      <c r="AQ96" s="122">
        <v>57</v>
      </c>
      <c r="AR96" s="122">
        <f>238+317+238+375+375</f>
        <v>1543</v>
      </c>
      <c r="AS96" s="35">
        <f>209+209+209+209+209</f>
        <v>1045</v>
      </c>
      <c r="AT96" s="122">
        <f>38+51+38+51+38</f>
        <v>216</v>
      </c>
      <c r="AU96" s="122">
        <f t="shared" si="38"/>
        <v>12537</v>
      </c>
      <c r="AV96" s="122"/>
      <c r="AW96" s="122">
        <f>2305+2923+2193+2923+2193</f>
        <v>12537</v>
      </c>
      <c r="AX96" s="122"/>
      <c r="AY96" s="122">
        <f>165+213+165+204+163</f>
        <v>910</v>
      </c>
      <c r="AZ96" s="122">
        <f>702+888+702+888+703</f>
        <v>3883</v>
      </c>
      <c r="BA96" s="122">
        <f>702+888+702+888+703</f>
        <v>3883</v>
      </c>
      <c r="BB96" s="122">
        <v>85</v>
      </c>
      <c r="BC96" s="122">
        <v>56</v>
      </c>
      <c r="BD96" s="122">
        <v>962</v>
      </c>
      <c r="BE96" s="122">
        <v>330</v>
      </c>
      <c r="BF96" s="122">
        <f>10+4+3</f>
        <v>17</v>
      </c>
      <c r="BG96" s="122">
        <f>11154+11154+11154+14872+11154</f>
        <v>59488</v>
      </c>
      <c r="BH96" s="122">
        <f>369+492+369+492+369</f>
        <v>2091</v>
      </c>
      <c r="BI96" s="122"/>
      <c r="BJ96" s="115">
        <f t="shared" si="51"/>
        <v>1</v>
      </c>
      <c r="BK96" s="115">
        <f t="shared" si="52"/>
        <v>13566.5</v>
      </c>
      <c r="BL96" s="115">
        <f t="shared" si="53"/>
        <v>8809.1</v>
      </c>
      <c r="BM96" s="115" t="str">
        <f t="shared" si="54"/>
        <v>0</v>
      </c>
      <c r="BN96" s="115" t="str">
        <f t="shared" si="55"/>
        <v>0</v>
      </c>
      <c r="BO96" s="115" t="str">
        <f t="shared" si="56"/>
        <v>0</v>
      </c>
      <c r="BP96" s="115" t="str">
        <f t="shared" si="57"/>
        <v>0</v>
      </c>
      <c r="BQ96" s="115" t="str">
        <f t="shared" si="58"/>
        <v>0</v>
      </c>
      <c r="BR96" s="115" t="str">
        <f t="shared" si="59"/>
        <v>0</v>
      </c>
      <c r="BS96" s="115"/>
      <c r="BT96" s="115">
        <f>5+2+2</f>
        <v>9</v>
      </c>
      <c r="BU96" s="122">
        <v>702</v>
      </c>
      <c r="BV96" s="115">
        <v>39</v>
      </c>
      <c r="BW96" s="115"/>
      <c r="BX96" s="115">
        <f t="shared" si="74"/>
        <v>10438</v>
      </c>
      <c r="BY96" s="275">
        <v>5149.3</v>
      </c>
      <c r="BZ96" s="253">
        <v>1056.5999999999999</v>
      </c>
      <c r="CA96" s="354">
        <f>618+249.7+188.9</f>
        <v>1056.6000000000001</v>
      </c>
      <c r="CB96" s="354"/>
      <c r="CC96" s="354"/>
      <c r="CD96" s="354">
        <f>(701.6+887.6+701.6+108.4)+888.3+702.8</f>
        <v>3990.3</v>
      </c>
      <c r="CE96" s="354">
        <f>(7.9+8.3+8.5)+8.3+8.4</f>
        <v>41.4</v>
      </c>
      <c r="CF96" s="354">
        <f>2.4+2.3</f>
        <v>4.6999999999999993</v>
      </c>
      <c r="CG96" s="354"/>
      <c r="CH96" s="354">
        <f>6.5+6.5+15+6.8+6.5+15</f>
        <v>56.3</v>
      </c>
      <c r="CI96" s="356">
        <f t="shared" si="69"/>
        <v>5149.3</v>
      </c>
      <c r="CJ96" s="356">
        <f t="shared" si="60"/>
        <v>1056.6000000000001</v>
      </c>
      <c r="CK96" s="357">
        <v>3883</v>
      </c>
      <c r="CL96" s="358">
        <f t="shared" si="70"/>
        <v>9032.2999999999993</v>
      </c>
      <c r="CM96" s="157">
        <v>11564</v>
      </c>
      <c r="CN96" s="275">
        <f t="shared" si="61"/>
        <v>7636</v>
      </c>
      <c r="CO96" s="209" t="str">
        <f t="shared" si="40"/>
        <v>0</v>
      </c>
      <c r="CP96" s="235">
        <f t="shared" si="41"/>
        <v>0</v>
      </c>
      <c r="CQ96" s="209">
        <f t="shared" si="75"/>
        <v>1</v>
      </c>
      <c r="CR96" s="235">
        <f t="shared" si="43"/>
        <v>12537</v>
      </c>
      <c r="CS96" s="235">
        <f t="shared" si="76"/>
        <v>1</v>
      </c>
      <c r="CT96" s="235">
        <f t="shared" si="76"/>
        <v>12537</v>
      </c>
      <c r="CU96" s="14">
        <v>47</v>
      </c>
      <c r="CV96" s="284" t="str">
        <f t="shared" si="62"/>
        <v>0</v>
      </c>
      <c r="CW96" s="284" t="str">
        <f t="shared" si="63"/>
        <v>0</v>
      </c>
      <c r="CX96" s="243">
        <f t="shared" si="64"/>
        <v>11.993513433825969</v>
      </c>
      <c r="CY96" s="216" t="str">
        <f t="shared" si="65"/>
        <v>0</v>
      </c>
      <c r="CZ96" s="216" t="str">
        <f t="shared" si="66"/>
        <v>0</v>
      </c>
      <c r="DA96" s="243">
        <f t="shared" si="67"/>
        <v>11.469839770476318</v>
      </c>
      <c r="DB96" s="305">
        <v>1</v>
      </c>
      <c r="DC96" s="305">
        <v>0</v>
      </c>
      <c r="DD96" s="305">
        <v>0</v>
      </c>
      <c r="DE96" s="305">
        <v>0</v>
      </c>
      <c r="DF96" s="305">
        <v>5</v>
      </c>
      <c r="DG96" s="305">
        <v>0</v>
      </c>
      <c r="DH96" s="305">
        <v>0</v>
      </c>
      <c r="DI96" s="305">
        <v>0</v>
      </c>
      <c r="DJ96" s="306">
        <v>0</v>
      </c>
      <c r="DK96" s="306">
        <v>331</v>
      </c>
      <c r="DL96" s="306">
        <f t="shared" si="45"/>
        <v>295</v>
      </c>
      <c r="DM96" s="306">
        <v>36</v>
      </c>
      <c r="DN96" s="306">
        <v>221</v>
      </c>
      <c r="DO96" s="306">
        <v>149</v>
      </c>
      <c r="DP96" s="306">
        <v>175</v>
      </c>
      <c r="DQ96" s="306">
        <v>149</v>
      </c>
      <c r="DR96" s="306">
        <v>149</v>
      </c>
      <c r="DS96" s="306">
        <v>175</v>
      </c>
      <c r="DT96" s="306">
        <v>149</v>
      </c>
      <c r="DU96" s="306">
        <v>19</v>
      </c>
      <c r="DV96" s="306">
        <v>14</v>
      </c>
      <c r="DW96" s="306">
        <v>19</v>
      </c>
      <c r="DX96" s="306">
        <v>14</v>
      </c>
      <c r="DY96" s="306">
        <v>14</v>
      </c>
      <c r="DZ96" s="306">
        <v>19</v>
      </c>
      <c r="EA96" s="306">
        <v>14</v>
      </c>
      <c r="EB96" s="306">
        <v>331</v>
      </c>
      <c r="EC96" s="306">
        <v>331</v>
      </c>
      <c r="ED96" s="342"/>
      <c r="EE96" s="342"/>
    </row>
    <row r="97" spans="1:138" x14ac:dyDescent="0.2">
      <c r="A97" s="27" t="s">
        <v>142</v>
      </c>
      <c r="B97" s="169">
        <v>91</v>
      </c>
      <c r="C97" s="12" t="s">
        <v>85</v>
      </c>
      <c r="D97" s="13">
        <v>1972</v>
      </c>
      <c r="E97" s="11"/>
      <c r="F97" s="169" t="s">
        <v>13</v>
      </c>
      <c r="G97" s="35">
        <v>1</v>
      </c>
      <c r="H97" s="45">
        <v>5</v>
      </c>
      <c r="I97" s="1" t="s">
        <v>19</v>
      </c>
      <c r="J97" s="122">
        <v>10204</v>
      </c>
      <c r="K97" s="122">
        <v>737</v>
      </c>
      <c r="L97" s="122">
        <v>838</v>
      </c>
      <c r="M97" s="122"/>
      <c r="N97" s="122">
        <v>54</v>
      </c>
      <c r="O97" s="122">
        <v>105</v>
      </c>
      <c r="P97" s="122">
        <v>54</v>
      </c>
      <c r="Q97" s="122">
        <v>101</v>
      </c>
      <c r="R97" s="180">
        <f>2281.9-0.01</f>
        <v>2281.89</v>
      </c>
      <c r="S97" s="121">
        <v>1501.51</v>
      </c>
      <c r="T97" s="122">
        <f t="shared" si="46"/>
        <v>48</v>
      </c>
      <c r="U97" s="180">
        <f t="shared" si="47"/>
        <v>2037.83</v>
      </c>
      <c r="V97" s="180">
        <f t="shared" si="47"/>
        <v>1336.37</v>
      </c>
      <c r="W97" s="122">
        <v>6</v>
      </c>
      <c r="X97" s="180">
        <v>244.06</v>
      </c>
      <c r="Y97" s="180">
        <v>165.14</v>
      </c>
      <c r="Z97" s="122"/>
      <c r="AA97" s="180"/>
      <c r="AB97" s="180"/>
      <c r="AC97" s="180">
        <f t="shared" si="48"/>
        <v>233.2</v>
      </c>
      <c r="AD97" s="179">
        <f t="shared" si="49"/>
        <v>0</v>
      </c>
      <c r="AE97" s="272"/>
      <c r="AF97" s="179"/>
      <c r="AG97" s="180">
        <v>233.2</v>
      </c>
      <c r="AH97" s="180"/>
      <c r="AI97" s="180">
        <f t="shared" si="50"/>
        <v>2515.0899999999997</v>
      </c>
      <c r="AJ97" s="122"/>
      <c r="AK97" s="122"/>
      <c r="AL97" s="122">
        <v>3</v>
      </c>
      <c r="AM97" s="122"/>
      <c r="AN97" s="122">
        <v>1</v>
      </c>
      <c r="AO97" s="122">
        <v>1</v>
      </c>
      <c r="AP97" s="122">
        <v>1912</v>
      </c>
      <c r="AQ97" s="122"/>
      <c r="AR97" s="122">
        <f>68+34+124</f>
        <v>226</v>
      </c>
      <c r="AS97" s="122">
        <v>245</v>
      </c>
      <c r="AT97" s="122">
        <v>38</v>
      </c>
      <c r="AU97" s="122">
        <f t="shared" si="38"/>
        <v>2193</v>
      </c>
      <c r="AV97" s="122"/>
      <c r="AW97" s="122">
        <v>2193</v>
      </c>
      <c r="AX97" s="122"/>
      <c r="AY97" s="122">
        <v>113</v>
      </c>
      <c r="AZ97" s="122">
        <v>702</v>
      </c>
      <c r="BA97" s="122">
        <v>702</v>
      </c>
      <c r="BB97" s="122">
        <v>15</v>
      </c>
      <c r="BC97" s="122">
        <v>10</v>
      </c>
      <c r="BD97" s="122">
        <f>159-3</f>
        <v>156</v>
      </c>
      <c r="BE97" s="122">
        <f>54-1</f>
        <v>53</v>
      </c>
      <c r="BF97" s="122">
        <v>3</v>
      </c>
      <c r="BG97" s="122">
        <v>11154</v>
      </c>
      <c r="BH97" s="122">
        <v>369</v>
      </c>
      <c r="BI97" s="122"/>
      <c r="BJ97" s="115">
        <f t="shared" si="51"/>
        <v>1</v>
      </c>
      <c r="BK97" s="115">
        <f t="shared" si="52"/>
        <v>2281.89</v>
      </c>
      <c r="BL97" s="115">
        <f t="shared" si="53"/>
        <v>1501.51</v>
      </c>
      <c r="BM97" s="115" t="str">
        <f t="shared" si="54"/>
        <v>0</v>
      </c>
      <c r="BN97" s="115" t="str">
        <f t="shared" si="55"/>
        <v>0</v>
      </c>
      <c r="BO97" s="115" t="str">
        <f t="shared" si="56"/>
        <v>0</v>
      </c>
      <c r="BP97" s="115" t="str">
        <f t="shared" si="57"/>
        <v>0</v>
      </c>
      <c r="BQ97" s="115" t="str">
        <f t="shared" si="58"/>
        <v>0</v>
      </c>
      <c r="BR97" s="115" t="str">
        <f t="shared" si="59"/>
        <v>0</v>
      </c>
      <c r="BS97" s="115"/>
      <c r="BT97" s="115"/>
      <c r="BU97" s="122"/>
      <c r="BV97" s="115"/>
      <c r="BW97" s="115"/>
      <c r="BX97" s="115">
        <f t="shared" si="74"/>
        <v>1912</v>
      </c>
      <c r="BY97" s="275">
        <v>892.83</v>
      </c>
      <c r="BZ97" s="253">
        <v>182.83</v>
      </c>
      <c r="CA97" s="354">
        <v>182.83</v>
      </c>
      <c r="CB97" s="354"/>
      <c r="CC97" s="354"/>
      <c r="CD97" s="354">
        <v>701.7</v>
      </c>
      <c r="CE97" s="354">
        <v>8.3000000000000007</v>
      </c>
      <c r="CF97" s="354"/>
      <c r="CG97" s="354"/>
      <c r="CH97" s="355"/>
      <c r="CI97" s="356">
        <f t="shared" si="69"/>
        <v>892.83</v>
      </c>
      <c r="CJ97" s="356">
        <f t="shared" si="60"/>
        <v>182.83</v>
      </c>
      <c r="CK97" s="357">
        <v>702</v>
      </c>
      <c r="CL97" s="358">
        <f t="shared" si="70"/>
        <v>1594.83</v>
      </c>
      <c r="CM97" s="157">
        <v>2137</v>
      </c>
      <c r="CN97" s="275">
        <f t="shared" si="61"/>
        <v>1400</v>
      </c>
      <c r="CO97" s="209" t="str">
        <f t="shared" si="40"/>
        <v>0</v>
      </c>
      <c r="CP97" s="235">
        <f t="shared" si="41"/>
        <v>0</v>
      </c>
      <c r="CQ97" s="209">
        <f t="shared" si="75"/>
        <v>1</v>
      </c>
      <c r="CR97" s="235">
        <f t="shared" si="43"/>
        <v>2193</v>
      </c>
      <c r="CS97" s="235">
        <f t="shared" si="76"/>
        <v>1</v>
      </c>
      <c r="CT97" s="235">
        <f t="shared" si="76"/>
        <v>2193</v>
      </c>
      <c r="CU97" s="14">
        <v>48</v>
      </c>
      <c r="CV97" s="284" t="str">
        <f t="shared" si="62"/>
        <v>0</v>
      </c>
      <c r="CW97" s="284" t="str">
        <f t="shared" si="63"/>
        <v>0</v>
      </c>
      <c r="CX97" s="243">
        <f t="shared" si="64"/>
        <v>10.69551994180263</v>
      </c>
      <c r="CY97" s="216" t="str">
        <f t="shared" si="65"/>
        <v>0</v>
      </c>
      <c r="CZ97" s="216" t="str">
        <f t="shared" si="66"/>
        <v>0</v>
      </c>
      <c r="DA97" s="243">
        <f t="shared" si="67"/>
        <v>9.7038276960267833</v>
      </c>
      <c r="DB97" s="305">
        <v>1</v>
      </c>
      <c r="DC97" s="305">
        <v>0</v>
      </c>
      <c r="DD97" s="305">
        <v>0</v>
      </c>
      <c r="DE97" s="305">
        <v>0</v>
      </c>
      <c r="DF97" s="305">
        <v>1</v>
      </c>
      <c r="DG97" s="305">
        <v>0</v>
      </c>
      <c r="DH97" s="305">
        <v>0</v>
      </c>
      <c r="DI97" s="305">
        <v>0</v>
      </c>
      <c r="DJ97" s="306">
        <v>0</v>
      </c>
      <c r="DK97" s="306">
        <v>53</v>
      </c>
      <c r="DL97" s="306">
        <f t="shared" si="45"/>
        <v>45</v>
      </c>
      <c r="DM97" s="306">
        <v>8</v>
      </c>
      <c r="DN97" s="306">
        <v>31</v>
      </c>
      <c r="DO97" s="306">
        <v>16</v>
      </c>
      <c r="DP97" s="306">
        <v>37</v>
      </c>
      <c r="DQ97" s="306">
        <v>16</v>
      </c>
      <c r="DR97" s="306">
        <v>16</v>
      </c>
      <c r="DS97" s="306">
        <v>37</v>
      </c>
      <c r="DT97" s="306">
        <v>16</v>
      </c>
      <c r="DU97" s="306">
        <v>1</v>
      </c>
      <c r="DV97" s="306">
        <v>1</v>
      </c>
      <c r="DW97" s="306">
        <v>7</v>
      </c>
      <c r="DX97" s="306">
        <v>1</v>
      </c>
      <c r="DY97" s="306">
        <v>1</v>
      </c>
      <c r="DZ97" s="306">
        <v>7</v>
      </c>
      <c r="EA97" s="306">
        <v>1</v>
      </c>
      <c r="EB97" s="306">
        <v>53</v>
      </c>
      <c r="EC97" s="306">
        <v>53</v>
      </c>
      <c r="ED97" s="342"/>
      <c r="EE97" s="342"/>
    </row>
    <row r="98" spans="1:138" x14ac:dyDescent="0.2">
      <c r="A98" s="27" t="s">
        <v>142</v>
      </c>
      <c r="B98" s="169">
        <v>92</v>
      </c>
      <c r="C98" s="12" t="s">
        <v>162</v>
      </c>
      <c r="D98" s="13">
        <v>1985</v>
      </c>
      <c r="E98" s="11"/>
      <c r="F98" s="169" t="s">
        <v>24</v>
      </c>
      <c r="G98" s="35">
        <v>1</v>
      </c>
      <c r="H98" s="45">
        <v>9</v>
      </c>
      <c r="I98" s="1" t="s">
        <v>22</v>
      </c>
      <c r="J98" s="122">
        <v>19407</v>
      </c>
      <c r="K98" s="122">
        <v>772</v>
      </c>
      <c r="L98" s="122"/>
      <c r="M98" s="122">
        <v>715</v>
      </c>
      <c r="N98" s="122">
        <v>69</v>
      </c>
      <c r="O98" s="122">
        <v>193</v>
      </c>
      <c r="P98" s="122">
        <v>69</v>
      </c>
      <c r="Q98" s="122">
        <v>160</v>
      </c>
      <c r="R98" s="180">
        <v>4437.3999999999996</v>
      </c>
      <c r="S98" s="121">
        <v>2842.5</v>
      </c>
      <c r="T98" s="122">
        <f t="shared" si="46"/>
        <v>66</v>
      </c>
      <c r="U98" s="180">
        <f t="shared" si="47"/>
        <v>4228.0999999999995</v>
      </c>
      <c r="V98" s="180">
        <f t="shared" si="47"/>
        <v>2713.52</v>
      </c>
      <c r="W98" s="122">
        <v>3</v>
      </c>
      <c r="X98" s="180">
        <v>209.3</v>
      </c>
      <c r="Y98" s="180">
        <v>128.97999999999999</v>
      </c>
      <c r="Z98" s="122"/>
      <c r="AA98" s="180"/>
      <c r="AB98" s="180"/>
      <c r="AC98" s="180">
        <f t="shared" si="48"/>
        <v>66.5</v>
      </c>
      <c r="AD98" s="179">
        <f t="shared" si="49"/>
        <v>0</v>
      </c>
      <c r="AE98" s="271"/>
      <c r="AF98" s="179"/>
      <c r="AG98" s="180">
        <v>66.5</v>
      </c>
      <c r="AH98" s="180"/>
      <c r="AI98" s="180">
        <f t="shared" si="50"/>
        <v>4503.8999999999996</v>
      </c>
      <c r="AJ98" s="122"/>
      <c r="AK98" s="122">
        <v>2</v>
      </c>
      <c r="AL98" s="122">
        <v>2</v>
      </c>
      <c r="AM98" s="122">
        <v>2</v>
      </c>
      <c r="AN98" s="122"/>
      <c r="AO98" s="122">
        <v>2</v>
      </c>
      <c r="AP98" s="122">
        <v>3568</v>
      </c>
      <c r="AQ98" s="122"/>
      <c r="AR98" s="122">
        <f>147+74+117</f>
        <v>338</v>
      </c>
      <c r="AS98" s="122">
        <v>296</v>
      </c>
      <c r="AT98" s="122">
        <v>108</v>
      </c>
      <c r="AU98" s="122">
        <f t="shared" si="38"/>
        <v>4324</v>
      </c>
      <c r="AV98" s="122">
        <v>3430</v>
      </c>
      <c r="AW98" s="122">
        <v>894</v>
      </c>
      <c r="AX98" s="122">
        <v>2480</v>
      </c>
      <c r="AY98" s="122">
        <v>174</v>
      </c>
      <c r="AZ98" s="122">
        <v>715</v>
      </c>
      <c r="BA98" s="122">
        <v>715</v>
      </c>
      <c r="BB98" s="122">
        <v>38</v>
      </c>
      <c r="BC98" s="122">
        <v>48</v>
      </c>
      <c r="BD98" s="122">
        <v>260</v>
      </c>
      <c r="BE98" s="122">
        <v>70</v>
      </c>
      <c r="BF98" s="122">
        <v>1</v>
      </c>
      <c r="BG98" s="122">
        <v>11612</v>
      </c>
      <c r="BH98" s="122">
        <v>944</v>
      </c>
      <c r="BI98" s="122">
        <v>294</v>
      </c>
      <c r="BJ98" s="115" t="str">
        <f t="shared" si="51"/>
        <v>0</v>
      </c>
      <c r="BK98" s="115" t="str">
        <f t="shared" si="52"/>
        <v>0</v>
      </c>
      <c r="BL98" s="115" t="str">
        <f t="shared" si="53"/>
        <v>0</v>
      </c>
      <c r="BM98" s="115">
        <f t="shared" si="54"/>
        <v>1</v>
      </c>
      <c r="BN98" s="115">
        <f t="shared" si="55"/>
        <v>4437.3999999999996</v>
      </c>
      <c r="BO98" s="115">
        <f t="shared" si="56"/>
        <v>2842.5</v>
      </c>
      <c r="BP98" s="115" t="str">
        <f t="shared" si="57"/>
        <v>0</v>
      </c>
      <c r="BQ98" s="115" t="str">
        <f t="shared" si="58"/>
        <v>0</v>
      </c>
      <c r="BR98" s="115" t="str">
        <f t="shared" si="59"/>
        <v>0</v>
      </c>
      <c r="BS98" s="115">
        <v>1</v>
      </c>
      <c r="BT98" s="115">
        <v>1</v>
      </c>
      <c r="BU98" s="122">
        <v>715</v>
      </c>
      <c r="BV98" s="115">
        <v>36</v>
      </c>
      <c r="BW98" s="115"/>
      <c r="BX98" s="115"/>
      <c r="BY98" s="275">
        <v>1524.1</v>
      </c>
      <c r="BZ98" s="253">
        <v>758.6</v>
      </c>
      <c r="CA98" s="354">
        <f>247.5+516.9-2.9*2</f>
        <v>758.6</v>
      </c>
      <c r="CB98" s="354">
        <f>5.9*0+2.9*2</f>
        <v>5.8</v>
      </c>
      <c r="CC98" s="354"/>
      <c r="CD98" s="354">
        <f>715*0+714.8</f>
        <v>714.8</v>
      </c>
      <c r="CE98" s="354">
        <f>11.9+23.7</f>
        <v>35.6</v>
      </c>
      <c r="CF98" s="354"/>
      <c r="CG98" s="354">
        <f>4+5.3</f>
        <v>9.3000000000000007</v>
      </c>
      <c r="CH98" s="355"/>
      <c r="CI98" s="356">
        <f t="shared" si="69"/>
        <v>1524.1</v>
      </c>
      <c r="CJ98" s="356">
        <f t="shared" si="60"/>
        <v>758.6</v>
      </c>
      <c r="CK98" s="357">
        <v>715</v>
      </c>
      <c r="CL98" s="358">
        <f t="shared" si="70"/>
        <v>2239.1</v>
      </c>
      <c r="CM98" s="157">
        <v>1731</v>
      </c>
      <c r="CN98" s="275">
        <f t="shared" si="61"/>
        <v>959</v>
      </c>
      <c r="CO98" s="209">
        <f t="shared" si="40"/>
        <v>1</v>
      </c>
      <c r="CP98" s="235">
        <f t="shared" si="41"/>
        <v>3430</v>
      </c>
      <c r="CQ98" s="209"/>
      <c r="CR98" s="235">
        <f t="shared" si="43"/>
        <v>894</v>
      </c>
      <c r="CS98" s="235">
        <f t="shared" si="76"/>
        <v>1</v>
      </c>
      <c r="CT98" s="235">
        <f t="shared" si="76"/>
        <v>4324</v>
      </c>
      <c r="CU98" s="14">
        <v>43</v>
      </c>
      <c r="CV98" s="284" t="str">
        <f t="shared" si="62"/>
        <v>0</v>
      </c>
      <c r="CW98" s="284" t="str">
        <f t="shared" si="63"/>
        <v>0</v>
      </c>
      <c r="CX98" s="243">
        <f t="shared" si="64"/>
        <v>4.7167260107270028</v>
      </c>
      <c r="CY98" s="216" t="str">
        <f t="shared" si="65"/>
        <v>0</v>
      </c>
      <c r="CZ98" s="216" t="str">
        <f t="shared" si="66"/>
        <v>0</v>
      </c>
      <c r="DA98" s="243">
        <f t="shared" si="67"/>
        <v>4.647083638624304</v>
      </c>
      <c r="DB98" s="305">
        <v>1</v>
      </c>
      <c r="DC98" s="305">
        <v>0</v>
      </c>
      <c r="DD98" s="305">
        <v>0</v>
      </c>
      <c r="DE98" s="305">
        <v>0</v>
      </c>
      <c r="DF98" s="305">
        <v>2</v>
      </c>
      <c r="DG98" s="305">
        <v>0</v>
      </c>
      <c r="DH98" s="305">
        <v>0</v>
      </c>
      <c r="DI98" s="305">
        <v>0</v>
      </c>
      <c r="DJ98" s="306">
        <v>0</v>
      </c>
      <c r="DK98" s="306">
        <v>70</v>
      </c>
      <c r="DL98" s="306">
        <f t="shared" si="45"/>
        <v>66</v>
      </c>
      <c r="DM98" s="306">
        <v>4</v>
      </c>
      <c r="DN98" s="306">
        <v>53</v>
      </c>
      <c r="DO98" s="306">
        <v>43</v>
      </c>
      <c r="DP98" s="306">
        <v>33</v>
      </c>
      <c r="DQ98" s="306">
        <v>55</v>
      </c>
      <c r="DR98" s="306">
        <v>44</v>
      </c>
      <c r="DS98" s="306">
        <v>32</v>
      </c>
      <c r="DT98" s="306">
        <v>56</v>
      </c>
      <c r="DU98" s="306">
        <v>2</v>
      </c>
      <c r="DV98" s="306">
        <v>1</v>
      </c>
      <c r="DW98" s="306">
        <v>4</v>
      </c>
      <c r="DX98" s="306">
        <v>2</v>
      </c>
      <c r="DY98" s="306">
        <v>1</v>
      </c>
      <c r="DZ98" s="306">
        <v>4</v>
      </c>
      <c r="EA98" s="306">
        <v>2</v>
      </c>
      <c r="EB98" s="306">
        <v>70</v>
      </c>
      <c r="EC98" s="306">
        <v>70</v>
      </c>
      <c r="ED98" s="342"/>
      <c r="EE98" s="342"/>
    </row>
    <row r="99" spans="1:138" x14ac:dyDescent="0.2">
      <c r="A99" s="12" t="s">
        <v>142</v>
      </c>
      <c r="B99" s="169">
        <v>93</v>
      </c>
      <c r="C99" s="12" t="s">
        <v>163</v>
      </c>
      <c r="D99" s="13">
        <v>1971</v>
      </c>
      <c r="E99" s="11"/>
      <c r="F99" s="169" t="s">
        <v>20</v>
      </c>
      <c r="G99" s="35">
        <v>1</v>
      </c>
      <c r="H99" s="45">
        <v>5</v>
      </c>
      <c r="I99" s="1" t="s">
        <v>22</v>
      </c>
      <c r="J99" s="122">
        <v>12245</v>
      </c>
      <c r="K99" s="122">
        <v>911</v>
      </c>
      <c r="L99" s="122">
        <v>1060</v>
      </c>
      <c r="M99" s="122"/>
      <c r="N99" s="122">
        <v>79</v>
      </c>
      <c r="O99" s="122">
        <v>157</v>
      </c>
      <c r="P99" s="122">
        <v>80</v>
      </c>
      <c r="Q99" s="122">
        <v>117</v>
      </c>
      <c r="R99" s="180">
        <v>3470.04</v>
      </c>
      <c r="S99" s="121">
        <v>2386.64</v>
      </c>
      <c r="T99" s="122">
        <f t="shared" si="46"/>
        <v>73</v>
      </c>
      <c r="U99" s="180">
        <f t="shared" si="47"/>
        <v>3230.61</v>
      </c>
      <c r="V99" s="180">
        <f t="shared" si="47"/>
        <v>2241.25</v>
      </c>
      <c r="W99" s="122">
        <v>6</v>
      </c>
      <c r="X99" s="180">
        <v>239.43</v>
      </c>
      <c r="Y99" s="180">
        <v>145.38999999999999</v>
      </c>
      <c r="Z99" s="122"/>
      <c r="AA99" s="180"/>
      <c r="AB99" s="180"/>
      <c r="AC99" s="180">
        <f t="shared" si="48"/>
        <v>58.2</v>
      </c>
      <c r="AD99" s="179">
        <f t="shared" si="49"/>
        <v>0</v>
      </c>
      <c r="AE99" s="271"/>
      <c r="AF99" s="179"/>
      <c r="AG99" s="180">
        <v>58.2</v>
      </c>
      <c r="AH99" s="180"/>
      <c r="AI99" s="180">
        <f t="shared" si="50"/>
        <v>3528.24</v>
      </c>
      <c r="AJ99" s="122"/>
      <c r="AK99" s="122"/>
      <c r="AL99" s="122">
        <v>4</v>
      </c>
      <c r="AM99" s="122"/>
      <c r="AN99" s="122">
        <v>1</v>
      </c>
      <c r="AO99" s="122">
        <v>1</v>
      </c>
      <c r="AP99" s="122">
        <v>2352</v>
      </c>
      <c r="AQ99" s="122"/>
      <c r="AR99" s="122">
        <f>196+98+171</f>
        <v>465</v>
      </c>
      <c r="AS99" s="122">
        <v>241</v>
      </c>
      <c r="AT99" s="122">
        <v>51</v>
      </c>
      <c r="AU99" s="122">
        <f t="shared" si="38"/>
        <v>2923</v>
      </c>
      <c r="AV99" s="122"/>
      <c r="AW99" s="122">
        <v>2923</v>
      </c>
      <c r="AX99" s="122">
        <v>1850</v>
      </c>
      <c r="AY99" s="122">
        <v>135</v>
      </c>
      <c r="AZ99" s="122">
        <v>887</v>
      </c>
      <c r="BA99" s="122">
        <v>887</v>
      </c>
      <c r="BB99" s="122">
        <v>20</v>
      </c>
      <c r="BC99" s="122">
        <v>13</v>
      </c>
      <c r="BD99" s="122">
        <v>240</v>
      </c>
      <c r="BE99" s="122">
        <v>80</v>
      </c>
      <c r="BF99" s="122">
        <v>1</v>
      </c>
      <c r="BG99" s="122">
        <v>15032</v>
      </c>
      <c r="BH99" s="122">
        <v>292</v>
      </c>
      <c r="BI99" s="122"/>
      <c r="BJ99" s="115" t="str">
        <f t="shared" si="51"/>
        <v>0</v>
      </c>
      <c r="BK99" s="115" t="str">
        <f t="shared" si="52"/>
        <v>0</v>
      </c>
      <c r="BL99" s="115" t="str">
        <f t="shared" si="53"/>
        <v>0</v>
      </c>
      <c r="BM99" s="115">
        <f t="shared" si="54"/>
        <v>1</v>
      </c>
      <c r="BN99" s="115">
        <f t="shared" si="55"/>
        <v>3470.04</v>
      </c>
      <c r="BO99" s="115">
        <f t="shared" si="56"/>
        <v>2386.64</v>
      </c>
      <c r="BP99" s="115" t="str">
        <f t="shared" si="57"/>
        <v>0</v>
      </c>
      <c r="BQ99" s="115" t="str">
        <f t="shared" si="58"/>
        <v>0</v>
      </c>
      <c r="BR99" s="115" t="str">
        <f t="shared" si="59"/>
        <v>0</v>
      </c>
      <c r="BS99" s="115"/>
      <c r="BT99" s="115">
        <v>4</v>
      </c>
      <c r="BU99" s="122"/>
      <c r="BV99" s="115"/>
      <c r="BW99" s="115"/>
      <c r="BX99" s="115"/>
      <c r="BY99" s="275">
        <v>1158.9099999999999</v>
      </c>
      <c r="BZ99" s="253">
        <v>271.61</v>
      </c>
      <c r="CA99" s="354">
        <v>271.61</v>
      </c>
      <c r="CB99" s="354"/>
      <c r="CC99" s="354"/>
      <c r="CD99" s="354">
        <v>887.3</v>
      </c>
      <c r="CE99" s="354"/>
      <c r="CF99" s="354"/>
      <c r="CG99" s="354"/>
      <c r="CH99" s="355"/>
      <c r="CI99" s="356">
        <f t="shared" si="69"/>
        <v>1158.9099999999999</v>
      </c>
      <c r="CJ99" s="356">
        <f t="shared" si="60"/>
        <v>271.61</v>
      </c>
      <c r="CK99" s="357">
        <v>887</v>
      </c>
      <c r="CL99" s="358">
        <f t="shared" si="70"/>
        <v>2045.9099999999999</v>
      </c>
      <c r="CM99" s="157">
        <v>2440</v>
      </c>
      <c r="CN99" s="275">
        <f t="shared" si="61"/>
        <v>1529</v>
      </c>
      <c r="CO99" s="209" t="str">
        <f t="shared" si="40"/>
        <v>0</v>
      </c>
      <c r="CP99" s="235">
        <f t="shared" si="41"/>
        <v>0</v>
      </c>
      <c r="CQ99" s="209">
        <f t="shared" ref="CQ99:CQ119" si="77">IF(CR99&gt;0,G99,"0")</f>
        <v>1</v>
      </c>
      <c r="CR99" s="235">
        <f t="shared" si="43"/>
        <v>2923</v>
      </c>
      <c r="CS99" s="235">
        <f t="shared" si="76"/>
        <v>1</v>
      </c>
      <c r="CT99" s="235">
        <f t="shared" si="76"/>
        <v>2923</v>
      </c>
      <c r="CU99" s="14">
        <v>50</v>
      </c>
      <c r="CV99" s="284" t="str">
        <f t="shared" si="62"/>
        <v>0</v>
      </c>
      <c r="CW99" s="284" t="str">
        <f t="shared" si="63"/>
        <v>0</v>
      </c>
      <c r="CX99" s="243">
        <f t="shared" si="64"/>
        <v>6.8999204620119663</v>
      </c>
      <c r="CY99" s="216" t="str">
        <f t="shared" si="65"/>
        <v>0</v>
      </c>
      <c r="CZ99" s="216" t="str">
        <f t="shared" si="66"/>
        <v>0</v>
      </c>
      <c r="DA99" s="243">
        <f t="shared" si="67"/>
        <v>6.7861029861914171</v>
      </c>
      <c r="DB99" s="305">
        <v>1</v>
      </c>
      <c r="DC99" s="305">
        <v>0</v>
      </c>
      <c r="DD99" s="305">
        <v>0</v>
      </c>
      <c r="DE99" s="305">
        <v>0</v>
      </c>
      <c r="DF99" s="305">
        <v>1</v>
      </c>
      <c r="DG99" s="305">
        <v>0</v>
      </c>
      <c r="DH99" s="305">
        <v>0</v>
      </c>
      <c r="DI99" s="305">
        <v>0</v>
      </c>
      <c r="DJ99" s="306">
        <v>0</v>
      </c>
      <c r="DK99" s="306">
        <v>79</v>
      </c>
      <c r="DL99" s="306">
        <f t="shared" si="45"/>
        <v>70</v>
      </c>
      <c r="DM99" s="306">
        <v>9</v>
      </c>
      <c r="DN99" s="306">
        <v>47</v>
      </c>
      <c r="DO99" s="306">
        <v>32</v>
      </c>
      <c r="DP99" s="306">
        <v>47</v>
      </c>
      <c r="DQ99" s="306">
        <v>32</v>
      </c>
      <c r="DR99" s="306">
        <v>32</v>
      </c>
      <c r="DS99" s="306">
        <v>47</v>
      </c>
      <c r="DT99" s="306">
        <v>32</v>
      </c>
      <c r="DU99" s="306">
        <v>5</v>
      </c>
      <c r="DV99" s="306">
        <v>5</v>
      </c>
      <c r="DW99" s="306">
        <v>4</v>
      </c>
      <c r="DX99" s="306">
        <v>5</v>
      </c>
      <c r="DY99" s="306">
        <v>5</v>
      </c>
      <c r="DZ99" s="306">
        <v>4</v>
      </c>
      <c r="EA99" s="306">
        <v>5</v>
      </c>
      <c r="EB99" s="306">
        <v>79</v>
      </c>
      <c r="EC99" s="306">
        <v>79</v>
      </c>
      <c r="ED99" s="342"/>
      <c r="EE99" s="342"/>
    </row>
    <row r="100" spans="1:138" x14ac:dyDescent="0.2">
      <c r="A100" s="12" t="s">
        <v>142</v>
      </c>
      <c r="B100" s="169">
        <v>94</v>
      </c>
      <c r="C100" s="12" t="s">
        <v>174</v>
      </c>
      <c r="D100" s="13">
        <v>1971</v>
      </c>
      <c r="E100" s="11"/>
      <c r="F100" s="169" t="s">
        <v>20</v>
      </c>
      <c r="G100" s="35">
        <v>1</v>
      </c>
      <c r="H100" s="45">
        <v>5</v>
      </c>
      <c r="I100" s="1" t="s">
        <v>22</v>
      </c>
      <c r="J100" s="122">
        <v>8980</v>
      </c>
      <c r="K100" s="122">
        <v>674</v>
      </c>
      <c r="L100" s="122">
        <v>782</v>
      </c>
      <c r="M100" s="122"/>
      <c r="N100" s="122">
        <f>58-1</f>
        <v>57</v>
      </c>
      <c r="O100" s="122">
        <f>111-1</f>
        <v>110</v>
      </c>
      <c r="P100" s="122">
        <v>58</v>
      </c>
      <c r="Q100" s="122">
        <v>107</v>
      </c>
      <c r="R100" s="180">
        <f>2487.54-30.04</f>
        <v>2457.5</v>
      </c>
      <c r="S100" s="121">
        <v>1671.37</v>
      </c>
      <c r="T100" s="122">
        <f t="shared" si="46"/>
        <v>50</v>
      </c>
      <c r="U100" s="180">
        <f t="shared" si="47"/>
        <v>2133.5299999999997</v>
      </c>
      <c r="V100" s="180">
        <f t="shared" si="47"/>
        <v>1449.36</v>
      </c>
      <c r="W100" s="122">
        <v>7</v>
      </c>
      <c r="X100" s="180">
        <v>323.97000000000003</v>
      </c>
      <c r="Y100" s="180">
        <v>222.01</v>
      </c>
      <c r="Z100" s="122"/>
      <c r="AA100" s="180"/>
      <c r="AB100" s="180"/>
      <c r="AC100" s="180">
        <f t="shared" si="48"/>
        <v>72.900000000000006</v>
      </c>
      <c r="AD100" s="179">
        <f t="shared" si="49"/>
        <v>0</v>
      </c>
      <c r="AE100" s="271"/>
      <c r="AF100" s="179"/>
      <c r="AG100" s="180">
        <f>42.3+30.6</f>
        <v>72.900000000000006</v>
      </c>
      <c r="AH100" s="180"/>
      <c r="AI100" s="180">
        <f t="shared" si="50"/>
        <v>2530.4</v>
      </c>
      <c r="AJ100" s="122"/>
      <c r="AK100" s="122"/>
      <c r="AL100" s="122">
        <v>3</v>
      </c>
      <c r="AM100" s="122"/>
      <c r="AN100" s="122"/>
      <c r="AO100" s="122">
        <v>1</v>
      </c>
      <c r="AP100" s="122">
        <v>1818</v>
      </c>
      <c r="AQ100" s="122"/>
      <c r="AR100" s="122">
        <f>78+39+114</f>
        <v>231</v>
      </c>
      <c r="AS100" s="122">
        <v>132</v>
      </c>
      <c r="AT100" s="122">
        <v>38</v>
      </c>
      <c r="AU100" s="122">
        <f t="shared" si="38"/>
        <v>2193</v>
      </c>
      <c r="AV100" s="122"/>
      <c r="AW100" s="122">
        <v>2193</v>
      </c>
      <c r="AX100" s="122">
        <v>1425</v>
      </c>
      <c r="AY100" s="122">
        <v>105</v>
      </c>
      <c r="AZ100" s="122">
        <v>651</v>
      </c>
      <c r="BA100" s="122">
        <v>651</v>
      </c>
      <c r="BB100" s="122">
        <v>15</v>
      </c>
      <c r="BC100" s="122">
        <v>10</v>
      </c>
      <c r="BD100" s="122">
        <v>168</v>
      </c>
      <c r="BE100" s="122">
        <v>59</v>
      </c>
      <c r="BF100" s="122">
        <v>1</v>
      </c>
      <c r="BG100" s="122">
        <v>11274</v>
      </c>
      <c r="BH100" s="122">
        <v>219</v>
      </c>
      <c r="BI100" s="122"/>
      <c r="BJ100" s="115" t="str">
        <f t="shared" si="51"/>
        <v>0</v>
      </c>
      <c r="BK100" s="115" t="str">
        <f t="shared" si="52"/>
        <v>0</v>
      </c>
      <c r="BL100" s="115" t="str">
        <f t="shared" si="53"/>
        <v>0</v>
      </c>
      <c r="BM100" s="115">
        <f t="shared" si="54"/>
        <v>1</v>
      </c>
      <c r="BN100" s="115">
        <f t="shared" si="55"/>
        <v>2457.5</v>
      </c>
      <c r="BO100" s="115">
        <f t="shared" si="56"/>
        <v>1671.37</v>
      </c>
      <c r="BP100" s="115" t="str">
        <f t="shared" si="57"/>
        <v>0</v>
      </c>
      <c r="BQ100" s="115" t="str">
        <f t="shared" si="58"/>
        <v>0</v>
      </c>
      <c r="BR100" s="115" t="str">
        <f t="shared" si="59"/>
        <v>0</v>
      </c>
      <c r="BS100" s="115"/>
      <c r="BT100" s="115"/>
      <c r="BU100" s="122"/>
      <c r="BV100" s="115"/>
      <c r="BW100" s="115"/>
      <c r="BX100" s="115"/>
      <c r="BY100" s="275">
        <v>895.54</v>
      </c>
      <c r="BZ100" s="253">
        <v>203.02</v>
      </c>
      <c r="CA100" s="354">
        <v>203.02</v>
      </c>
      <c r="CB100" s="354"/>
      <c r="CC100" s="354"/>
      <c r="CD100" s="354">
        <v>650.74</v>
      </c>
      <c r="CE100" s="354">
        <v>10</v>
      </c>
      <c r="CF100" s="354"/>
      <c r="CG100" s="354"/>
      <c r="CH100" s="355">
        <v>31.78</v>
      </c>
      <c r="CI100" s="356">
        <f t="shared" si="69"/>
        <v>895.54</v>
      </c>
      <c r="CJ100" s="356">
        <f t="shared" si="60"/>
        <v>203.02</v>
      </c>
      <c r="CK100" s="357">
        <v>651</v>
      </c>
      <c r="CL100" s="358">
        <f t="shared" si="70"/>
        <v>1546.54</v>
      </c>
      <c r="CM100" s="157">
        <v>1893</v>
      </c>
      <c r="CN100" s="275">
        <f t="shared" si="61"/>
        <v>1219</v>
      </c>
      <c r="CO100" s="209" t="str">
        <f t="shared" si="40"/>
        <v>0</v>
      </c>
      <c r="CP100" s="235">
        <f t="shared" si="41"/>
        <v>0</v>
      </c>
      <c r="CQ100" s="209">
        <f t="shared" si="77"/>
        <v>1</v>
      </c>
      <c r="CR100" s="235">
        <f t="shared" si="43"/>
        <v>2193</v>
      </c>
      <c r="CS100" s="235">
        <f t="shared" si="76"/>
        <v>1</v>
      </c>
      <c r="CT100" s="235">
        <f t="shared" si="76"/>
        <v>2193</v>
      </c>
      <c r="CU100" s="14">
        <v>53</v>
      </c>
      <c r="CV100" s="284" t="str">
        <f t="shared" si="62"/>
        <v>0</v>
      </c>
      <c r="CW100" s="284" t="str">
        <f t="shared" si="63"/>
        <v>0</v>
      </c>
      <c r="CX100" s="243">
        <f t="shared" si="64"/>
        <v>13.182909460834184</v>
      </c>
      <c r="CY100" s="216" t="str">
        <f t="shared" si="65"/>
        <v>0</v>
      </c>
      <c r="CZ100" s="216" t="str">
        <f t="shared" si="66"/>
        <v>0</v>
      </c>
      <c r="DA100" s="243">
        <f t="shared" si="67"/>
        <v>12.80311413215302</v>
      </c>
      <c r="DB100" s="305">
        <v>1</v>
      </c>
      <c r="DC100" s="305">
        <v>0</v>
      </c>
      <c r="DD100" s="305">
        <v>0</v>
      </c>
      <c r="DE100" s="305">
        <v>0</v>
      </c>
      <c r="DF100" s="305">
        <v>1</v>
      </c>
      <c r="DG100" s="305">
        <v>0</v>
      </c>
      <c r="DH100" s="305">
        <v>0</v>
      </c>
      <c r="DI100" s="305">
        <v>0</v>
      </c>
      <c r="DJ100" s="306">
        <v>0</v>
      </c>
      <c r="DK100" s="306">
        <v>58</v>
      </c>
      <c r="DL100" s="306">
        <f t="shared" si="45"/>
        <v>50</v>
      </c>
      <c r="DM100" s="306">
        <v>8</v>
      </c>
      <c r="DN100" s="306">
        <v>30</v>
      </c>
      <c r="DO100" s="306">
        <v>27</v>
      </c>
      <c r="DP100" s="306">
        <v>31</v>
      </c>
      <c r="DQ100" s="306">
        <v>27</v>
      </c>
      <c r="DR100" s="306">
        <v>27</v>
      </c>
      <c r="DS100" s="306">
        <v>31</v>
      </c>
      <c r="DT100" s="306">
        <v>27</v>
      </c>
      <c r="DU100" s="306">
        <v>5</v>
      </c>
      <c r="DV100" s="306">
        <v>0</v>
      </c>
      <c r="DW100" s="306">
        <v>7</v>
      </c>
      <c r="DX100" s="306">
        <v>0</v>
      </c>
      <c r="DY100" s="306">
        <v>0</v>
      </c>
      <c r="DZ100" s="306">
        <v>7</v>
      </c>
      <c r="EA100" s="306">
        <v>0</v>
      </c>
      <c r="EB100" s="306">
        <v>58</v>
      </c>
      <c r="EC100" s="306">
        <v>58</v>
      </c>
      <c r="ED100" s="342"/>
      <c r="EE100" s="342"/>
    </row>
    <row r="101" spans="1:138" x14ac:dyDescent="0.2">
      <c r="A101" s="27" t="s">
        <v>142</v>
      </c>
      <c r="B101" s="169">
        <v>95</v>
      </c>
      <c r="C101" s="12" t="s">
        <v>175</v>
      </c>
      <c r="D101" s="13">
        <v>1971</v>
      </c>
      <c r="E101" s="11"/>
      <c r="F101" s="169" t="s">
        <v>20</v>
      </c>
      <c r="G101" s="35">
        <v>1</v>
      </c>
      <c r="H101" s="45">
        <v>5</v>
      </c>
      <c r="I101" s="1" t="s">
        <v>22</v>
      </c>
      <c r="J101" s="122">
        <v>12223</v>
      </c>
      <c r="K101" s="122">
        <v>915</v>
      </c>
      <c r="L101" s="122">
        <v>1058</v>
      </c>
      <c r="M101" s="122"/>
      <c r="N101" s="122">
        <v>80</v>
      </c>
      <c r="O101" s="122">
        <v>160</v>
      </c>
      <c r="P101" s="122">
        <v>80</v>
      </c>
      <c r="Q101" s="122">
        <v>129</v>
      </c>
      <c r="R101" s="180">
        <f>3533.33+0.03-0.01+0.02</f>
        <v>3533.37</v>
      </c>
      <c r="S101" s="121">
        <v>2432</v>
      </c>
      <c r="T101" s="122">
        <f t="shared" si="46"/>
        <v>69</v>
      </c>
      <c r="U101" s="180">
        <f t="shared" si="47"/>
        <v>3011.83</v>
      </c>
      <c r="V101" s="180">
        <f t="shared" si="47"/>
        <v>2066.92</v>
      </c>
      <c r="W101" s="122">
        <v>11</v>
      </c>
      <c r="X101" s="180">
        <v>521.54</v>
      </c>
      <c r="Y101" s="180">
        <v>365.08</v>
      </c>
      <c r="Z101" s="122"/>
      <c r="AA101" s="180"/>
      <c r="AB101" s="180"/>
      <c r="AC101" s="180">
        <f t="shared" si="48"/>
        <v>0</v>
      </c>
      <c r="AD101" s="179">
        <f t="shared" si="49"/>
        <v>0</v>
      </c>
      <c r="AE101" s="271"/>
      <c r="AF101" s="179"/>
      <c r="AG101" s="180"/>
      <c r="AH101" s="180"/>
      <c r="AI101" s="180">
        <f t="shared" si="50"/>
        <v>3533.37</v>
      </c>
      <c r="AJ101" s="122"/>
      <c r="AK101" s="122"/>
      <c r="AL101" s="122">
        <v>4</v>
      </c>
      <c r="AM101" s="122"/>
      <c r="AN101" s="122"/>
      <c r="AO101" s="122">
        <v>1</v>
      </c>
      <c r="AP101" s="122">
        <v>2352</v>
      </c>
      <c r="AQ101" s="122"/>
      <c r="AR101" s="122">
        <f>70+35+152</f>
        <v>257</v>
      </c>
      <c r="AS101" s="122">
        <v>260</v>
      </c>
      <c r="AT101" s="122">
        <v>51</v>
      </c>
      <c r="AU101" s="122">
        <f t="shared" si="38"/>
        <v>2937</v>
      </c>
      <c r="AV101" s="122"/>
      <c r="AW101" s="122">
        <v>2937</v>
      </c>
      <c r="AX101" s="122">
        <v>1850</v>
      </c>
      <c r="AY101" s="122">
        <v>135</v>
      </c>
      <c r="AZ101" s="122">
        <v>885</v>
      </c>
      <c r="BA101" s="122">
        <v>885</v>
      </c>
      <c r="BB101" s="122">
        <v>20</v>
      </c>
      <c r="BC101" s="122">
        <v>13</v>
      </c>
      <c r="BD101" s="122">
        <v>240</v>
      </c>
      <c r="BE101" s="122">
        <v>80</v>
      </c>
      <c r="BF101" s="122">
        <v>1</v>
      </c>
      <c r="BG101" s="122">
        <v>15032</v>
      </c>
      <c r="BH101" s="122">
        <v>292</v>
      </c>
      <c r="BI101" s="122"/>
      <c r="BJ101" s="115" t="str">
        <f t="shared" si="51"/>
        <v>0</v>
      </c>
      <c r="BK101" s="115" t="str">
        <f t="shared" si="52"/>
        <v>0</v>
      </c>
      <c r="BL101" s="115" t="str">
        <f t="shared" si="53"/>
        <v>0</v>
      </c>
      <c r="BM101" s="115">
        <f t="shared" si="54"/>
        <v>1</v>
      </c>
      <c r="BN101" s="115">
        <f t="shared" si="55"/>
        <v>3533.37</v>
      </c>
      <c r="BO101" s="115">
        <f t="shared" si="56"/>
        <v>2432</v>
      </c>
      <c r="BP101" s="115" t="str">
        <f t="shared" si="57"/>
        <v>0</v>
      </c>
      <c r="BQ101" s="115" t="str">
        <f t="shared" si="58"/>
        <v>0</v>
      </c>
      <c r="BR101" s="115" t="str">
        <f t="shared" si="59"/>
        <v>0</v>
      </c>
      <c r="BS101" s="115"/>
      <c r="BT101" s="115"/>
      <c r="BU101" s="122">
        <v>885</v>
      </c>
      <c r="BV101" s="115">
        <v>194</v>
      </c>
      <c r="BW101" s="115"/>
      <c r="BX101" s="115"/>
      <c r="BY101" s="275">
        <v>1156.8499999999999</v>
      </c>
      <c r="BZ101" s="253">
        <v>271.13</v>
      </c>
      <c r="CA101" s="354">
        <v>271.13</v>
      </c>
      <c r="CB101" s="354"/>
      <c r="CC101" s="354"/>
      <c r="CD101" s="354">
        <v>885.72</v>
      </c>
      <c r="CE101" s="354"/>
      <c r="CF101" s="354"/>
      <c r="CG101" s="354"/>
      <c r="CH101" s="355"/>
      <c r="CI101" s="356">
        <f t="shared" si="69"/>
        <v>1156.8499999999999</v>
      </c>
      <c r="CJ101" s="356">
        <f t="shared" si="60"/>
        <v>271.13</v>
      </c>
      <c r="CK101" s="357">
        <v>885</v>
      </c>
      <c r="CL101" s="358">
        <f t="shared" si="70"/>
        <v>2041.85</v>
      </c>
      <c r="CM101" s="157">
        <v>2703</v>
      </c>
      <c r="CN101" s="275">
        <f t="shared" si="61"/>
        <v>1788</v>
      </c>
      <c r="CO101" s="209" t="str">
        <f t="shared" si="40"/>
        <v>0</v>
      </c>
      <c r="CP101" s="235">
        <f t="shared" si="41"/>
        <v>0</v>
      </c>
      <c r="CQ101" s="209">
        <f t="shared" si="77"/>
        <v>1</v>
      </c>
      <c r="CR101" s="235">
        <f t="shared" si="43"/>
        <v>2937</v>
      </c>
      <c r="CS101" s="235">
        <f t="shared" si="76"/>
        <v>1</v>
      </c>
      <c r="CT101" s="235">
        <f t="shared" si="76"/>
        <v>2937</v>
      </c>
      <c r="CU101" s="14">
        <v>53</v>
      </c>
      <c r="CV101" s="284" t="str">
        <f t="shared" si="62"/>
        <v>0</v>
      </c>
      <c r="CW101" s="284" t="str">
        <f t="shared" si="63"/>
        <v>0</v>
      </c>
      <c r="CX101" s="243">
        <f t="shared" si="64"/>
        <v>14.760412863640093</v>
      </c>
      <c r="CY101" s="216" t="str">
        <f t="shared" si="65"/>
        <v>0</v>
      </c>
      <c r="CZ101" s="216" t="str">
        <f t="shared" si="66"/>
        <v>0</v>
      </c>
      <c r="DA101" s="243">
        <f t="shared" si="67"/>
        <v>14.760412863640093</v>
      </c>
      <c r="DB101" s="305">
        <v>1</v>
      </c>
      <c r="DC101" s="305">
        <v>0</v>
      </c>
      <c r="DD101" s="305">
        <v>0</v>
      </c>
      <c r="DE101" s="305">
        <v>0</v>
      </c>
      <c r="DF101" s="305">
        <v>1</v>
      </c>
      <c r="DG101" s="305">
        <v>0</v>
      </c>
      <c r="DH101" s="305">
        <v>0</v>
      </c>
      <c r="DI101" s="305">
        <v>0</v>
      </c>
      <c r="DJ101" s="306">
        <v>0</v>
      </c>
      <c r="DK101" s="306">
        <v>80</v>
      </c>
      <c r="DL101" s="306">
        <f t="shared" si="45"/>
        <v>66</v>
      </c>
      <c r="DM101" s="306">
        <v>14</v>
      </c>
      <c r="DN101" s="306">
        <v>47</v>
      </c>
      <c r="DO101" s="306">
        <v>34</v>
      </c>
      <c r="DP101" s="306">
        <v>46</v>
      </c>
      <c r="DQ101" s="306">
        <v>34</v>
      </c>
      <c r="DR101" s="306">
        <v>33</v>
      </c>
      <c r="DS101" s="306">
        <v>47</v>
      </c>
      <c r="DT101" s="306">
        <v>33</v>
      </c>
      <c r="DU101" s="306">
        <v>4</v>
      </c>
      <c r="DV101" s="306">
        <v>2</v>
      </c>
      <c r="DW101" s="306">
        <v>13</v>
      </c>
      <c r="DX101" s="306">
        <v>2</v>
      </c>
      <c r="DY101" s="306">
        <v>2</v>
      </c>
      <c r="DZ101" s="306">
        <v>13</v>
      </c>
      <c r="EA101" s="306">
        <v>2</v>
      </c>
      <c r="EB101" s="306">
        <v>80</v>
      </c>
      <c r="EC101" s="306">
        <v>80</v>
      </c>
      <c r="ED101" s="342"/>
      <c r="EE101" s="342"/>
    </row>
    <row r="102" spans="1:138" x14ac:dyDescent="0.2">
      <c r="A102" s="27" t="s">
        <v>142</v>
      </c>
      <c r="B102" s="169">
        <v>96</v>
      </c>
      <c r="C102" s="12" t="s">
        <v>176</v>
      </c>
      <c r="D102" s="13">
        <v>1971</v>
      </c>
      <c r="E102" s="11"/>
      <c r="F102" s="169" t="s">
        <v>20</v>
      </c>
      <c r="G102" s="35">
        <v>1</v>
      </c>
      <c r="H102" s="45">
        <v>5</v>
      </c>
      <c r="I102" s="1" t="s">
        <v>22</v>
      </c>
      <c r="J102" s="122">
        <v>5704</v>
      </c>
      <c r="K102" s="122">
        <v>423</v>
      </c>
      <c r="L102" s="122">
        <v>503</v>
      </c>
      <c r="M102" s="122"/>
      <c r="N102" s="122">
        <v>40</v>
      </c>
      <c r="O102" s="122">
        <v>70</v>
      </c>
      <c r="P102" s="122">
        <v>40</v>
      </c>
      <c r="Q102" s="122">
        <v>70</v>
      </c>
      <c r="R102" s="180">
        <v>1605.22</v>
      </c>
      <c r="S102" s="121">
        <v>1064.78</v>
      </c>
      <c r="T102" s="122">
        <f t="shared" si="46"/>
        <v>36</v>
      </c>
      <c r="U102" s="180">
        <f t="shared" si="47"/>
        <v>1443.38</v>
      </c>
      <c r="V102" s="180">
        <f t="shared" si="47"/>
        <v>954.59999999999991</v>
      </c>
      <c r="W102" s="122">
        <v>4</v>
      </c>
      <c r="X102" s="180">
        <v>161.84</v>
      </c>
      <c r="Y102" s="180">
        <v>110.18</v>
      </c>
      <c r="Z102" s="122"/>
      <c r="AA102" s="180"/>
      <c r="AB102" s="180"/>
      <c r="AC102" s="180">
        <f t="shared" si="48"/>
        <v>0</v>
      </c>
      <c r="AD102" s="179">
        <f t="shared" si="49"/>
        <v>0</v>
      </c>
      <c r="AE102" s="271"/>
      <c r="AF102" s="179"/>
      <c r="AG102" s="180"/>
      <c r="AH102" s="180"/>
      <c r="AI102" s="180">
        <f t="shared" si="50"/>
        <v>1605.22</v>
      </c>
      <c r="AJ102" s="122"/>
      <c r="AK102" s="122"/>
      <c r="AL102" s="122">
        <v>2</v>
      </c>
      <c r="AM102" s="122"/>
      <c r="AN102" s="122"/>
      <c r="AO102" s="122">
        <v>1</v>
      </c>
      <c r="AP102" s="122">
        <v>1279</v>
      </c>
      <c r="AQ102" s="122"/>
      <c r="AR102" s="122">
        <f>150+75+90</f>
        <v>315</v>
      </c>
      <c r="AS102" s="122">
        <v>95</v>
      </c>
      <c r="AT102" s="122">
        <v>26</v>
      </c>
      <c r="AU102" s="122">
        <f t="shared" si="38"/>
        <v>1462</v>
      </c>
      <c r="AV102" s="122"/>
      <c r="AW102" s="122">
        <v>1462</v>
      </c>
      <c r="AX102" s="122">
        <v>1178</v>
      </c>
      <c r="AY102" s="122">
        <v>65</v>
      </c>
      <c r="AZ102" s="122">
        <v>413</v>
      </c>
      <c r="BA102" s="122">
        <v>413</v>
      </c>
      <c r="BB102" s="122">
        <v>10</v>
      </c>
      <c r="BC102" s="122">
        <v>7</v>
      </c>
      <c r="BD102" s="122">
        <v>118</v>
      </c>
      <c r="BE102" s="122">
        <v>40</v>
      </c>
      <c r="BF102" s="122">
        <v>1</v>
      </c>
      <c r="BG102" s="122">
        <v>7516</v>
      </c>
      <c r="BH102" s="122">
        <v>146</v>
      </c>
      <c r="BI102" s="122"/>
      <c r="BJ102" s="115" t="str">
        <f t="shared" si="51"/>
        <v>0</v>
      </c>
      <c r="BK102" s="115" t="str">
        <f t="shared" si="52"/>
        <v>0</v>
      </c>
      <c r="BL102" s="115" t="str">
        <f t="shared" si="53"/>
        <v>0</v>
      </c>
      <c r="BM102" s="115">
        <f t="shared" si="54"/>
        <v>1</v>
      </c>
      <c r="BN102" s="115">
        <f t="shared" si="55"/>
        <v>1605.22</v>
      </c>
      <c r="BO102" s="115">
        <f t="shared" si="56"/>
        <v>1064.78</v>
      </c>
      <c r="BP102" s="115" t="str">
        <f t="shared" si="57"/>
        <v>0</v>
      </c>
      <c r="BQ102" s="115" t="str">
        <f t="shared" si="58"/>
        <v>0</v>
      </c>
      <c r="BR102" s="115" t="str">
        <f t="shared" si="59"/>
        <v>0</v>
      </c>
      <c r="BS102" s="115"/>
      <c r="BT102" s="115"/>
      <c r="BU102" s="122"/>
      <c r="BV102" s="115"/>
      <c r="BW102" s="115"/>
      <c r="BX102" s="115"/>
      <c r="BY102" s="275">
        <v>549.46</v>
      </c>
      <c r="BZ102" s="253">
        <v>136.16</v>
      </c>
      <c r="CA102" s="354">
        <v>136.16</v>
      </c>
      <c r="CB102" s="354"/>
      <c r="CC102" s="354"/>
      <c r="CD102" s="354">
        <v>413.3</v>
      </c>
      <c r="CE102" s="354"/>
      <c r="CF102" s="354"/>
      <c r="CG102" s="354"/>
      <c r="CH102" s="355"/>
      <c r="CI102" s="356">
        <f t="shared" si="69"/>
        <v>549.46</v>
      </c>
      <c r="CJ102" s="356">
        <f t="shared" si="60"/>
        <v>136.16</v>
      </c>
      <c r="CK102" s="357">
        <v>413</v>
      </c>
      <c r="CL102" s="358">
        <f t="shared" si="70"/>
        <v>962.46</v>
      </c>
      <c r="CM102" s="157">
        <v>1502</v>
      </c>
      <c r="CN102" s="275">
        <f t="shared" si="61"/>
        <v>1079</v>
      </c>
      <c r="CO102" s="209" t="str">
        <f t="shared" si="40"/>
        <v>0</v>
      </c>
      <c r="CP102" s="235">
        <f t="shared" si="41"/>
        <v>0</v>
      </c>
      <c r="CQ102" s="209">
        <f t="shared" si="77"/>
        <v>1</v>
      </c>
      <c r="CR102" s="235">
        <f t="shared" si="43"/>
        <v>1462</v>
      </c>
      <c r="CS102" s="235">
        <f t="shared" si="76"/>
        <v>1</v>
      </c>
      <c r="CT102" s="235">
        <f t="shared" si="76"/>
        <v>1462</v>
      </c>
      <c r="CU102" s="14">
        <v>56</v>
      </c>
      <c r="CV102" s="284" t="str">
        <f t="shared" si="62"/>
        <v>0</v>
      </c>
      <c r="CW102" s="284" t="str">
        <f t="shared" si="63"/>
        <v>0</v>
      </c>
      <c r="CX102" s="243">
        <f t="shared" si="64"/>
        <v>10.082107125503047</v>
      </c>
      <c r="CY102" s="216" t="str">
        <f t="shared" si="65"/>
        <v>0</v>
      </c>
      <c r="CZ102" s="216" t="str">
        <f t="shared" si="66"/>
        <v>0</v>
      </c>
      <c r="DA102" s="243">
        <f t="shared" si="67"/>
        <v>10.082107125503047</v>
      </c>
      <c r="DB102" s="305">
        <v>1</v>
      </c>
      <c r="DC102" s="305">
        <v>0</v>
      </c>
      <c r="DD102" s="305">
        <v>0</v>
      </c>
      <c r="DE102" s="305">
        <v>0</v>
      </c>
      <c r="DF102" s="305">
        <v>1</v>
      </c>
      <c r="DG102" s="305">
        <v>0</v>
      </c>
      <c r="DH102" s="305">
        <v>0</v>
      </c>
      <c r="DI102" s="305">
        <v>0</v>
      </c>
      <c r="DJ102" s="306">
        <v>0</v>
      </c>
      <c r="DK102" s="306">
        <v>40</v>
      </c>
      <c r="DL102" s="306">
        <f t="shared" si="45"/>
        <v>36</v>
      </c>
      <c r="DM102" s="306">
        <v>4</v>
      </c>
      <c r="DN102" s="306">
        <v>24</v>
      </c>
      <c r="DO102" s="306">
        <v>18</v>
      </c>
      <c r="DP102" s="306">
        <v>22</v>
      </c>
      <c r="DQ102" s="306">
        <v>18</v>
      </c>
      <c r="DR102" s="306">
        <v>18</v>
      </c>
      <c r="DS102" s="306">
        <v>22</v>
      </c>
      <c r="DT102" s="306">
        <v>18</v>
      </c>
      <c r="DU102" s="306">
        <v>3</v>
      </c>
      <c r="DV102" s="306">
        <v>1</v>
      </c>
      <c r="DW102" s="306">
        <v>3</v>
      </c>
      <c r="DX102" s="306">
        <v>1</v>
      </c>
      <c r="DY102" s="306">
        <v>1</v>
      </c>
      <c r="DZ102" s="306">
        <v>3</v>
      </c>
      <c r="EA102" s="306">
        <v>1</v>
      </c>
      <c r="EB102" s="306">
        <v>40</v>
      </c>
      <c r="EC102" s="306">
        <v>40</v>
      </c>
      <c r="ED102" s="342"/>
      <c r="EE102" s="342"/>
    </row>
    <row r="103" spans="1:138" x14ac:dyDescent="0.2">
      <c r="A103" s="27" t="s">
        <v>142</v>
      </c>
      <c r="B103" s="169">
        <v>97</v>
      </c>
      <c r="C103" s="12" t="s">
        <v>170</v>
      </c>
      <c r="D103" s="13">
        <v>1961</v>
      </c>
      <c r="E103" s="11"/>
      <c r="F103" s="169" t="s">
        <v>13</v>
      </c>
      <c r="G103" s="35">
        <v>1</v>
      </c>
      <c r="H103" s="45">
        <v>5</v>
      </c>
      <c r="I103" s="1" t="s">
        <v>19</v>
      </c>
      <c r="J103" s="122">
        <f>12757+10047+6469+6469</f>
        <v>35742</v>
      </c>
      <c r="K103" s="122">
        <f>952+711+466+455</f>
        <v>2584</v>
      </c>
      <c r="L103" s="122">
        <f>1082+835+545+546</f>
        <v>3008</v>
      </c>
      <c r="M103" s="122"/>
      <c r="N103" s="122">
        <v>99</v>
      </c>
      <c r="O103" s="122">
        <v>434</v>
      </c>
      <c r="P103" s="122">
        <v>100</v>
      </c>
      <c r="Q103" s="122">
        <v>266</v>
      </c>
      <c r="R103" s="179">
        <v>7801</v>
      </c>
      <c r="S103" s="121">
        <v>4565.8</v>
      </c>
      <c r="T103" s="122">
        <f t="shared" si="46"/>
        <v>90</v>
      </c>
      <c r="U103" s="179">
        <f t="shared" ref="U103:V135" si="78">R103-X103-AA103</f>
        <v>7201.5</v>
      </c>
      <c r="V103" s="180">
        <f t="shared" si="78"/>
        <v>4242.91</v>
      </c>
      <c r="W103" s="122">
        <v>9</v>
      </c>
      <c r="X103" s="180">
        <v>599.5</v>
      </c>
      <c r="Y103" s="180">
        <v>322.89</v>
      </c>
      <c r="Z103" s="122"/>
      <c r="AA103" s="180"/>
      <c r="AB103" s="180"/>
      <c r="AC103" s="180">
        <f t="shared" si="48"/>
        <v>763.47</v>
      </c>
      <c r="AD103" s="179">
        <f t="shared" si="49"/>
        <v>61.37</v>
      </c>
      <c r="AE103" s="271"/>
      <c r="AF103" s="179">
        <v>61.37</v>
      </c>
      <c r="AG103" s="180">
        <v>702.1</v>
      </c>
      <c r="AH103" s="180"/>
      <c r="AI103" s="180">
        <f t="shared" si="50"/>
        <v>8564.4699999999993</v>
      </c>
      <c r="AJ103" s="122"/>
      <c r="AK103" s="122"/>
      <c r="AL103" s="123">
        <f>4+3+2+2</f>
        <v>11</v>
      </c>
      <c r="AM103" s="122"/>
      <c r="AN103" s="122"/>
      <c r="AO103" s="122">
        <f>1+1</f>
        <v>2</v>
      </c>
      <c r="AP103" s="122">
        <f>2475+1905+1397+1407</f>
        <v>7184</v>
      </c>
      <c r="AQ103" s="122"/>
      <c r="AR103" s="122">
        <f>276+317+116+116</f>
        <v>825</v>
      </c>
      <c r="AS103" s="122">
        <f>232+126+91+84</f>
        <v>533</v>
      </c>
      <c r="AT103" s="122">
        <f>51+38+26+26</f>
        <v>141</v>
      </c>
      <c r="AU103" s="122">
        <f t="shared" si="38"/>
        <v>8040</v>
      </c>
      <c r="AV103" s="122"/>
      <c r="AW103" s="122">
        <f>2923+2193+1462+1462</f>
        <v>8040</v>
      </c>
      <c r="AX103" s="122"/>
      <c r="AY103" s="122">
        <f>190+155+105+105</f>
        <v>555</v>
      </c>
      <c r="AZ103" s="122">
        <f>913+699+450+450</f>
        <v>2512</v>
      </c>
      <c r="BA103" s="122">
        <f>913+699+450+450</f>
        <v>2512</v>
      </c>
      <c r="BB103" s="122">
        <f>20+15+10+10</f>
        <v>55</v>
      </c>
      <c r="BC103" s="122">
        <f>13+10+7+7</f>
        <v>37</v>
      </c>
      <c r="BD103" s="122">
        <f>220+175+110+110-4</f>
        <v>611</v>
      </c>
      <c r="BE103" s="122">
        <f>40+29+20+18-1</f>
        <v>106</v>
      </c>
      <c r="BF103" s="122">
        <f>4+3+2+2</f>
        <v>11</v>
      </c>
      <c r="BG103" s="122">
        <f>14872+11154+7436+7436</f>
        <v>40898</v>
      </c>
      <c r="BH103" s="122">
        <f>492+369+246+246</f>
        <v>1353</v>
      </c>
      <c r="BI103" s="122"/>
      <c r="BJ103" s="115">
        <f t="shared" si="51"/>
        <v>1</v>
      </c>
      <c r="BK103" s="115">
        <f t="shared" si="52"/>
        <v>7801</v>
      </c>
      <c r="BL103" s="115">
        <f t="shared" si="53"/>
        <v>4565.8</v>
      </c>
      <c r="BM103" s="115" t="str">
        <f t="shared" si="54"/>
        <v>0</v>
      </c>
      <c r="BN103" s="115" t="str">
        <f t="shared" si="55"/>
        <v>0</v>
      </c>
      <c r="BO103" s="115" t="str">
        <f t="shared" si="56"/>
        <v>0</v>
      </c>
      <c r="BP103" s="115" t="str">
        <f t="shared" si="57"/>
        <v>0</v>
      </c>
      <c r="BQ103" s="115" t="str">
        <f t="shared" si="58"/>
        <v>0</v>
      </c>
      <c r="BR103" s="115" t="str">
        <f t="shared" si="59"/>
        <v>0</v>
      </c>
      <c r="BS103" s="115"/>
      <c r="BT103" s="115">
        <f>2+2+1+1</f>
        <v>6</v>
      </c>
      <c r="BU103" s="122"/>
      <c r="BV103" s="115"/>
      <c r="BW103" s="115">
        <v>30</v>
      </c>
      <c r="BX103" s="115">
        <f>AP103</f>
        <v>7184</v>
      </c>
      <c r="BY103" s="275">
        <v>3189.83</v>
      </c>
      <c r="BZ103" s="253">
        <v>682.83</v>
      </c>
      <c r="CA103" s="354">
        <f>249.92+187.59+123.33+121.99</f>
        <v>682.83</v>
      </c>
      <c r="CB103" s="354"/>
      <c r="CC103" s="354"/>
      <c r="CD103" s="354">
        <f>889+699.2+450.9+451.5</f>
        <v>2490.6</v>
      </c>
      <c r="CE103" s="354">
        <f>8+8.4</f>
        <v>16.399999999999999</v>
      </c>
      <c r="CF103" s="354"/>
      <c r="CG103" s="354"/>
      <c r="CH103" s="355"/>
      <c r="CI103" s="356">
        <f t="shared" si="69"/>
        <v>3189.83</v>
      </c>
      <c r="CJ103" s="356">
        <f t="shared" si="60"/>
        <v>682.83</v>
      </c>
      <c r="CK103" s="357">
        <v>2512</v>
      </c>
      <c r="CL103" s="358">
        <f t="shared" si="70"/>
        <v>5701.83</v>
      </c>
      <c r="CM103" s="157">
        <f>2491+1949+1287+1215</f>
        <v>6942</v>
      </c>
      <c r="CN103" s="275">
        <f t="shared" si="61"/>
        <v>4358</v>
      </c>
      <c r="CO103" s="209" t="str">
        <f t="shared" si="40"/>
        <v>0</v>
      </c>
      <c r="CP103" s="235">
        <f t="shared" si="41"/>
        <v>0</v>
      </c>
      <c r="CQ103" s="209">
        <f t="shared" si="77"/>
        <v>1</v>
      </c>
      <c r="CR103" s="235">
        <f t="shared" si="43"/>
        <v>8040</v>
      </c>
      <c r="CS103" s="235">
        <f t="shared" si="76"/>
        <v>1</v>
      </c>
      <c r="CT103" s="235">
        <f t="shared" si="76"/>
        <v>8040</v>
      </c>
      <c r="CU103" s="14">
        <v>50</v>
      </c>
      <c r="CV103" s="284" t="str">
        <f t="shared" si="62"/>
        <v>0</v>
      </c>
      <c r="CW103" s="284" t="str">
        <f t="shared" si="63"/>
        <v>0</v>
      </c>
      <c r="CX103" s="243">
        <f t="shared" si="64"/>
        <v>7.6849121907447762</v>
      </c>
      <c r="CY103" s="216" t="str">
        <f t="shared" si="65"/>
        <v>0</v>
      </c>
      <c r="CZ103" s="216" t="str">
        <f t="shared" si="66"/>
        <v>0</v>
      </c>
      <c r="DA103" s="243">
        <f t="shared" si="67"/>
        <v>7.7164144424582028</v>
      </c>
      <c r="DB103" s="305">
        <v>1</v>
      </c>
      <c r="DC103" s="305">
        <v>0</v>
      </c>
      <c r="DD103" s="305">
        <v>0</v>
      </c>
      <c r="DE103" s="305">
        <v>0</v>
      </c>
      <c r="DF103" s="305">
        <v>4</v>
      </c>
      <c r="DG103" s="305">
        <v>0</v>
      </c>
      <c r="DH103" s="305">
        <v>0</v>
      </c>
      <c r="DI103" s="305">
        <v>0</v>
      </c>
      <c r="DJ103" s="306">
        <v>0</v>
      </c>
      <c r="DK103" s="306">
        <v>103</v>
      </c>
      <c r="DL103" s="306">
        <f t="shared" si="45"/>
        <v>93</v>
      </c>
      <c r="DM103" s="306">
        <v>10</v>
      </c>
      <c r="DN103" s="306">
        <v>63</v>
      </c>
      <c r="DO103" s="306">
        <v>52</v>
      </c>
      <c r="DP103" s="306">
        <v>50</v>
      </c>
      <c r="DQ103" s="306">
        <v>52</v>
      </c>
      <c r="DR103" s="306">
        <v>53</v>
      </c>
      <c r="DS103" s="306">
        <v>49</v>
      </c>
      <c r="DT103" s="306">
        <v>53</v>
      </c>
      <c r="DU103" s="306">
        <v>6</v>
      </c>
      <c r="DV103" s="306">
        <v>5</v>
      </c>
      <c r="DW103" s="306">
        <v>4</v>
      </c>
      <c r="DX103" s="306">
        <v>5</v>
      </c>
      <c r="DY103" s="306">
        <v>5</v>
      </c>
      <c r="DZ103" s="306">
        <v>4</v>
      </c>
      <c r="EA103" s="306">
        <v>5</v>
      </c>
      <c r="EB103" s="306">
        <v>103</v>
      </c>
      <c r="EC103" s="306">
        <v>103</v>
      </c>
      <c r="ED103" s="342"/>
      <c r="EE103" s="342"/>
    </row>
    <row r="104" spans="1:138" x14ac:dyDescent="0.2">
      <c r="A104" s="12" t="s">
        <v>142</v>
      </c>
      <c r="B104" s="169">
        <v>98</v>
      </c>
      <c r="C104" s="12" t="s">
        <v>177</v>
      </c>
      <c r="D104" s="13">
        <v>1969</v>
      </c>
      <c r="E104" s="11"/>
      <c r="F104" s="169" t="s">
        <v>20</v>
      </c>
      <c r="G104" s="35">
        <v>1</v>
      </c>
      <c r="H104" s="45">
        <v>5</v>
      </c>
      <c r="I104" s="1" t="s">
        <v>22</v>
      </c>
      <c r="J104" s="122">
        <v>12262</v>
      </c>
      <c r="K104" s="122">
        <v>911</v>
      </c>
      <c r="L104" s="122">
        <v>1060</v>
      </c>
      <c r="M104" s="122"/>
      <c r="N104" s="122">
        <v>79</v>
      </c>
      <c r="O104" s="122">
        <v>158</v>
      </c>
      <c r="P104" s="122">
        <v>79</v>
      </c>
      <c r="Q104" s="122">
        <v>144</v>
      </c>
      <c r="R104" s="179">
        <v>3502.36</v>
      </c>
      <c r="S104" s="121">
        <v>2417.11</v>
      </c>
      <c r="T104" s="122">
        <f t="shared" si="46"/>
        <v>68</v>
      </c>
      <c r="U104" s="180">
        <f t="shared" si="78"/>
        <v>3049.1600000000003</v>
      </c>
      <c r="V104" s="180">
        <f t="shared" si="78"/>
        <v>2118</v>
      </c>
      <c r="W104" s="122">
        <v>11</v>
      </c>
      <c r="X104" s="180">
        <v>453.2</v>
      </c>
      <c r="Y104" s="180">
        <v>299.11</v>
      </c>
      <c r="Z104" s="122"/>
      <c r="AA104" s="180"/>
      <c r="AB104" s="180"/>
      <c r="AC104" s="180">
        <f t="shared" si="48"/>
        <v>43.8</v>
      </c>
      <c r="AD104" s="179">
        <f t="shared" si="49"/>
        <v>0</v>
      </c>
      <c r="AE104" s="271"/>
      <c r="AF104" s="179"/>
      <c r="AG104" s="180">
        <v>43.8</v>
      </c>
      <c r="AH104" s="180"/>
      <c r="AI104" s="180">
        <f t="shared" si="50"/>
        <v>3546.1600000000003</v>
      </c>
      <c r="AJ104" s="122"/>
      <c r="AK104" s="122"/>
      <c r="AL104" s="122">
        <v>4</v>
      </c>
      <c r="AM104" s="122"/>
      <c r="AN104" s="122">
        <v>1</v>
      </c>
      <c r="AO104" s="122">
        <v>1</v>
      </c>
      <c r="AP104" s="122">
        <v>2357</v>
      </c>
      <c r="AQ104" s="122"/>
      <c r="AR104" s="122">
        <f>222+111+229</f>
        <v>562</v>
      </c>
      <c r="AS104" s="122">
        <v>165</v>
      </c>
      <c r="AT104" s="122">
        <v>51</v>
      </c>
      <c r="AU104" s="122">
        <f t="shared" si="38"/>
        <v>2923</v>
      </c>
      <c r="AV104" s="122"/>
      <c r="AW104" s="122">
        <v>2923</v>
      </c>
      <c r="AX104" s="122">
        <v>1850</v>
      </c>
      <c r="AY104" s="122">
        <v>135</v>
      </c>
      <c r="AZ104" s="122">
        <v>887</v>
      </c>
      <c r="BA104" s="122">
        <v>887</v>
      </c>
      <c r="BB104" s="122">
        <v>20</v>
      </c>
      <c r="BC104" s="122">
        <v>13</v>
      </c>
      <c r="BD104" s="122">
        <v>240</v>
      </c>
      <c r="BE104" s="122">
        <v>80</v>
      </c>
      <c r="BF104" s="122">
        <v>1</v>
      </c>
      <c r="BG104" s="122">
        <v>15032</v>
      </c>
      <c r="BH104" s="122">
        <v>292</v>
      </c>
      <c r="BI104" s="122"/>
      <c r="BJ104" s="115" t="str">
        <f t="shared" si="51"/>
        <v>0</v>
      </c>
      <c r="BK104" s="115" t="str">
        <f t="shared" si="52"/>
        <v>0</v>
      </c>
      <c r="BL104" s="115" t="str">
        <f t="shared" si="53"/>
        <v>0</v>
      </c>
      <c r="BM104" s="115">
        <f t="shared" si="54"/>
        <v>1</v>
      </c>
      <c r="BN104" s="115">
        <f t="shared" si="55"/>
        <v>3502.36</v>
      </c>
      <c r="BO104" s="115">
        <f t="shared" si="56"/>
        <v>2417.11</v>
      </c>
      <c r="BP104" s="115" t="str">
        <f t="shared" si="57"/>
        <v>0</v>
      </c>
      <c r="BQ104" s="115" t="str">
        <f t="shared" si="58"/>
        <v>0</v>
      </c>
      <c r="BR104" s="115" t="str">
        <f t="shared" si="59"/>
        <v>0</v>
      </c>
      <c r="BS104" s="115"/>
      <c r="BT104" s="115"/>
      <c r="BU104" s="122">
        <v>887</v>
      </c>
      <c r="BV104" s="115">
        <v>170</v>
      </c>
      <c r="BW104" s="115"/>
      <c r="BX104" s="115"/>
      <c r="BY104" s="275">
        <v>1161.76</v>
      </c>
      <c r="BZ104" s="253">
        <v>274.45999999999998</v>
      </c>
      <c r="CA104" s="354">
        <v>274.45999999999998</v>
      </c>
      <c r="CB104" s="354"/>
      <c r="CC104" s="354"/>
      <c r="CD104" s="354">
        <f>887*0+887.3</f>
        <v>887.3</v>
      </c>
      <c r="CE104" s="354"/>
      <c r="CF104" s="354"/>
      <c r="CG104" s="354"/>
      <c r="CH104" s="355"/>
      <c r="CI104" s="356">
        <f t="shared" si="69"/>
        <v>1161.76</v>
      </c>
      <c r="CJ104" s="356">
        <f t="shared" si="60"/>
        <v>274.45999999999998</v>
      </c>
      <c r="CK104" s="357">
        <v>887</v>
      </c>
      <c r="CL104" s="358">
        <f t="shared" si="70"/>
        <v>2048.7600000000002</v>
      </c>
      <c r="CM104" s="157">
        <v>2423</v>
      </c>
      <c r="CN104" s="275">
        <f t="shared" si="61"/>
        <v>1512</v>
      </c>
      <c r="CO104" s="209" t="str">
        <f t="shared" si="40"/>
        <v>0</v>
      </c>
      <c r="CP104" s="235">
        <f t="shared" si="41"/>
        <v>0</v>
      </c>
      <c r="CQ104" s="209">
        <f t="shared" si="77"/>
        <v>1</v>
      </c>
      <c r="CR104" s="235">
        <f t="shared" si="43"/>
        <v>2923</v>
      </c>
      <c r="CS104" s="235">
        <f t="shared" si="76"/>
        <v>1</v>
      </c>
      <c r="CT104" s="235">
        <f t="shared" si="76"/>
        <v>2923</v>
      </c>
      <c r="CU104" s="14">
        <v>51</v>
      </c>
      <c r="CV104" s="284" t="str">
        <f t="shared" si="62"/>
        <v>0</v>
      </c>
      <c r="CW104" s="284" t="str">
        <f t="shared" si="63"/>
        <v>0</v>
      </c>
      <c r="CX104" s="243">
        <f t="shared" si="64"/>
        <v>12.939846275083086</v>
      </c>
      <c r="CY104" s="216" t="str">
        <f t="shared" si="65"/>
        <v>0</v>
      </c>
      <c r="CZ104" s="216" t="str">
        <f t="shared" si="66"/>
        <v>0</v>
      </c>
      <c r="DA104" s="243">
        <f t="shared" si="67"/>
        <v>12.780021206036951</v>
      </c>
      <c r="DB104" s="305">
        <v>1</v>
      </c>
      <c r="DC104" s="305">
        <v>0</v>
      </c>
      <c r="DD104" s="305">
        <v>0</v>
      </c>
      <c r="DE104" s="305">
        <v>0</v>
      </c>
      <c r="DF104" s="305">
        <v>1</v>
      </c>
      <c r="DG104" s="305">
        <v>0</v>
      </c>
      <c r="DH104" s="305">
        <v>0</v>
      </c>
      <c r="DI104" s="305">
        <v>0</v>
      </c>
      <c r="DJ104" s="306">
        <v>0</v>
      </c>
      <c r="DK104" s="306">
        <v>79</v>
      </c>
      <c r="DL104" s="306">
        <f t="shared" si="45"/>
        <v>65</v>
      </c>
      <c r="DM104" s="306">
        <v>14</v>
      </c>
      <c r="DN104" s="306">
        <v>49</v>
      </c>
      <c r="DO104" s="306">
        <v>36</v>
      </c>
      <c r="DP104" s="306">
        <v>43</v>
      </c>
      <c r="DQ104" s="306">
        <v>36</v>
      </c>
      <c r="DR104" s="306">
        <v>36</v>
      </c>
      <c r="DS104" s="306">
        <v>43</v>
      </c>
      <c r="DT104" s="306">
        <v>36</v>
      </c>
      <c r="DU104" s="306">
        <v>4</v>
      </c>
      <c r="DV104" s="306">
        <v>4</v>
      </c>
      <c r="DW104" s="306">
        <v>7</v>
      </c>
      <c r="DX104" s="306">
        <v>4</v>
      </c>
      <c r="DY104" s="306">
        <v>4</v>
      </c>
      <c r="DZ104" s="306">
        <v>7</v>
      </c>
      <c r="EA104" s="306">
        <v>4</v>
      </c>
      <c r="EB104" s="306">
        <v>79</v>
      </c>
      <c r="EC104" s="306">
        <v>79</v>
      </c>
      <c r="ED104" s="342"/>
      <c r="EE104" s="342"/>
    </row>
    <row r="105" spans="1:138" x14ac:dyDescent="0.2">
      <c r="A105" s="27" t="s">
        <v>142</v>
      </c>
      <c r="B105" s="169">
        <v>99</v>
      </c>
      <c r="C105" s="12" t="s">
        <v>178</v>
      </c>
      <c r="D105" s="13">
        <v>1971</v>
      </c>
      <c r="E105" s="11"/>
      <c r="F105" s="169" t="s">
        <v>20</v>
      </c>
      <c r="G105" s="35">
        <v>1</v>
      </c>
      <c r="H105" s="45">
        <v>5</v>
      </c>
      <c r="I105" s="1" t="s">
        <v>22</v>
      </c>
      <c r="J105" s="122">
        <v>8915</v>
      </c>
      <c r="K105" s="122">
        <v>670</v>
      </c>
      <c r="L105" s="122">
        <v>782</v>
      </c>
      <c r="M105" s="122"/>
      <c r="N105" s="122">
        <v>59</v>
      </c>
      <c r="O105" s="122">
        <v>113</v>
      </c>
      <c r="P105" s="122">
        <v>59</v>
      </c>
      <c r="Q105" s="122">
        <v>98</v>
      </c>
      <c r="R105" s="179">
        <v>2540.4499999999998</v>
      </c>
      <c r="S105" s="121">
        <v>1701.06</v>
      </c>
      <c r="T105" s="122">
        <f t="shared" si="46"/>
        <v>49</v>
      </c>
      <c r="U105" s="180">
        <f t="shared" si="78"/>
        <v>2100.4499999999998</v>
      </c>
      <c r="V105" s="180">
        <f t="shared" si="78"/>
        <v>1406.26</v>
      </c>
      <c r="W105" s="122">
        <v>10</v>
      </c>
      <c r="X105" s="180">
        <v>440</v>
      </c>
      <c r="Y105" s="180">
        <v>294.8</v>
      </c>
      <c r="Z105" s="122"/>
      <c r="AA105" s="180"/>
      <c r="AB105" s="180"/>
      <c r="AC105" s="180">
        <f t="shared" si="48"/>
        <v>0</v>
      </c>
      <c r="AD105" s="179">
        <f t="shared" si="49"/>
        <v>0</v>
      </c>
      <c r="AE105" s="271"/>
      <c r="AF105" s="179"/>
      <c r="AG105" s="180"/>
      <c r="AH105" s="180"/>
      <c r="AI105" s="180">
        <f t="shared" si="50"/>
        <v>2540.4499999999998</v>
      </c>
      <c r="AJ105" s="122"/>
      <c r="AK105" s="122"/>
      <c r="AL105" s="122">
        <v>3</v>
      </c>
      <c r="AM105" s="122"/>
      <c r="AN105" s="122"/>
      <c r="AO105" s="122">
        <v>1</v>
      </c>
      <c r="AP105" s="122">
        <v>1802</v>
      </c>
      <c r="AQ105" s="122"/>
      <c r="AR105" s="122">
        <f>72+36</f>
        <v>108</v>
      </c>
      <c r="AS105" s="122">
        <v>354</v>
      </c>
      <c r="AT105" s="122">
        <v>38</v>
      </c>
      <c r="AU105" s="122">
        <f t="shared" si="38"/>
        <v>2193</v>
      </c>
      <c r="AV105" s="122"/>
      <c r="AW105" s="122">
        <v>2193</v>
      </c>
      <c r="AX105" s="122">
        <v>1425</v>
      </c>
      <c r="AY105" s="122">
        <v>104</v>
      </c>
      <c r="AZ105" s="122">
        <v>651</v>
      </c>
      <c r="BA105" s="122">
        <v>651</v>
      </c>
      <c r="BB105" s="122">
        <v>15</v>
      </c>
      <c r="BC105" s="122">
        <v>10</v>
      </c>
      <c r="BD105" s="122">
        <v>168</v>
      </c>
      <c r="BE105" s="122">
        <v>59</v>
      </c>
      <c r="BF105" s="122">
        <v>1</v>
      </c>
      <c r="BG105" s="122">
        <v>11274</v>
      </c>
      <c r="BH105" s="122">
        <v>219</v>
      </c>
      <c r="BI105" s="122"/>
      <c r="BJ105" s="115" t="str">
        <f t="shared" si="51"/>
        <v>0</v>
      </c>
      <c r="BK105" s="115" t="str">
        <f t="shared" si="52"/>
        <v>0</v>
      </c>
      <c r="BL105" s="115" t="str">
        <f t="shared" si="53"/>
        <v>0</v>
      </c>
      <c r="BM105" s="115">
        <f t="shared" si="54"/>
        <v>1</v>
      </c>
      <c r="BN105" s="115">
        <f t="shared" si="55"/>
        <v>2540.4499999999998</v>
      </c>
      <c r="BO105" s="115">
        <f t="shared" si="56"/>
        <v>1701.06</v>
      </c>
      <c r="BP105" s="115" t="str">
        <f t="shared" si="57"/>
        <v>0</v>
      </c>
      <c r="BQ105" s="115" t="str">
        <f t="shared" si="58"/>
        <v>0</v>
      </c>
      <c r="BR105" s="115" t="str">
        <f t="shared" si="59"/>
        <v>0</v>
      </c>
      <c r="BS105" s="115"/>
      <c r="BT105" s="115"/>
      <c r="BU105" s="122">
        <v>651</v>
      </c>
      <c r="BV105" s="115">
        <v>170</v>
      </c>
      <c r="BW105" s="115"/>
      <c r="BX105" s="115"/>
      <c r="BY105" s="275">
        <v>855.91</v>
      </c>
      <c r="BZ105" s="253">
        <v>205.11</v>
      </c>
      <c r="CA105" s="354">
        <v>205.11</v>
      </c>
      <c r="CB105" s="354"/>
      <c r="CC105" s="354"/>
      <c r="CD105" s="354">
        <f>651*0+650.8</f>
        <v>650.79999999999995</v>
      </c>
      <c r="CE105" s="354"/>
      <c r="CF105" s="354"/>
      <c r="CG105" s="354"/>
      <c r="CH105" s="355"/>
      <c r="CI105" s="356">
        <f t="shared" si="69"/>
        <v>855.91</v>
      </c>
      <c r="CJ105" s="356">
        <f t="shared" si="60"/>
        <v>205.11</v>
      </c>
      <c r="CK105" s="357">
        <v>651</v>
      </c>
      <c r="CL105" s="358">
        <f t="shared" si="70"/>
        <v>1506.9099999999999</v>
      </c>
      <c r="CM105" s="157">
        <v>1978</v>
      </c>
      <c r="CN105" s="275">
        <f t="shared" si="61"/>
        <v>1308</v>
      </c>
      <c r="CO105" s="209" t="str">
        <f t="shared" si="40"/>
        <v>0</v>
      </c>
      <c r="CP105" s="235">
        <f t="shared" si="41"/>
        <v>0</v>
      </c>
      <c r="CQ105" s="209">
        <f t="shared" si="77"/>
        <v>1</v>
      </c>
      <c r="CR105" s="235">
        <f t="shared" si="43"/>
        <v>2193</v>
      </c>
      <c r="CS105" s="235">
        <f t="shared" si="76"/>
        <v>1</v>
      </c>
      <c r="CT105" s="235">
        <f t="shared" si="76"/>
        <v>2193</v>
      </c>
      <c r="CU105" s="14">
        <v>52</v>
      </c>
      <c r="CV105" s="284" t="str">
        <f t="shared" si="62"/>
        <v>0</v>
      </c>
      <c r="CW105" s="284" t="str">
        <f t="shared" si="63"/>
        <v>0</v>
      </c>
      <c r="CX105" s="243">
        <f t="shared" si="64"/>
        <v>17.319766183156528</v>
      </c>
      <c r="CY105" s="216" t="str">
        <f t="shared" si="65"/>
        <v>0</v>
      </c>
      <c r="CZ105" s="216" t="str">
        <f t="shared" si="66"/>
        <v>0</v>
      </c>
      <c r="DA105" s="243">
        <f t="shared" si="67"/>
        <v>17.319766183156528</v>
      </c>
      <c r="DB105" s="305">
        <v>1</v>
      </c>
      <c r="DC105" s="305">
        <v>0</v>
      </c>
      <c r="DD105" s="305">
        <v>0</v>
      </c>
      <c r="DE105" s="305">
        <v>0</v>
      </c>
      <c r="DF105" s="305">
        <v>1</v>
      </c>
      <c r="DG105" s="305">
        <v>0</v>
      </c>
      <c r="DH105" s="305">
        <v>0</v>
      </c>
      <c r="DI105" s="305">
        <v>0</v>
      </c>
      <c r="DJ105" s="306">
        <v>0</v>
      </c>
      <c r="DK105" s="306">
        <v>59</v>
      </c>
      <c r="DL105" s="306">
        <f t="shared" si="45"/>
        <v>50</v>
      </c>
      <c r="DM105" s="306">
        <v>9</v>
      </c>
      <c r="DN105" s="306">
        <v>43</v>
      </c>
      <c r="DO105" s="306">
        <v>33</v>
      </c>
      <c r="DP105" s="306">
        <v>25</v>
      </c>
      <c r="DQ105" s="306">
        <v>34</v>
      </c>
      <c r="DR105" s="306">
        <v>32</v>
      </c>
      <c r="DS105" s="306">
        <v>27</v>
      </c>
      <c r="DT105" s="306">
        <v>32</v>
      </c>
      <c r="DU105" s="306">
        <v>3</v>
      </c>
      <c r="DV105" s="306">
        <v>1</v>
      </c>
      <c r="DW105" s="306">
        <v>3</v>
      </c>
      <c r="DX105" s="306">
        <v>1</v>
      </c>
      <c r="DY105" s="306">
        <v>1</v>
      </c>
      <c r="DZ105" s="306">
        <v>3</v>
      </c>
      <c r="EA105" s="306">
        <v>1</v>
      </c>
      <c r="EB105" s="306">
        <v>59</v>
      </c>
      <c r="EC105" s="306">
        <v>59</v>
      </c>
      <c r="ED105" s="342"/>
      <c r="EE105" s="342"/>
    </row>
    <row r="106" spans="1:138" x14ac:dyDescent="0.2">
      <c r="A106" s="12" t="s">
        <v>142</v>
      </c>
      <c r="B106" s="169">
        <v>100</v>
      </c>
      <c r="C106" s="12" t="s">
        <v>179</v>
      </c>
      <c r="D106" s="13">
        <v>1969</v>
      </c>
      <c r="E106" s="11"/>
      <c r="F106" s="169" t="s">
        <v>20</v>
      </c>
      <c r="G106" s="35">
        <v>1</v>
      </c>
      <c r="H106" s="45">
        <v>5</v>
      </c>
      <c r="I106" s="1" t="s">
        <v>22</v>
      </c>
      <c r="J106" s="122">
        <v>12247</v>
      </c>
      <c r="K106" s="122">
        <v>917</v>
      </c>
      <c r="L106" s="122">
        <v>1062</v>
      </c>
      <c r="M106" s="122"/>
      <c r="N106" s="122">
        <v>80</v>
      </c>
      <c r="O106" s="122">
        <v>160</v>
      </c>
      <c r="P106" s="122">
        <v>80</v>
      </c>
      <c r="Q106" s="122">
        <v>125</v>
      </c>
      <c r="R106" s="179">
        <f>3540.66-0.01-0.04</f>
        <v>3540.6099999999997</v>
      </c>
      <c r="S106" s="121">
        <v>2439.5500000000002</v>
      </c>
      <c r="T106" s="122">
        <f t="shared" si="46"/>
        <v>72</v>
      </c>
      <c r="U106" s="180">
        <f t="shared" si="78"/>
        <v>3196.6499999999996</v>
      </c>
      <c r="V106" s="180">
        <f t="shared" si="78"/>
        <v>2202.2200000000003</v>
      </c>
      <c r="W106" s="122">
        <v>8</v>
      </c>
      <c r="X106" s="180">
        <v>343.96</v>
      </c>
      <c r="Y106" s="180">
        <v>237.33</v>
      </c>
      <c r="Z106" s="122"/>
      <c r="AA106" s="180"/>
      <c r="AB106" s="180"/>
      <c r="AC106" s="180">
        <f t="shared" si="48"/>
        <v>0</v>
      </c>
      <c r="AD106" s="179">
        <f t="shared" si="49"/>
        <v>0</v>
      </c>
      <c r="AE106" s="271"/>
      <c r="AF106" s="179"/>
      <c r="AG106" s="180"/>
      <c r="AH106" s="180"/>
      <c r="AI106" s="180">
        <f t="shared" si="50"/>
        <v>3540.6099999999997</v>
      </c>
      <c r="AJ106" s="122"/>
      <c r="AK106" s="122"/>
      <c r="AL106" s="122">
        <v>4</v>
      </c>
      <c r="AM106" s="122"/>
      <c r="AN106" s="122">
        <v>1</v>
      </c>
      <c r="AO106" s="122">
        <v>1</v>
      </c>
      <c r="AP106" s="122">
        <v>2350</v>
      </c>
      <c r="AQ106" s="122"/>
      <c r="AR106" s="122">
        <f>70+35+148</f>
        <v>253</v>
      </c>
      <c r="AS106" s="122">
        <v>256</v>
      </c>
      <c r="AT106" s="122">
        <v>51</v>
      </c>
      <c r="AU106" s="122">
        <f t="shared" si="38"/>
        <v>2937</v>
      </c>
      <c r="AV106" s="122"/>
      <c r="AW106" s="122">
        <v>2937</v>
      </c>
      <c r="AX106" s="122">
        <v>1850</v>
      </c>
      <c r="AY106" s="122">
        <v>135</v>
      </c>
      <c r="AZ106" s="122">
        <v>889</v>
      </c>
      <c r="BA106" s="122">
        <v>889</v>
      </c>
      <c r="BB106" s="122">
        <v>20</v>
      </c>
      <c r="BC106" s="122">
        <v>13</v>
      </c>
      <c r="BD106" s="122">
        <v>240</v>
      </c>
      <c r="BE106" s="122">
        <v>80</v>
      </c>
      <c r="BF106" s="122">
        <v>1</v>
      </c>
      <c r="BG106" s="122">
        <v>15032</v>
      </c>
      <c r="BH106" s="122">
        <v>292</v>
      </c>
      <c r="BI106" s="122"/>
      <c r="BJ106" s="115" t="str">
        <f t="shared" si="51"/>
        <v>0</v>
      </c>
      <c r="BK106" s="115" t="str">
        <f t="shared" si="52"/>
        <v>0</v>
      </c>
      <c r="BL106" s="115" t="str">
        <f t="shared" si="53"/>
        <v>0</v>
      </c>
      <c r="BM106" s="115">
        <f t="shared" si="54"/>
        <v>1</v>
      </c>
      <c r="BN106" s="115">
        <f t="shared" si="55"/>
        <v>3540.6099999999997</v>
      </c>
      <c r="BO106" s="115">
        <f t="shared" si="56"/>
        <v>2439.5500000000002</v>
      </c>
      <c r="BP106" s="115" t="str">
        <f t="shared" si="57"/>
        <v>0</v>
      </c>
      <c r="BQ106" s="115" t="str">
        <f t="shared" si="58"/>
        <v>0</v>
      </c>
      <c r="BR106" s="115" t="str">
        <f t="shared" si="59"/>
        <v>0</v>
      </c>
      <c r="BS106" s="115"/>
      <c r="BT106" s="115">
        <v>2</v>
      </c>
      <c r="BU106" s="122"/>
      <c r="BV106" s="115"/>
      <c r="BW106" s="115"/>
      <c r="BX106" s="115"/>
      <c r="BY106" s="275">
        <v>1162.42</v>
      </c>
      <c r="BZ106" s="253">
        <v>273.02</v>
      </c>
      <c r="CA106" s="354">
        <v>273.02</v>
      </c>
      <c r="CB106" s="354"/>
      <c r="CC106" s="354"/>
      <c r="CD106" s="354">
        <f>889*0+889.4</f>
        <v>889.4</v>
      </c>
      <c r="CE106" s="354"/>
      <c r="CF106" s="354"/>
      <c r="CG106" s="354"/>
      <c r="CH106" s="355"/>
      <c r="CI106" s="356">
        <f t="shared" si="69"/>
        <v>1162.42</v>
      </c>
      <c r="CJ106" s="356">
        <f t="shared" si="60"/>
        <v>273.02</v>
      </c>
      <c r="CK106" s="357">
        <v>889</v>
      </c>
      <c r="CL106" s="358">
        <f t="shared" si="70"/>
        <v>2051.42</v>
      </c>
      <c r="CM106" s="157">
        <v>2449</v>
      </c>
      <c r="CN106" s="275">
        <f t="shared" si="61"/>
        <v>1532</v>
      </c>
      <c r="CO106" s="209" t="str">
        <f t="shared" si="40"/>
        <v>0</v>
      </c>
      <c r="CP106" s="235">
        <f t="shared" si="41"/>
        <v>0</v>
      </c>
      <c r="CQ106" s="209">
        <f t="shared" si="77"/>
        <v>1</v>
      </c>
      <c r="CR106" s="235">
        <f t="shared" si="43"/>
        <v>2937</v>
      </c>
      <c r="CS106" s="235">
        <f t="shared" si="76"/>
        <v>1</v>
      </c>
      <c r="CT106" s="235">
        <f t="shared" si="76"/>
        <v>2937</v>
      </c>
      <c r="CU106" s="14">
        <v>52</v>
      </c>
      <c r="CV106" s="284" t="str">
        <f t="shared" si="62"/>
        <v>0</v>
      </c>
      <c r="CW106" s="284" t="str">
        <f t="shared" si="63"/>
        <v>0</v>
      </c>
      <c r="CX106" s="243">
        <f t="shared" si="64"/>
        <v>9.7147101770598852</v>
      </c>
      <c r="CY106" s="216" t="str">
        <f t="shared" si="65"/>
        <v>0</v>
      </c>
      <c r="CZ106" s="216" t="str">
        <f t="shared" si="66"/>
        <v>0</v>
      </c>
      <c r="DA106" s="243">
        <f t="shared" si="67"/>
        <v>9.7147101770598852</v>
      </c>
      <c r="DB106" s="305">
        <v>1</v>
      </c>
      <c r="DC106" s="305">
        <v>0</v>
      </c>
      <c r="DD106" s="305">
        <v>0</v>
      </c>
      <c r="DE106" s="305">
        <v>0</v>
      </c>
      <c r="DF106" s="305">
        <v>1</v>
      </c>
      <c r="DG106" s="305">
        <v>0</v>
      </c>
      <c r="DH106" s="305">
        <v>0</v>
      </c>
      <c r="DI106" s="305">
        <v>0</v>
      </c>
      <c r="DJ106" s="306">
        <v>0</v>
      </c>
      <c r="DK106" s="306">
        <v>80</v>
      </c>
      <c r="DL106" s="306">
        <f t="shared" si="45"/>
        <v>75</v>
      </c>
      <c r="DM106" s="306">
        <v>5</v>
      </c>
      <c r="DN106" s="306">
        <v>44</v>
      </c>
      <c r="DO106" s="306">
        <v>30</v>
      </c>
      <c r="DP106" s="306">
        <v>50</v>
      </c>
      <c r="DQ106" s="306">
        <v>30</v>
      </c>
      <c r="DR106" s="306">
        <v>31</v>
      </c>
      <c r="DS106" s="306">
        <v>49</v>
      </c>
      <c r="DT106" s="306">
        <v>31</v>
      </c>
      <c r="DU106" s="306">
        <v>2</v>
      </c>
      <c r="DV106" s="306">
        <v>0</v>
      </c>
      <c r="DW106" s="306">
        <v>5</v>
      </c>
      <c r="DX106" s="306">
        <v>0</v>
      </c>
      <c r="DY106" s="306">
        <v>0</v>
      </c>
      <c r="DZ106" s="306">
        <v>5</v>
      </c>
      <c r="EA106" s="306">
        <v>0</v>
      </c>
      <c r="EB106" s="306">
        <v>80</v>
      </c>
      <c r="EC106" s="306">
        <v>80</v>
      </c>
      <c r="ED106" s="342"/>
      <c r="EE106" s="342"/>
    </row>
    <row r="107" spans="1:138" x14ac:dyDescent="0.2">
      <c r="A107" s="12" t="s">
        <v>142</v>
      </c>
      <c r="B107" s="169">
        <v>101</v>
      </c>
      <c r="C107" s="12" t="s">
        <v>180</v>
      </c>
      <c r="D107" s="13">
        <v>1969</v>
      </c>
      <c r="E107" s="11"/>
      <c r="F107" s="169" t="s">
        <v>20</v>
      </c>
      <c r="G107" s="35">
        <v>1</v>
      </c>
      <c r="H107" s="45">
        <v>5</v>
      </c>
      <c r="I107" s="1" t="s">
        <v>22</v>
      </c>
      <c r="J107" s="122">
        <v>5813</v>
      </c>
      <c r="K107" s="122">
        <v>435</v>
      </c>
      <c r="L107" s="122">
        <v>510</v>
      </c>
      <c r="M107" s="122"/>
      <c r="N107" s="122">
        <v>40</v>
      </c>
      <c r="O107" s="122">
        <v>70</v>
      </c>
      <c r="P107" s="122">
        <v>40</v>
      </c>
      <c r="Q107" s="122">
        <v>73</v>
      </c>
      <c r="R107" s="179">
        <v>1632.49</v>
      </c>
      <c r="S107" s="121">
        <v>1076</v>
      </c>
      <c r="T107" s="122">
        <f t="shared" si="46"/>
        <v>37</v>
      </c>
      <c r="U107" s="180">
        <f t="shared" si="78"/>
        <v>1502.88</v>
      </c>
      <c r="V107" s="180">
        <f t="shared" si="78"/>
        <v>989.26</v>
      </c>
      <c r="W107" s="122">
        <v>3</v>
      </c>
      <c r="X107" s="180">
        <v>129.61000000000001</v>
      </c>
      <c r="Y107" s="180">
        <v>86.74</v>
      </c>
      <c r="Z107" s="122"/>
      <c r="AA107" s="180"/>
      <c r="AB107" s="180"/>
      <c r="AC107" s="180">
        <f t="shared" si="48"/>
        <v>0</v>
      </c>
      <c r="AD107" s="179">
        <f t="shared" si="49"/>
        <v>0</v>
      </c>
      <c r="AE107" s="271"/>
      <c r="AF107" s="179"/>
      <c r="AG107" s="180"/>
      <c r="AH107" s="180"/>
      <c r="AI107" s="180">
        <f t="shared" si="50"/>
        <v>1632.49</v>
      </c>
      <c r="AJ107" s="122"/>
      <c r="AK107" s="122"/>
      <c r="AL107" s="122">
        <v>2</v>
      </c>
      <c r="AM107" s="122"/>
      <c r="AN107" s="122"/>
      <c r="AO107" s="122">
        <v>1</v>
      </c>
      <c r="AP107" s="122">
        <v>1289</v>
      </c>
      <c r="AQ107" s="122"/>
      <c r="AR107" s="122">
        <f>168+84+88</f>
        <v>340</v>
      </c>
      <c r="AS107" s="122">
        <v>108</v>
      </c>
      <c r="AT107" s="122">
        <v>26</v>
      </c>
      <c r="AU107" s="122">
        <f t="shared" si="38"/>
        <v>1462</v>
      </c>
      <c r="AV107" s="122"/>
      <c r="AW107" s="122">
        <v>1462</v>
      </c>
      <c r="AX107" s="122">
        <v>1178</v>
      </c>
      <c r="AY107" s="122">
        <v>65</v>
      </c>
      <c r="AZ107" s="122">
        <v>420</v>
      </c>
      <c r="BA107" s="122">
        <v>420</v>
      </c>
      <c r="BB107" s="122">
        <v>10</v>
      </c>
      <c r="BC107" s="122">
        <v>7</v>
      </c>
      <c r="BD107" s="122">
        <v>128</v>
      </c>
      <c r="BE107" s="122">
        <v>40</v>
      </c>
      <c r="BF107" s="122">
        <v>1</v>
      </c>
      <c r="BG107" s="122">
        <v>7516</v>
      </c>
      <c r="BH107" s="122">
        <v>146</v>
      </c>
      <c r="BI107" s="122"/>
      <c r="BJ107" s="115" t="str">
        <f t="shared" si="51"/>
        <v>0</v>
      </c>
      <c r="BK107" s="115" t="str">
        <f t="shared" si="52"/>
        <v>0</v>
      </c>
      <c r="BL107" s="115" t="str">
        <f t="shared" si="53"/>
        <v>0</v>
      </c>
      <c r="BM107" s="115">
        <f t="shared" si="54"/>
        <v>1</v>
      </c>
      <c r="BN107" s="115">
        <f t="shared" si="55"/>
        <v>1632.49</v>
      </c>
      <c r="BO107" s="115">
        <f t="shared" si="56"/>
        <v>1076</v>
      </c>
      <c r="BP107" s="115" t="str">
        <f t="shared" si="57"/>
        <v>0</v>
      </c>
      <c r="BQ107" s="115" t="str">
        <f t="shared" si="58"/>
        <v>0</v>
      </c>
      <c r="BR107" s="115" t="str">
        <f t="shared" si="59"/>
        <v>0</v>
      </c>
      <c r="BS107" s="115"/>
      <c r="BT107" s="115">
        <v>1</v>
      </c>
      <c r="BU107" s="122"/>
      <c r="BV107" s="115"/>
      <c r="BW107" s="115"/>
      <c r="BX107" s="115"/>
      <c r="BY107" s="275">
        <v>556.34</v>
      </c>
      <c r="BZ107" s="253">
        <v>136.63999999999999</v>
      </c>
      <c r="CA107" s="354">
        <v>136.63999999999999</v>
      </c>
      <c r="CB107" s="354"/>
      <c r="CC107" s="354"/>
      <c r="CD107" s="354">
        <f>420*0+419.7</f>
        <v>419.7</v>
      </c>
      <c r="CE107" s="354"/>
      <c r="CF107" s="354"/>
      <c r="CG107" s="354"/>
      <c r="CH107" s="355"/>
      <c r="CI107" s="356">
        <f t="shared" si="69"/>
        <v>556.33999999999992</v>
      </c>
      <c r="CJ107" s="356">
        <f t="shared" si="60"/>
        <v>136.63999999999999</v>
      </c>
      <c r="CK107" s="357">
        <v>420</v>
      </c>
      <c r="CL107" s="358">
        <f t="shared" si="70"/>
        <v>976.33999999999992</v>
      </c>
      <c r="CM107" s="157">
        <v>1529</v>
      </c>
      <c r="CN107" s="275">
        <f t="shared" si="61"/>
        <v>1094</v>
      </c>
      <c r="CO107" s="209" t="str">
        <f t="shared" si="40"/>
        <v>0</v>
      </c>
      <c r="CP107" s="235">
        <f t="shared" si="41"/>
        <v>0</v>
      </c>
      <c r="CQ107" s="209">
        <f t="shared" si="77"/>
        <v>1</v>
      </c>
      <c r="CR107" s="235">
        <f t="shared" si="43"/>
        <v>1462</v>
      </c>
      <c r="CS107" s="235">
        <f t="shared" si="76"/>
        <v>1</v>
      </c>
      <c r="CT107" s="235">
        <f t="shared" si="76"/>
        <v>1462</v>
      </c>
      <c r="CU107" s="14">
        <v>51</v>
      </c>
      <c r="CV107" s="284" t="str">
        <f t="shared" si="62"/>
        <v>0</v>
      </c>
      <c r="CW107" s="284" t="str">
        <f t="shared" si="63"/>
        <v>0</v>
      </c>
      <c r="CX107" s="243">
        <f t="shared" si="64"/>
        <v>7.9394054481191318</v>
      </c>
      <c r="CY107" s="216" t="str">
        <f t="shared" si="65"/>
        <v>0</v>
      </c>
      <c r="CZ107" s="216" t="str">
        <f t="shared" si="66"/>
        <v>0</v>
      </c>
      <c r="DA107" s="243">
        <f t="shared" si="67"/>
        <v>7.9394054481191318</v>
      </c>
      <c r="DB107" s="305">
        <v>1</v>
      </c>
      <c r="DC107" s="305">
        <v>0</v>
      </c>
      <c r="DD107" s="305">
        <v>0</v>
      </c>
      <c r="DE107" s="305">
        <v>0</v>
      </c>
      <c r="DF107" s="305">
        <v>1</v>
      </c>
      <c r="DG107" s="305">
        <v>0</v>
      </c>
      <c r="DH107" s="305">
        <v>0</v>
      </c>
      <c r="DI107" s="305">
        <v>0</v>
      </c>
      <c r="DJ107" s="306">
        <v>0</v>
      </c>
      <c r="DK107" s="306">
        <v>40</v>
      </c>
      <c r="DL107" s="306">
        <f t="shared" si="45"/>
        <v>36</v>
      </c>
      <c r="DM107" s="306">
        <v>4</v>
      </c>
      <c r="DN107" s="306">
        <v>25</v>
      </c>
      <c r="DO107" s="306">
        <v>17</v>
      </c>
      <c r="DP107" s="306">
        <v>23</v>
      </c>
      <c r="DQ107" s="306">
        <v>17</v>
      </c>
      <c r="DR107" s="306">
        <v>18</v>
      </c>
      <c r="DS107" s="306">
        <v>22</v>
      </c>
      <c r="DT107" s="306">
        <v>18</v>
      </c>
      <c r="DU107" s="306">
        <v>1</v>
      </c>
      <c r="DV107" s="306">
        <v>0</v>
      </c>
      <c r="DW107" s="306">
        <v>4</v>
      </c>
      <c r="DX107" s="306">
        <v>0</v>
      </c>
      <c r="DY107" s="306">
        <v>0</v>
      </c>
      <c r="DZ107" s="306">
        <v>4</v>
      </c>
      <c r="EA107" s="306">
        <v>0</v>
      </c>
      <c r="EB107" s="306">
        <v>40</v>
      </c>
      <c r="EC107" s="306">
        <v>40</v>
      </c>
      <c r="ED107" s="342"/>
      <c r="EE107" s="342"/>
    </row>
    <row r="108" spans="1:138" x14ac:dyDescent="0.2">
      <c r="A108" s="12" t="s">
        <v>142</v>
      </c>
      <c r="B108" s="169">
        <v>102</v>
      </c>
      <c r="C108" s="12" t="s">
        <v>86</v>
      </c>
      <c r="D108" s="13">
        <v>1961</v>
      </c>
      <c r="E108" s="11"/>
      <c r="F108" s="169" t="s">
        <v>13</v>
      </c>
      <c r="G108" s="35">
        <v>1</v>
      </c>
      <c r="H108" s="45">
        <v>5</v>
      </c>
      <c r="I108" s="1" t="s">
        <v>19</v>
      </c>
      <c r="J108" s="122">
        <v>33805</v>
      </c>
      <c r="K108" s="122">
        <v>2367</v>
      </c>
      <c r="L108" s="122">
        <f>834+1128+639</f>
        <v>2601</v>
      </c>
      <c r="M108" s="122"/>
      <c r="N108" s="122">
        <v>133</v>
      </c>
      <c r="O108" s="122">
        <v>264</v>
      </c>
      <c r="P108" s="122">
        <v>134</v>
      </c>
      <c r="Q108" s="122">
        <v>253</v>
      </c>
      <c r="R108" s="179">
        <v>5701.54</v>
      </c>
      <c r="S108" s="121">
        <v>3743.5</v>
      </c>
      <c r="T108" s="122">
        <f t="shared" si="46"/>
        <v>116</v>
      </c>
      <c r="U108" s="180">
        <f t="shared" si="78"/>
        <v>5004.9399999999996</v>
      </c>
      <c r="V108" s="180">
        <f t="shared" si="78"/>
        <v>3290.71</v>
      </c>
      <c r="W108" s="122">
        <v>17</v>
      </c>
      <c r="X108" s="180">
        <v>696.6</v>
      </c>
      <c r="Y108" s="180">
        <v>452.79</v>
      </c>
      <c r="Z108" s="122"/>
      <c r="AA108" s="180"/>
      <c r="AB108" s="180"/>
      <c r="AC108" s="180">
        <f t="shared" si="48"/>
        <v>169.9</v>
      </c>
      <c r="AD108" s="179">
        <f t="shared" si="49"/>
        <v>0</v>
      </c>
      <c r="AE108" s="271"/>
      <c r="AF108" s="179"/>
      <c r="AG108" s="180">
        <v>169.9</v>
      </c>
      <c r="AH108" s="180"/>
      <c r="AI108" s="180">
        <f t="shared" si="50"/>
        <v>5871.44</v>
      </c>
      <c r="AJ108" s="122"/>
      <c r="AK108" s="122"/>
      <c r="AL108" s="122">
        <f>9-1-1</f>
        <v>7</v>
      </c>
      <c r="AM108" s="122"/>
      <c r="AN108" s="122">
        <v>1</v>
      </c>
      <c r="AO108" s="122">
        <v>2</v>
      </c>
      <c r="AP108" s="122">
        <f>1930+2345+1408</f>
        <v>5683</v>
      </c>
      <c r="AQ108" s="122"/>
      <c r="AR108" s="122">
        <f>64+32+64+32+68+34+130+170+138</f>
        <v>732</v>
      </c>
      <c r="AS108" s="122">
        <v>525</v>
      </c>
      <c r="AT108" s="122">
        <v>115</v>
      </c>
      <c r="AU108" s="122">
        <f t="shared" si="38"/>
        <v>6605</v>
      </c>
      <c r="AV108" s="122"/>
      <c r="AW108" s="122">
        <v>6605</v>
      </c>
      <c r="AX108" s="122"/>
      <c r="AY108" s="122">
        <v>545</v>
      </c>
      <c r="AZ108" s="122">
        <v>2074</v>
      </c>
      <c r="BA108" s="122">
        <v>2074</v>
      </c>
      <c r="BB108" s="122">
        <v>45</v>
      </c>
      <c r="BC108" s="122">
        <v>30</v>
      </c>
      <c r="BD108" s="122">
        <v>630</v>
      </c>
      <c r="BE108" s="122">
        <v>173</v>
      </c>
      <c r="BF108" s="122">
        <v>9</v>
      </c>
      <c r="BG108" s="122">
        <v>33579</v>
      </c>
      <c r="BH108" s="122">
        <v>1116</v>
      </c>
      <c r="BI108" s="122"/>
      <c r="BJ108" s="115">
        <f t="shared" si="51"/>
        <v>1</v>
      </c>
      <c r="BK108" s="115">
        <f t="shared" si="52"/>
        <v>5701.54</v>
      </c>
      <c r="BL108" s="115">
        <f t="shared" si="53"/>
        <v>3743.5</v>
      </c>
      <c r="BM108" s="115" t="str">
        <f t="shared" si="54"/>
        <v>0</v>
      </c>
      <c r="BN108" s="115" t="str">
        <f t="shared" si="55"/>
        <v>0</v>
      </c>
      <c r="BO108" s="115" t="str">
        <f t="shared" si="56"/>
        <v>0</v>
      </c>
      <c r="BP108" s="115" t="str">
        <f t="shared" si="57"/>
        <v>0</v>
      </c>
      <c r="BQ108" s="115" t="str">
        <f t="shared" si="58"/>
        <v>0</v>
      </c>
      <c r="BR108" s="115" t="str">
        <f t="shared" si="59"/>
        <v>0</v>
      </c>
      <c r="BS108" s="115">
        <v>1</v>
      </c>
      <c r="BT108" s="115">
        <v>4</v>
      </c>
      <c r="BU108" s="122"/>
      <c r="BV108" s="115"/>
      <c r="BW108" s="115">
        <v>31</v>
      </c>
      <c r="BX108" s="115">
        <f>AP108</f>
        <v>5683</v>
      </c>
      <c r="BY108" s="275">
        <v>2059.31</v>
      </c>
      <c r="BZ108" s="253">
        <v>430.3</v>
      </c>
      <c r="CA108" s="354">
        <v>430.3</v>
      </c>
      <c r="CB108" s="354"/>
      <c r="CC108" s="354"/>
      <c r="CD108" s="354">
        <v>1582.01</v>
      </c>
      <c r="CE108" s="354">
        <f>8.3+8+6.5+6.5+2.7</f>
        <v>32</v>
      </c>
      <c r="CF108" s="354"/>
      <c r="CG108" s="354"/>
      <c r="CH108" s="355">
        <v>15</v>
      </c>
      <c r="CI108" s="356">
        <f t="shared" si="69"/>
        <v>2059.31</v>
      </c>
      <c r="CJ108" s="356">
        <f t="shared" si="60"/>
        <v>430.3</v>
      </c>
      <c r="CK108" s="357">
        <v>2074</v>
      </c>
      <c r="CL108" s="358">
        <f t="shared" si="70"/>
        <v>4133.3099999999995</v>
      </c>
      <c r="CM108" s="157">
        <v>6745</v>
      </c>
      <c r="CN108" s="275">
        <f t="shared" si="61"/>
        <v>4378</v>
      </c>
      <c r="CO108" s="209" t="str">
        <f t="shared" si="40"/>
        <v>0</v>
      </c>
      <c r="CP108" s="235">
        <f t="shared" si="41"/>
        <v>0</v>
      </c>
      <c r="CQ108" s="209">
        <f t="shared" si="77"/>
        <v>1</v>
      </c>
      <c r="CR108" s="235">
        <f t="shared" si="43"/>
        <v>6605</v>
      </c>
      <c r="CS108" s="235">
        <f t="shared" si="76"/>
        <v>1</v>
      </c>
      <c r="CT108" s="235">
        <f t="shared" si="76"/>
        <v>6605</v>
      </c>
      <c r="CU108" s="14">
        <v>45</v>
      </c>
      <c r="CV108" s="284" t="str">
        <f t="shared" si="62"/>
        <v>0</v>
      </c>
      <c r="CW108" s="284" t="str">
        <f t="shared" si="63"/>
        <v>0</v>
      </c>
      <c r="CX108" s="243">
        <f t="shared" si="64"/>
        <v>12.217751695156046</v>
      </c>
      <c r="CY108" s="216" t="str">
        <f t="shared" si="65"/>
        <v>0</v>
      </c>
      <c r="CZ108" s="216" t="str">
        <f t="shared" si="66"/>
        <v>0</v>
      </c>
      <c r="DA108" s="243">
        <f t="shared" si="67"/>
        <v>11.864210483288598</v>
      </c>
      <c r="DB108" s="305">
        <v>1</v>
      </c>
      <c r="DC108" s="305">
        <v>0</v>
      </c>
      <c r="DD108" s="305">
        <v>0</v>
      </c>
      <c r="DE108" s="305">
        <v>0</v>
      </c>
      <c r="DF108" s="305">
        <v>2</v>
      </c>
      <c r="DG108" s="305">
        <v>0</v>
      </c>
      <c r="DH108" s="305">
        <v>0</v>
      </c>
      <c r="DI108" s="305">
        <v>0</v>
      </c>
      <c r="DJ108" s="306">
        <v>0</v>
      </c>
      <c r="DK108" s="306">
        <v>134</v>
      </c>
      <c r="DL108" s="306">
        <f t="shared" si="45"/>
        <v>118</v>
      </c>
      <c r="DM108" s="306">
        <v>16</v>
      </c>
      <c r="DN108" s="306">
        <v>80</v>
      </c>
      <c r="DO108" s="306">
        <v>63</v>
      </c>
      <c r="DP108" s="306">
        <v>71</v>
      </c>
      <c r="DQ108" s="306">
        <v>63</v>
      </c>
      <c r="DR108" s="306">
        <v>67</v>
      </c>
      <c r="DS108" s="306">
        <v>67</v>
      </c>
      <c r="DT108" s="306">
        <v>67</v>
      </c>
      <c r="DU108" s="306">
        <v>6</v>
      </c>
      <c r="DV108" s="306">
        <v>2</v>
      </c>
      <c r="DW108" s="306">
        <v>12</v>
      </c>
      <c r="DX108" s="306">
        <v>2</v>
      </c>
      <c r="DY108" s="306">
        <v>3</v>
      </c>
      <c r="DZ108" s="306">
        <v>11</v>
      </c>
      <c r="EA108" s="306">
        <v>3</v>
      </c>
      <c r="EB108" s="306">
        <v>134</v>
      </c>
      <c r="EC108" s="306">
        <v>134</v>
      </c>
      <c r="ED108" s="342"/>
      <c r="EE108" s="342"/>
    </row>
    <row r="109" spans="1:138" x14ac:dyDescent="0.2">
      <c r="A109" s="12" t="s">
        <v>142</v>
      </c>
      <c r="B109" s="169">
        <v>103</v>
      </c>
      <c r="C109" s="12" t="s">
        <v>181</v>
      </c>
      <c r="D109" s="13">
        <v>1971</v>
      </c>
      <c r="E109" s="11"/>
      <c r="F109" s="169" t="s">
        <v>13</v>
      </c>
      <c r="G109" s="35">
        <v>1</v>
      </c>
      <c r="H109" s="45">
        <v>5</v>
      </c>
      <c r="I109" s="1" t="s">
        <v>19</v>
      </c>
      <c r="J109" s="122">
        <v>6432</v>
      </c>
      <c r="K109" s="122">
        <v>462</v>
      </c>
      <c r="L109" s="122">
        <v>544</v>
      </c>
      <c r="M109" s="122"/>
      <c r="N109" s="122">
        <v>38</v>
      </c>
      <c r="O109" s="122">
        <v>67</v>
      </c>
      <c r="P109" s="122">
        <v>38</v>
      </c>
      <c r="Q109" s="122">
        <v>62</v>
      </c>
      <c r="R109" s="179">
        <v>1523.77</v>
      </c>
      <c r="S109" s="121">
        <v>996.15</v>
      </c>
      <c r="T109" s="122">
        <f t="shared" si="46"/>
        <v>34</v>
      </c>
      <c r="U109" s="180">
        <f t="shared" si="78"/>
        <v>1356.99</v>
      </c>
      <c r="V109" s="180">
        <f t="shared" si="78"/>
        <v>883.16</v>
      </c>
      <c r="W109" s="122">
        <v>4</v>
      </c>
      <c r="X109" s="180">
        <v>166.78</v>
      </c>
      <c r="Y109" s="180">
        <v>112.99</v>
      </c>
      <c r="Z109" s="122"/>
      <c r="AA109" s="180"/>
      <c r="AB109" s="180"/>
      <c r="AC109" s="180">
        <f t="shared" si="48"/>
        <v>55.8</v>
      </c>
      <c r="AD109" s="179">
        <f t="shared" si="49"/>
        <v>0</v>
      </c>
      <c r="AE109" s="271"/>
      <c r="AF109" s="179"/>
      <c r="AG109" s="180">
        <v>55.8</v>
      </c>
      <c r="AH109" s="180"/>
      <c r="AI109" s="180">
        <f t="shared" si="50"/>
        <v>1579.57</v>
      </c>
      <c r="AJ109" s="122"/>
      <c r="AK109" s="122"/>
      <c r="AL109" s="122">
        <v>2</v>
      </c>
      <c r="AM109" s="122"/>
      <c r="AN109" s="122"/>
      <c r="AO109" s="122">
        <v>1</v>
      </c>
      <c r="AP109" s="122">
        <v>1367</v>
      </c>
      <c r="AQ109" s="122"/>
      <c r="AR109" s="122">
        <f>196+98+34</f>
        <v>328</v>
      </c>
      <c r="AS109" s="122">
        <v>96</v>
      </c>
      <c r="AT109" s="122">
        <v>26</v>
      </c>
      <c r="AU109" s="122">
        <f t="shared" si="38"/>
        <v>1462</v>
      </c>
      <c r="AV109" s="122"/>
      <c r="AW109" s="122">
        <v>1462</v>
      </c>
      <c r="AX109" s="122"/>
      <c r="AY109" s="122">
        <v>56</v>
      </c>
      <c r="AZ109" s="122">
        <v>450</v>
      </c>
      <c r="BA109" s="122">
        <v>450</v>
      </c>
      <c r="BB109" s="122">
        <v>10</v>
      </c>
      <c r="BC109" s="122">
        <v>7</v>
      </c>
      <c r="BD109" s="122">
        <v>128</v>
      </c>
      <c r="BE109" s="122">
        <v>38</v>
      </c>
      <c r="BF109" s="122">
        <v>2</v>
      </c>
      <c r="BG109" s="122">
        <v>7462</v>
      </c>
      <c r="BH109" s="122">
        <v>246</v>
      </c>
      <c r="BI109" s="122"/>
      <c r="BJ109" s="115">
        <f t="shared" si="51"/>
        <v>1</v>
      </c>
      <c r="BK109" s="115">
        <f t="shared" si="52"/>
        <v>1523.77</v>
      </c>
      <c r="BL109" s="115">
        <f t="shared" si="53"/>
        <v>996.15</v>
      </c>
      <c r="BM109" s="115" t="str">
        <f t="shared" si="54"/>
        <v>0</v>
      </c>
      <c r="BN109" s="115" t="str">
        <f t="shared" si="55"/>
        <v>0</v>
      </c>
      <c r="BO109" s="115" t="str">
        <f t="shared" si="56"/>
        <v>0</v>
      </c>
      <c r="BP109" s="115" t="str">
        <f t="shared" si="57"/>
        <v>0</v>
      </c>
      <c r="BQ109" s="115" t="str">
        <f t="shared" si="58"/>
        <v>0</v>
      </c>
      <c r="BR109" s="115" t="str">
        <f t="shared" si="59"/>
        <v>0</v>
      </c>
      <c r="BS109" s="115"/>
      <c r="BT109" s="115"/>
      <c r="BU109" s="122"/>
      <c r="BV109" s="115"/>
      <c r="BW109" s="115"/>
      <c r="BX109" s="115">
        <f>AP109</f>
        <v>1367</v>
      </c>
      <c r="BY109" s="275">
        <v>581.92999999999995</v>
      </c>
      <c r="BZ109" s="253">
        <v>123.93</v>
      </c>
      <c r="CA109" s="354">
        <v>123.93</v>
      </c>
      <c r="CB109" s="354"/>
      <c r="CC109" s="354"/>
      <c r="CD109" s="354">
        <f>450*0+449.8</f>
        <v>449.8</v>
      </c>
      <c r="CE109" s="354">
        <v>8.1999999999999993</v>
      </c>
      <c r="CF109" s="354"/>
      <c r="CG109" s="354"/>
      <c r="CH109" s="355"/>
      <c r="CI109" s="356">
        <f t="shared" si="69"/>
        <v>581.93000000000006</v>
      </c>
      <c r="CJ109" s="356">
        <f t="shared" si="60"/>
        <v>123.93</v>
      </c>
      <c r="CK109" s="357">
        <v>450</v>
      </c>
      <c r="CL109" s="358">
        <f t="shared" si="70"/>
        <v>1031.93</v>
      </c>
      <c r="CM109" s="157">
        <v>1428</v>
      </c>
      <c r="CN109" s="275">
        <f t="shared" si="61"/>
        <v>966</v>
      </c>
      <c r="CO109" s="209" t="str">
        <f t="shared" si="40"/>
        <v>0</v>
      </c>
      <c r="CP109" s="235">
        <f t="shared" si="41"/>
        <v>0</v>
      </c>
      <c r="CQ109" s="209">
        <f t="shared" si="77"/>
        <v>1</v>
      </c>
      <c r="CR109" s="235">
        <f t="shared" si="43"/>
        <v>1462</v>
      </c>
      <c r="CS109" s="235">
        <f t="shared" si="76"/>
        <v>1</v>
      </c>
      <c r="CT109" s="235">
        <f t="shared" si="76"/>
        <v>1462</v>
      </c>
      <c r="CU109" s="14">
        <v>46</v>
      </c>
      <c r="CV109" s="284" t="str">
        <f t="shared" si="62"/>
        <v>0</v>
      </c>
      <c r="CW109" s="284" t="str">
        <f t="shared" si="63"/>
        <v>0</v>
      </c>
      <c r="CX109" s="243">
        <f t="shared" si="64"/>
        <v>10.945221391679846</v>
      </c>
      <c r="CY109" s="216" t="str">
        <f t="shared" si="65"/>
        <v>0</v>
      </c>
      <c r="CZ109" s="216" t="str">
        <f t="shared" si="66"/>
        <v>0</v>
      </c>
      <c r="DA109" s="243">
        <f t="shared" si="67"/>
        <v>10.558569737333578</v>
      </c>
      <c r="DB109" s="305">
        <v>1</v>
      </c>
      <c r="DC109" s="305">
        <v>0</v>
      </c>
      <c r="DD109" s="305">
        <v>0</v>
      </c>
      <c r="DE109" s="305">
        <v>0</v>
      </c>
      <c r="DF109" s="305">
        <v>1</v>
      </c>
      <c r="DG109" s="305">
        <v>0</v>
      </c>
      <c r="DH109" s="305">
        <v>0</v>
      </c>
      <c r="DI109" s="305">
        <v>0</v>
      </c>
      <c r="DJ109" s="306">
        <v>0</v>
      </c>
      <c r="DK109" s="306">
        <v>38</v>
      </c>
      <c r="DL109" s="306">
        <f t="shared" si="45"/>
        <v>34</v>
      </c>
      <c r="DM109" s="306">
        <v>4</v>
      </c>
      <c r="DN109" s="306">
        <v>17</v>
      </c>
      <c r="DO109" s="306">
        <v>13</v>
      </c>
      <c r="DP109" s="306">
        <v>25</v>
      </c>
      <c r="DQ109" s="306">
        <v>13</v>
      </c>
      <c r="DR109" s="306">
        <v>13</v>
      </c>
      <c r="DS109" s="306">
        <v>25</v>
      </c>
      <c r="DT109" s="306">
        <v>13</v>
      </c>
      <c r="DU109" s="306">
        <v>0</v>
      </c>
      <c r="DV109" s="306">
        <v>1</v>
      </c>
      <c r="DW109" s="306">
        <v>4</v>
      </c>
      <c r="DX109" s="306">
        <v>1</v>
      </c>
      <c r="DY109" s="306">
        <v>1</v>
      </c>
      <c r="DZ109" s="306">
        <v>4</v>
      </c>
      <c r="EA109" s="306">
        <v>1</v>
      </c>
      <c r="EB109" s="306">
        <v>38</v>
      </c>
      <c r="EC109" s="306">
        <v>38</v>
      </c>
      <c r="ED109" s="342"/>
      <c r="EE109" s="342"/>
    </row>
    <row r="110" spans="1:138" s="210" customFormat="1" x14ac:dyDescent="0.2">
      <c r="A110" s="12" t="s">
        <v>142</v>
      </c>
      <c r="B110" s="169">
        <v>114</v>
      </c>
      <c r="C110" s="12" t="s">
        <v>171</v>
      </c>
      <c r="D110" s="13">
        <v>1960</v>
      </c>
      <c r="E110" s="11"/>
      <c r="F110" s="169" t="s">
        <v>13</v>
      </c>
      <c r="G110" s="35">
        <v>1</v>
      </c>
      <c r="H110" s="45">
        <v>5</v>
      </c>
      <c r="I110" s="1" t="s">
        <v>19</v>
      </c>
      <c r="J110" s="122">
        <f>12592+9922+6411+6399</f>
        <v>35324</v>
      </c>
      <c r="K110" s="116">
        <v>2538</v>
      </c>
      <c r="L110" s="122">
        <f>1081+835+561+545</f>
        <v>3022</v>
      </c>
      <c r="M110" s="122"/>
      <c r="N110" s="122">
        <v>215</v>
      </c>
      <c r="O110" s="122">
        <v>391</v>
      </c>
      <c r="P110" s="122">
        <v>216</v>
      </c>
      <c r="Q110" s="122">
        <v>368</v>
      </c>
      <c r="R110" s="180">
        <f>8798.28+0.07-0.02</f>
        <v>8798.33</v>
      </c>
      <c r="S110" s="121">
        <v>5401.67</v>
      </c>
      <c r="T110" s="122">
        <f t="shared" ref="T110:T115" si="79">N110-W110-Z110</f>
        <v>188</v>
      </c>
      <c r="U110" s="180">
        <f t="shared" ref="U110:V115" si="80">R110-X110-AA110</f>
        <v>7675.55</v>
      </c>
      <c r="V110" s="180">
        <f t="shared" si="80"/>
        <v>4716.7700000000004</v>
      </c>
      <c r="W110" s="122">
        <v>27</v>
      </c>
      <c r="X110" s="180">
        <v>1122.78</v>
      </c>
      <c r="Y110" s="180">
        <v>684.9</v>
      </c>
      <c r="Z110" s="122"/>
      <c r="AA110" s="180"/>
      <c r="AB110" s="180"/>
      <c r="AC110" s="180">
        <f t="shared" ref="AC110:AC115" si="81">AD110+AG110+AH110</f>
        <v>104.1</v>
      </c>
      <c r="AD110" s="179">
        <f t="shared" ref="AD110:AD115" si="82">AE110+AF110</f>
        <v>0</v>
      </c>
      <c r="AE110" s="271"/>
      <c r="AF110" s="179"/>
      <c r="AG110" s="180">
        <v>104.1</v>
      </c>
      <c r="AH110" s="180"/>
      <c r="AI110" s="180">
        <f t="shared" ref="AI110:AI115" si="83">R110+AC110</f>
        <v>8902.43</v>
      </c>
      <c r="AJ110" s="122"/>
      <c r="AK110" s="122"/>
      <c r="AL110" s="122">
        <f>4+3+2+2</f>
        <v>11</v>
      </c>
      <c r="AM110" s="122"/>
      <c r="AN110" s="122"/>
      <c r="AO110" s="122">
        <f>1+1</f>
        <v>2</v>
      </c>
      <c r="AP110" s="122">
        <f>2320+1905+1386+1357</f>
        <v>6968</v>
      </c>
      <c r="AQ110" s="35"/>
      <c r="AR110" s="122">
        <f>276+317+116+116</f>
        <v>825</v>
      </c>
      <c r="AS110" s="122">
        <f>276+183+145+80</f>
        <v>684</v>
      </c>
      <c r="AT110" s="122">
        <f>51+38+26+26</f>
        <v>141</v>
      </c>
      <c r="AU110" s="122">
        <f t="shared" ref="AU110:AU115" si="84">AV110+AW110</f>
        <v>8454</v>
      </c>
      <c r="AV110" s="122"/>
      <c r="AW110" s="122">
        <f>3073+2305+1538+1538</f>
        <v>8454</v>
      </c>
      <c r="AX110" s="122"/>
      <c r="AY110" s="122">
        <f>202+166+108+107</f>
        <v>583</v>
      </c>
      <c r="AZ110" s="122">
        <f>886+699+452+451</f>
        <v>2488</v>
      </c>
      <c r="BA110" s="122">
        <f>886+699+452+451</f>
        <v>2488</v>
      </c>
      <c r="BB110" s="122">
        <f>20+15+10+10</f>
        <v>55</v>
      </c>
      <c r="BC110" s="122">
        <f>12+9+6+6</f>
        <v>33</v>
      </c>
      <c r="BD110" s="122">
        <f>220+175+110+110</f>
        <v>615</v>
      </c>
      <c r="BE110" s="122">
        <f>79+59+40+40</f>
        <v>218</v>
      </c>
      <c r="BF110" s="122">
        <f>4+3+2+2</f>
        <v>11</v>
      </c>
      <c r="BG110" s="122">
        <f>14872+11154+7436+7436</f>
        <v>40898</v>
      </c>
      <c r="BH110" s="122">
        <f>492+369+246+246</f>
        <v>1353</v>
      </c>
      <c r="BI110" s="122"/>
      <c r="BJ110" s="115">
        <f t="shared" ref="BJ110:BJ115" si="85">IF((I110="кир"),G110,"0")</f>
        <v>1</v>
      </c>
      <c r="BK110" s="115">
        <f t="shared" ref="BK110:BK115" si="86">IF((I110="кир"),R110,"0")</f>
        <v>8798.33</v>
      </c>
      <c r="BL110" s="115">
        <f t="shared" ref="BL110:BL115" si="87">IF((I110="кир"),S110,"0")</f>
        <v>5401.67</v>
      </c>
      <c r="BM110" s="115" t="str">
        <f t="shared" ref="BM110:BM115" si="88">IF((I110="пан"),G110,"0")</f>
        <v>0</v>
      </c>
      <c r="BN110" s="115" t="str">
        <f t="shared" ref="BN110:BN115" si="89">IF((I110="пан"),R110,"0")</f>
        <v>0</v>
      </c>
      <c r="BO110" s="115" t="str">
        <f t="shared" ref="BO110:BO115" si="90">IF((I110="пан"),S110,"0")</f>
        <v>0</v>
      </c>
      <c r="BP110" s="115" t="str">
        <f t="shared" ref="BP110:BP115" si="91">IF((I110="смеш"),G110,"0")</f>
        <v>0</v>
      </c>
      <c r="BQ110" s="115" t="str">
        <f t="shared" ref="BQ110:BQ115" si="92">IF((I110="смеш"),R110,"0")</f>
        <v>0</v>
      </c>
      <c r="BR110" s="115" t="str">
        <f t="shared" ref="BR110:BR115" si="93">IF((I110="смеш"),S110,"0")</f>
        <v>0</v>
      </c>
      <c r="BS110" s="115"/>
      <c r="BT110" s="115">
        <f>2+1+1+1</f>
        <v>5</v>
      </c>
      <c r="BU110" s="122"/>
      <c r="BV110" s="115"/>
      <c r="BW110" s="115"/>
      <c r="BX110" s="115">
        <f>AP110</f>
        <v>6968</v>
      </c>
      <c r="BY110" s="275">
        <v>3173.31</v>
      </c>
      <c r="BZ110" s="253">
        <v>676.08</v>
      </c>
      <c r="CA110" s="354">
        <f>121.7+121.43+187.65+245.3</f>
        <v>676.07999999999993</v>
      </c>
      <c r="CB110" s="354"/>
      <c r="CC110" s="354"/>
      <c r="CD110" s="354">
        <f>886.1+699.2+452.4+451.3</f>
        <v>2489.0000000000005</v>
      </c>
      <c r="CE110" s="354">
        <v>8.23</v>
      </c>
      <c r="CF110" s="354"/>
      <c r="CG110" s="354"/>
      <c r="CH110" s="355"/>
      <c r="CI110" s="356">
        <f t="shared" si="69"/>
        <v>3173.3100000000004</v>
      </c>
      <c r="CJ110" s="356">
        <f t="shared" si="60"/>
        <v>676.07999999999993</v>
      </c>
      <c r="CK110" s="357">
        <v>2488</v>
      </c>
      <c r="CL110" s="358">
        <f t="shared" si="70"/>
        <v>5661.31</v>
      </c>
      <c r="CM110" s="157">
        <f>2581+2070+1324+1329</f>
        <v>7304</v>
      </c>
      <c r="CN110" s="275">
        <f t="shared" ref="CN110:CN115" si="94">CM110-K110</f>
        <v>4766</v>
      </c>
      <c r="CO110" s="209" t="str">
        <f t="shared" ref="CO110:CO115" si="95">IF(CP110&gt;0,G110,"0")</f>
        <v>0</v>
      </c>
      <c r="CP110" s="235">
        <f t="shared" ref="CP110:CP115" si="96">AV110</f>
        <v>0</v>
      </c>
      <c r="CQ110" s="209">
        <f t="shared" ref="CQ110:CQ115" si="97">IF(CR110&gt;0,G110,"0")</f>
        <v>1</v>
      </c>
      <c r="CR110" s="235">
        <f t="shared" ref="CR110:CR115" si="98">AW110</f>
        <v>8454</v>
      </c>
      <c r="CS110" s="235">
        <f t="shared" ref="CS110:CT115" si="99">CO110+CQ110</f>
        <v>1</v>
      </c>
      <c r="CT110" s="235">
        <f t="shared" si="99"/>
        <v>8454</v>
      </c>
      <c r="CU110" s="14">
        <v>47</v>
      </c>
      <c r="CV110" s="284" t="str">
        <f t="shared" ref="CV110:CV115" si="100">IF((X110/R110*100&gt;=50), G110, "0")</f>
        <v>0</v>
      </c>
      <c r="CW110" s="284" t="str">
        <f t="shared" ref="CW110:CW115" si="101">IF((X110/R110*100&gt;=50), R110, "0")</f>
        <v>0</v>
      </c>
      <c r="CX110" s="243">
        <f t="shared" ref="CX110:CX115" si="102">X110/R110*100</f>
        <v>12.76128538029376</v>
      </c>
      <c r="CY110" s="216" t="str">
        <f t="shared" ref="CY110:CY115" si="103">IF(((X110+AD110)/AI110*100&gt;=50), G110, "0")</f>
        <v>0</v>
      </c>
      <c r="CZ110" s="216" t="str">
        <f t="shared" ref="CZ110:CZ115" si="104">IF(((X110+AD110)/AI110*100&gt;=50), AI110, "0")</f>
        <v>0</v>
      </c>
      <c r="DA110" s="243">
        <f t="shared" ref="DA110:DA115" si="105">(X110+AD110)/AI110*100</f>
        <v>12.612062099898566</v>
      </c>
      <c r="DB110" s="305">
        <v>1</v>
      </c>
      <c r="DC110" s="305">
        <v>0</v>
      </c>
      <c r="DD110" s="305">
        <v>0</v>
      </c>
      <c r="DE110" s="305">
        <v>0</v>
      </c>
      <c r="DF110" s="305">
        <v>4</v>
      </c>
      <c r="DG110" s="305">
        <v>0</v>
      </c>
      <c r="DH110" s="305">
        <v>0</v>
      </c>
      <c r="DI110" s="305">
        <v>0</v>
      </c>
      <c r="DJ110" s="306">
        <v>0</v>
      </c>
      <c r="DK110" s="306">
        <v>215</v>
      </c>
      <c r="DL110" s="306">
        <f t="shared" ref="DL110:DL115" si="106">DK110-DM110</f>
        <v>184</v>
      </c>
      <c r="DM110" s="306">
        <v>31</v>
      </c>
      <c r="DN110" s="306">
        <v>130</v>
      </c>
      <c r="DO110" s="306">
        <v>86</v>
      </c>
      <c r="DP110" s="306">
        <v>129</v>
      </c>
      <c r="DQ110" s="306">
        <v>86</v>
      </c>
      <c r="DR110" s="306">
        <v>86</v>
      </c>
      <c r="DS110" s="306">
        <v>128</v>
      </c>
      <c r="DT110" s="306">
        <v>87</v>
      </c>
      <c r="DU110" s="306">
        <v>12</v>
      </c>
      <c r="DV110" s="306">
        <v>12</v>
      </c>
      <c r="DW110" s="306">
        <v>16</v>
      </c>
      <c r="DX110" s="306">
        <v>12</v>
      </c>
      <c r="DY110" s="306">
        <v>12</v>
      </c>
      <c r="DZ110" s="306">
        <v>16</v>
      </c>
      <c r="EA110" s="306">
        <v>12</v>
      </c>
      <c r="EB110" s="306">
        <v>215</v>
      </c>
      <c r="EC110" s="306">
        <v>215</v>
      </c>
      <c r="ED110" s="342"/>
      <c r="EE110" s="342"/>
      <c r="EF110" s="7"/>
      <c r="EG110" s="7"/>
      <c r="EH110" s="7"/>
    </row>
    <row r="111" spans="1:138" s="210" customFormat="1" x14ac:dyDescent="0.2">
      <c r="A111" s="27" t="s">
        <v>197</v>
      </c>
      <c r="B111" s="169">
        <v>115</v>
      </c>
      <c r="C111" s="12" t="s">
        <v>263</v>
      </c>
      <c r="D111" s="200">
        <v>1965</v>
      </c>
      <c r="E111" s="11"/>
      <c r="F111" s="169" t="s">
        <v>13</v>
      </c>
      <c r="G111" s="35">
        <v>1</v>
      </c>
      <c r="H111" s="201">
        <v>5</v>
      </c>
      <c r="I111" s="201" t="s">
        <v>19</v>
      </c>
      <c r="J111" s="115">
        <v>9807</v>
      </c>
      <c r="K111" s="115">
        <v>717</v>
      </c>
      <c r="L111" s="157">
        <v>840</v>
      </c>
      <c r="M111" s="115"/>
      <c r="N111" s="115">
        <v>56</v>
      </c>
      <c r="O111" s="115">
        <v>112</v>
      </c>
      <c r="P111" s="115">
        <v>56</v>
      </c>
      <c r="Q111" s="115">
        <v>46</v>
      </c>
      <c r="R111" s="228">
        <v>2488.48</v>
      </c>
      <c r="S111" s="230">
        <v>1565.83</v>
      </c>
      <c r="T111" s="115">
        <f t="shared" si="79"/>
        <v>53</v>
      </c>
      <c r="U111" s="203">
        <f t="shared" si="80"/>
        <v>2386.44</v>
      </c>
      <c r="V111" s="180">
        <f t="shared" si="80"/>
        <v>1502.57</v>
      </c>
      <c r="W111" s="115">
        <v>3</v>
      </c>
      <c r="X111" s="207">
        <v>102.04</v>
      </c>
      <c r="Y111" s="207">
        <v>63.26</v>
      </c>
      <c r="Z111" s="204"/>
      <c r="AA111" s="207"/>
      <c r="AB111" s="207"/>
      <c r="AC111" s="207">
        <f t="shared" si="81"/>
        <v>43.300000000000004</v>
      </c>
      <c r="AD111" s="248">
        <f t="shared" si="82"/>
        <v>0</v>
      </c>
      <c r="AE111" s="275"/>
      <c r="AF111" s="275"/>
      <c r="AG111" s="207">
        <f>85.54-42.24</f>
        <v>43.300000000000004</v>
      </c>
      <c r="AH111" s="207"/>
      <c r="AI111" s="207">
        <f t="shared" si="83"/>
        <v>2531.7800000000002</v>
      </c>
      <c r="AJ111" s="170"/>
      <c r="AK111" s="170"/>
      <c r="AL111" s="170">
        <v>3</v>
      </c>
      <c r="AM111" s="170"/>
      <c r="AN111" s="170"/>
      <c r="AO111" s="170">
        <v>1</v>
      </c>
      <c r="AP111" s="170">
        <v>1727</v>
      </c>
      <c r="AQ111" s="170"/>
      <c r="AR111" s="170">
        <v>386</v>
      </c>
      <c r="AS111" s="170">
        <v>242</v>
      </c>
      <c r="AT111" s="170">
        <v>50</v>
      </c>
      <c r="AU111" s="170">
        <f t="shared" si="84"/>
        <v>2655</v>
      </c>
      <c r="AV111" s="170"/>
      <c r="AW111" s="170">
        <v>2655</v>
      </c>
      <c r="AX111" s="170"/>
      <c r="AY111" s="170">
        <v>81</v>
      </c>
      <c r="AZ111" s="170">
        <v>701</v>
      </c>
      <c r="BA111" s="170">
        <v>701</v>
      </c>
      <c r="BB111" s="170">
        <v>12</v>
      </c>
      <c r="BC111" s="170">
        <v>12</v>
      </c>
      <c r="BD111" s="170">
        <v>176</v>
      </c>
      <c r="BE111" s="170">
        <v>59</v>
      </c>
      <c r="BF111" s="170"/>
      <c r="BG111" s="170">
        <v>300</v>
      </c>
      <c r="BH111" s="170">
        <v>60</v>
      </c>
      <c r="BI111" s="170"/>
      <c r="BJ111" s="115">
        <f t="shared" si="85"/>
        <v>1</v>
      </c>
      <c r="BK111" s="115">
        <f t="shared" si="86"/>
        <v>2488.48</v>
      </c>
      <c r="BL111" s="115">
        <f t="shared" si="87"/>
        <v>1565.83</v>
      </c>
      <c r="BM111" s="115" t="str">
        <f t="shared" si="88"/>
        <v>0</v>
      </c>
      <c r="BN111" s="115" t="str">
        <f t="shared" si="89"/>
        <v>0</v>
      </c>
      <c r="BO111" s="115" t="str">
        <f t="shared" si="90"/>
        <v>0</v>
      </c>
      <c r="BP111" s="115" t="str">
        <f t="shared" si="91"/>
        <v>0</v>
      </c>
      <c r="BQ111" s="115" t="str">
        <f t="shared" si="92"/>
        <v>0</v>
      </c>
      <c r="BR111" s="115" t="str">
        <f t="shared" si="93"/>
        <v>0</v>
      </c>
      <c r="BS111" s="115"/>
      <c r="BT111" s="115"/>
      <c r="BU111" s="115">
        <f>BA111</f>
        <v>701</v>
      </c>
      <c r="BV111" s="115">
        <v>2422</v>
      </c>
      <c r="BW111" s="115"/>
      <c r="BX111" s="115">
        <f>AP111</f>
        <v>1727</v>
      </c>
      <c r="BY111" s="253">
        <v>897.19999999999993</v>
      </c>
      <c r="BZ111" s="253">
        <v>187.57</v>
      </c>
      <c r="CA111" s="354">
        <v>187.57</v>
      </c>
      <c r="CB111" s="354"/>
      <c r="CC111" s="354"/>
      <c r="CD111" s="354">
        <v>700.5</v>
      </c>
      <c r="CE111" s="354">
        <v>9.1300000000000008</v>
      </c>
      <c r="CF111" s="354"/>
      <c r="CG111" s="354"/>
      <c r="CH111" s="355"/>
      <c r="CI111" s="356">
        <f t="shared" si="69"/>
        <v>897.2</v>
      </c>
      <c r="CJ111" s="356">
        <f t="shared" si="60"/>
        <v>187.57</v>
      </c>
      <c r="CK111" s="357">
        <v>701</v>
      </c>
      <c r="CL111" s="358">
        <f t="shared" si="70"/>
        <v>1598.2</v>
      </c>
      <c r="CM111" s="205">
        <v>1437</v>
      </c>
      <c r="CN111" s="282">
        <f t="shared" si="94"/>
        <v>720</v>
      </c>
      <c r="CO111" s="209" t="str">
        <f t="shared" si="95"/>
        <v>0</v>
      </c>
      <c r="CP111" s="235">
        <f t="shared" si="96"/>
        <v>0</v>
      </c>
      <c r="CQ111" s="209">
        <f t="shared" si="97"/>
        <v>1</v>
      </c>
      <c r="CR111" s="235">
        <f t="shared" si="98"/>
        <v>2655</v>
      </c>
      <c r="CS111" s="235">
        <f t="shared" si="99"/>
        <v>1</v>
      </c>
      <c r="CT111" s="235">
        <f t="shared" si="99"/>
        <v>2655</v>
      </c>
      <c r="CU111" s="156">
        <v>45</v>
      </c>
      <c r="CV111" s="284" t="str">
        <f t="shared" si="100"/>
        <v>0</v>
      </c>
      <c r="CW111" s="284" t="str">
        <f t="shared" si="101"/>
        <v>0</v>
      </c>
      <c r="CX111" s="243">
        <f t="shared" si="102"/>
        <v>4.1004950813347909</v>
      </c>
      <c r="CY111" s="216" t="str">
        <f t="shared" si="103"/>
        <v>0</v>
      </c>
      <c r="CZ111" s="216" t="str">
        <f t="shared" si="104"/>
        <v>0</v>
      </c>
      <c r="DA111" s="243">
        <f t="shared" si="105"/>
        <v>4.0303659875660607</v>
      </c>
      <c r="DB111" s="306">
        <v>1</v>
      </c>
      <c r="DC111" s="306">
        <v>0</v>
      </c>
      <c r="DD111" s="306">
        <v>0</v>
      </c>
      <c r="DE111" s="306">
        <v>0</v>
      </c>
      <c r="DF111" s="306">
        <v>1</v>
      </c>
      <c r="DG111" s="306">
        <v>0</v>
      </c>
      <c r="DH111" s="306">
        <v>0</v>
      </c>
      <c r="DI111" s="306">
        <v>0</v>
      </c>
      <c r="DJ111" s="306">
        <v>0</v>
      </c>
      <c r="DK111" s="306">
        <v>58</v>
      </c>
      <c r="DL111" s="306">
        <f t="shared" si="106"/>
        <v>55</v>
      </c>
      <c r="DM111" s="306">
        <v>3</v>
      </c>
      <c r="DN111" s="306">
        <v>31</v>
      </c>
      <c r="DO111" s="306">
        <v>17</v>
      </c>
      <c r="DP111" s="306">
        <v>44</v>
      </c>
      <c r="DQ111" s="306">
        <v>17</v>
      </c>
      <c r="DR111" s="306">
        <v>17</v>
      </c>
      <c r="DS111" s="306">
        <v>44</v>
      </c>
      <c r="DT111" s="306">
        <v>17</v>
      </c>
      <c r="DU111" s="306">
        <v>0</v>
      </c>
      <c r="DV111" s="306">
        <v>0</v>
      </c>
      <c r="DW111" s="306">
        <v>2</v>
      </c>
      <c r="DX111" s="306">
        <v>0</v>
      </c>
      <c r="DY111" s="306">
        <v>0</v>
      </c>
      <c r="DZ111" s="306">
        <v>2</v>
      </c>
      <c r="EA111" s="306">
        <v>0</v>
      </c>
      <c r="EB111" s="306">
        <v>58</v>
      </c>
      <c r="EC111" s="306">
        <v>58</v>
      </c>
      <c r="ED111" s="342"/>
      <c r="EE111" s="342"/>
      <c r="EF111" s="3"/>
      <c r="EG111" s="3"/>
      <c r="EH111" s="3"/>
    </row>
    <row r="112" spans="1:138" s="210" customFormat="1" x14ac:dyDescent="0.2">
      <c r="A112" s="12" t="s">
        <v>142</v>
      </c>
      <c r="B112" s="169">
        <v>116</v>
      </c>
      <c r="C112" s="12" t="s">
        <v>79</v>
      </c>
      <c r="D112" s="13">
        <v>1971</v>
      </c>
      <c r="E112" s="11"/>
      <c r="F112" s="169" t="s">
        <v>20</v>
      </c>
      <c r="G112" s="35">
        <v>1</v>
      </c>
      <c r="H112" s="45">
        <v>5</v>
      </c>
      <c r="I112" s="1" t="s">
        <v>22</v>
      </c>
      <c r="J112" s="122">
        <v>8984</v>
      </c>
      <c r="K112" s="122">
        <v>670</v>
      </c>
      <c r="L112" s="122">
        <v>781</v>
      </c>
      <c r="M112" s="122"/>
      <c r="N112" s="122">
        <v>59</v>
      </c>
      <c r="O112" s="122">
        <v>113</v>
      </c>
      <c r="P112" s="122">
        <v>59</v>
      </c>
      <c r="Q112" s="122">
        <v>111</v>
      </c>
      <c r="R112" s="180">
        <v>2530.02</v>
      </c>
      <c r="S112" s="121">
        <v>1727.94</v>
      </c>
      <c r="T112" s="122">
        <f t="shared" si="79"/>
        <v>56</v>
      </c>
      <c r="U112" s="180">
        <f t="shared" si="80"/>
        <v>2409.39</v>
      </c>
      <c r="V112" s="180">
        <f t="shared" si="80"/>
        <v>1646.93</v>
      </c>
      <c r="W112" s="122">
        <v>3</v>
      </c>
      <c r="X112" s="180">
        <v>120.63</v>
      </c>
      <c r="Y112" s="180">
        <v>81.010000000000005</v>
      </c>
      <c r="Z112" s="122"/>
      <c r="AA112" s="180"/>
      <c r="AB112" s="180"/>
      <c r="AC112" s="180">
        <f t="shared" si="81"/>
        <v>0</v>
      </c>
      <c r="AD112" s="179">
        <f t="shared" si="82"/>
        <v>0</v>
      </c>
      <c r="AE112" s="271"/>
      <c r="AF112" s="179"/>
      <c r="AG112" s="180"/>
      <c r="AH112" s="180"/>
      <c r="AI112" s="180">
        <f t="shared" si="83"/>
        <v>2530.02</v>
      </c>
      <c r="AJ112" s="122"/>
      <c r="AK112" s="122"/>
      <c r="AL112" s="122">
        <v>3</v>
      </c>
      <c r="AM112" s="122"/>
      <c r="AN112" s="122">
        <v>1</v>
      </c>
      <c r="AO112" s="122">
        <v>1</v>
      </c>
      <c r="AP112" s="122">
        <v>1820</v>
      </c>
      <c r="AQ112" s="35"/>
      <c r="AR112" s="122">
        <f>104+34+114</f>
        <v>252</v>
      </c>
      <c r="AS112" s="122">
        <v>165</v>
      </c>
      <c r="AT112" s="122">
        <v>38</v>
      </c>
      <c r="AU112" s="122">
        <f t="shared" si="84"/>
        <v>2208</v>
      </c>
      <c r="AV112" s="122"/>
      <c r="AW112" s="122">
        <v>2208</v>
      </c>
      <c r="AX112" s="122">
        <v>1425</v>
      </c>
      <c r="AY112" s="122">
        <v>104</v>
      </c>
      <c r="AZ112" s="122">
        <v>651</v>
      </c>
      <c r="BA112" s="122">
        <v>651</v>
      </c>
      <c r="BB112" s="122">
        <v>15</v>
      </c>
      <c r="BC112" s="122">
        <v>9</v>
      </c>
      <c r="BD112" s="122">
        <v>160</v>
      </c>
      <c r="BE112" s="122">
        <v>59</v>
      </c>
      <c r="BF112" s="122">
        <v>1</v>
      </c>
      <c r="BG112" s="122">
        <v>11274</v>
      </c>
      <c r="BH112" s="122">
        <v>219</v>
      </c>
      <c r="BI112" s="122"/>
      <c r="BJ112" s="115" t="str">
        <f t="shared" si="85"/>
        <v>0</v>
      </c>
      <c r="BK112" s="115" t="str">
        <f t="shared" si="86"/>
        <v>0</v>
      </c>
      <c r="BL112" s="115" t="str">
        <f t="shared" si="87"/>
        <v>0</v>
      </c>
      <c r="BM112" s="115">
        <f t="shared" si="88"/>
        <v>1</v>
      </c>
      <c r="BN112" s="115">
        <f t="shared" si="89"/>
        <v>2530.02</v>
      </c>
      <c r="BO112" s="115">
        <f t="shared" si="90"/>
        <v>1727.94</v>
      </c>
      <c r="BP112" s="115" t="str">
        <f t="shared" si="91"/>
        <v>0</v>
      </c>
      <c r="BQ112" s="115" t="str">
        <f t="shared" si="92"/>
        <v>0</v>
      </c>
      <c r="BR112" s="115" t="str">
        <f t="shared" si="93"/>
        <v>0</v>
      </c>
      <c r="BS112" s="115"/>
      <c r="BT112" s="115">
        <v>1</v>
      </c>
      <c r="BU112" s="122">
        <v>651</v>
      </c>
      <c r="BV112" s="115"/>
      <c r="BW112" s="115">
        <v>13</v>
      </c>
      <c r="BX112" s="115"/>
      <c r="BY112" s="275">
        <v>854.31</v>
      </c>
      <c r="BZ112" s="253">
        <v>203.31</v>
      </c>
      <c r="CA112" s="354">
        <v>203.31</v>
      </c>
      <c r="CB112" s="354"/>
      <c r="CC112" s="354"/>
      <c r="CD112" s="354">
        <v>651</v>
      </c>
      <c r="CE112" s="354"/>
      <c r="CF112" s="354"/>
      <c r="CG112" s="354"/>
      <c r="CH112" s="355"/>
      <c r="CI112" s="356">
        <f t="shared" si="69"/>
        <v>854.31</v>
      </c>
      <c r="CJ112" s="356">
        <f t="shared" si="60"/>
        <v>203.31</v>
      </c>
      <c r="CK112" s="357">
        <v>651</v>
      </c>
      <c r="CL112" s="358">
        <f t="shared" si="70"/>
        <v>1505.31</v>
      </c>
      <c r="CM112" s="157">
        <v>1784</v>
      </c>
      <c r="CN112" s="275">
        <f t="shared" si="94"/>
        <v>1114</v>
      </c>
      <c r="CO112" s="209" t="str">
        <f t="shared" si="95"/>
        <v>0</v>
      </c>
      <c r="CP112" s="235">
        <f t="shared" si="96"/>
        <v>0</v>
      </c>
      <c r="CQ112" s="209">
        <f t="shared" si="97"/>
        <v>1</v>
      </c>
      <c r="CR112" s="235">
        <f t="shared" si="98"/>
        <v>2208</v>
      </c>
      <c r="CS112" s="235">
        <f t="shared" si="99"/>
        <v>1</v>
      </c>
      <c r="CT112" s="235">
        <f t="shared" si="99"/>
        <v>2208</v>
      </c>
      <c r="CU112" s="14">
        <v>52</v>
      </c>
      <c r="CV112" s="284" t="str">
        <f t="shared" si="100"/>
        <v>0</v>
      </c>
      <c r="CW112" s="284" t="str">
        <f t="shared" si="101"/>
        <v>0</v>
      </c>
      <c r="CX112" s="243">
        <f t="shared" si="102"/>
        <v>4.7679464984466531</v>
      </c>
      <c r="CY112" s="216" t="str">
        <f t="shared" si="103"/>
        <v>0</v>
      </c>
      <c r="CZ112" s="216" t="str">
        <f t="shared" si="104"/>
        <v>0</v>
      </c>
      <c r="DA112" s="243">
        <f t="shared" si="105"/>
        <v>4.7679464984466531</v>
      </c>
      <c r="DB112" s="305">
        <v>1</v>
      </c>
      <c r="DC112" s="305">
        <v>0</v>
      </c>
      <c r="DD112" s="305">
        <v>0</v>
      </c>
      <c r="DE112" s="305">
        <v>0</v>
      </c>
      <c r="DF112" s="305">
        <v>1</v>
      </c>
      <c r="DG112" s="305">
        <v>0</v>
      </c>
      <c r="DH112" s="305">
        <v>0</v>
      </c>
      <c r="DI112" s="305">
        <v>0</v>
      </c>
      <c r="DJ112" s="306">
        <v>0</v>
      </c>
      <c r="DK112" s="306">
        <v>59</v>
      </c>
      <c r="DL112" s="306">
        <f t="shared" si="106"/>
        <v>55</v>
      </c>
      <c r="DM112" s="306">
        <v>4</v>
      </c>
      <c r="DN112" s="306">
        <v>35</v>
      </c>
      <c r="DO112" s="306">
        <v>35</v>
      </c>
      <c r="DP112" s="306">
        <v>24</v>
      </c>
      <c r="DQ112" s="306">
        <v>35</v>
      </c>
      <c r="DR112" s="306">
        <v>35</v>
      </c>
      <c r="DS112" s="306">
        <v>24</v>
      </c>
      <c r="DT112" s="306">
        <v>35</v>
      </c>
      <c r="DU112" s="306">
        <v>2</v>
      </c>
      <c r="DV112" s="306">
        <v>2</v>
      </c>
      <c r="DW112" s="306">
        <v>2</v>
      </c>
      <c r="DX112" s="306">
        <v>2</v>
      </c>
      <c r="DY112" s="306">
        <v>2</v>
      </c>
      <c r="DZ112" s="306">
        <v>2</v>
      </c>
      <c r="EA112" s="306">
        <v>2</v>
      </c>
      <c r="EB112" s="306">
        <v>59</v>
      </c>
      <c r="EC112" s="306">
        <v>59</v>
      </c>
      <c r="ED112" s="342"/>
      <c r="EE112" s="342"/>
      <c r="EF112" s="7"/>
      <c r="EG112" s="7"/>
      <c r="EH112" s="7"/>
    </row>
    <row r="113" spans="1:138" s="210" customFormat="1" x14ac:dyDescent="0.2">
      <c r="A113" s="12" t="s">
        <v>142</v>
      </c>
      <c r="B113" s="169">
        <v>117</v>
      </c>
      <c r="C113" s="12" t="s">
        <v>182</v>
      </c>
      <c r="D113" s="13">
        <v>1971</v>
      </c>
      <c r="E113" s="11"/>
      <c r="F113" s="169" t="s">
        <v>20</v>
      </c>
      <c r="G113" s="35">
        <v>1</v>
      </c>
      <c r="H113" s="45">
        <v>5</v>
      </c>
      <c r="I113" s="1" t="s">
        <v>22</v>
      </c>
      <c r="J113" s="122">
        <v>9016</v>
      </c>
      <c r="K113" s="122">
        <v>674</v>
      </c>
      <c r="L113" s="122">
        <v>785</v>
      </c>
      <c r="M113" s="122"/>
      <c r="N113" s="122">
        <v>59</v>
      </c>
      <c r="O113" s="122">
        <v>113</v>
      </c>
      <c r="P113" s="122">
        <v>60</v>
      </c>
      <c r="Q113" s="122">
        <v>116</v>
      </c>
      <c r="R113" s="180">
        <v>2529.38</v>
      </c>
      <c r="S113" s="121">
        <v>1689.6</v>
      </c>
      <c r="T113" s="122">
        <f t="shared" si="79"/>
        <v>56</v>
      </c>
      <c r="U113" s="180">
        <f t="shared" si="80"/>
        <v>2393.9900000000002</v>
      </c>
      <c r="V113" s="180">
        <f t="shared" si="80"/>
        <v>1597.86</v>
      </c>
      <c r="W113" s="122">
        <v>3</v>
      </c>
      <c r="X113" s="180">
        <v>135.38999999999999</v>
      </c>
      <c r="Y113" s="180">
        <v>91.74</v>
      </c>
      <c r="Z113" s="122"/>
      <c r="AA113" s="180"/>
      <c r="AB113" s="180"/>
      <c r="AC113" s="180">
        <f t="shared" si="81"/>
        <v>0</v>
      </c>
      <c r="AD113" s="179">
        <f t="shared" si="82"/>
        <v>0</v>
      </c>
      <c r="AE113" s="271"/>
      <c r="AF113" s="179"/>
      <c r="AG113" s="180"/>
      <c r="AH113" s="180"/>
      <c r="AI113" s="180">
        <f t="shared" si="83"/>
        <v>2529.38</v>
      </c>
      <c r="AJ113" s="122"/>
      <c r="AK113" s="122"/>
      <c r="AL113" s="122">
        <v>3</v>
      </c>
      <c r="AM113" s="122"/>
      <c r="AN113" s="122"/>
      <c r="AO113" s="122">
        <v>1</v>
      </c>
      <c r="AP113" s="122">
        <v>1822</v>
      </c>
      <c r="AQ113" s="35"/>
      <c r="AR113" s="122">
        <f>96+42+114</f>
        <v>252</v>
      </c>
      <c r="AS113" s="122">
        <v>195</v>
      </c>
      <c r="AT113" s="122">
        <v>38</v>
      </c>
      <c r="AU113" s="122">
        <f t="shared" si="84"/>
        <v>2193</v>
      </c>
      <c r="AV113" s="122"/>
      <c r="AW113" s="122">
        <v>2193</v>
      </c>
      <c r="AX113" s="122">
        <v>1425</v>
      </c>
      <c r="AY113" s="122">
        <v>104</v>
      </c>
      <c r="AZ113" s="122">
        <v>653</v>
      </c>
      <c r="BA113" s="122">
        <v>653</v>
      </c>
      <c r="BB113" s="122">
        <v>15</v>
      </c>
      <c r="BC113" s="122">
        <v>9</v>
      </c>
      <c r="BD113" s="122">
        <v>160</v>
      </c>
      <c r="BE113" s="122">
        <v>59</v>
      </c>
      <c r="BF113" s="122">
        <v>1</v>
      </c>
      <c r="BG113" s="122">
        <v>11274</v>
      </c>
      <c r="BH113" s="122">
        <v>219</v>
      </c>
      <c r="BI113" s="122"/>
      <c r="BJ113" s="115" t="str">
        <f t="shared" si="85"/>
        <v>0</v>
      </c>
      <c r="BK113" s="115" t="str">
        <f t="shared" si="86"/>
        <v>0</v>
      </c>
      <c r="BL113" s="115" t="str">
        <f t="shared" si="87"/>
        <v>0</v>
      </c>
      <c r="BM113" s="115">
        <f t="shared" si="88"/>
        <v>1</v>
      </c>
      <c r="BN113" s="115">
        <f t="shared" si="89"/>
        <v>2529.38</v>
      </c>
      <c r="BO113" s="115">
        <f t="shared" si="90"/>
        <v>1689.6</v>
      </c>
      <c r="BP113" s="115" t="str">
        <f t="shared" si="91"/>
        <v>0</v>
      </c>
      <c r="BQ113" s="115" t="str">
        <f t="shared" si="92"/>
        <v>0</v>
      </c>
      <c r="BR113" s="115" t="str">
        <f t="shared" si="93"/>
        <v>0</v>
      </c>
      <c r="BS113" s="115"/>
      <c r="BT113" s="115"/>
      <c r="BU113" s="122"/>
      <c r="BV113" s="115"/>
      <c r="BW113" s="115"/>
      <c r="BX113" s="115"/>
      <c r="BY113" s="275">
        <v>859.23</v>
      </c>
      <c r="BZ113" s="253">
        <v>205.93</v>
      </c>
      <c r="CA113" s="354">
        <v>205.93</v>
      </c>
      <c r="CB113" s="354"/>
      <c r="CC113" s="354"/>
      <c r="CD113" s="354">
        <v>653.29999999999995</v>
      </c>
      <c r="CE113" s="354"/>
      <c r="CF113" s="354"/>
      <c r="CG113" s="354"/>
      <c r="CH113" s="355"/>
      <c r="CI113" s="356">
        <f t="shared" si="69"/>
        <v>859.23</v>
      </c>
      <c r="CJ113" s="356">
        <f t="shared" si="60"/>
        <v>205.93</v>
      </c>
      <c r="CK113" s="357">
        <v>653</v>
      </c>
      <c r="CL113" s="358">
        <f t="shared" si="70"/>
        <v>1512.23</v>
      </c>
      <c r="CM113" s="157">
        <v>1731</v>
      </c>
      <c r="CN113" s="275">
        <f t="shared" si="94"/>
        <v>1057</v>
      </c>
      <c r="CO113" s="209" t="str">
        <f t="shared" si="95"/>
        <v>0</v>
      </c>
      <c r="CP113" s="235">
        <f t="shared" si="96"/>
        <v>0</v>
      </c>
      <c r="CQ113" s="209">
        <f t="shared" si="97"/>
        <v>1</v>
      </c>
      <c r="CR113" s="235">
        <f t="shared" si="98"/>
        <v>2193</v>
      </c>
      <c r="CS113" s="235">
        <f t="shared" si="99"/>
        <v>1</v>
      </c>
      <c r="CT113" s="235">
        <f t="shared" si="99"/>
        <v>2193</v>
      </c>
      <c r="CU113" s="14">
        <v>53</v>
      </c>
      <c r="CV113" s="284" t="str">
        <f t="shared" si="100"/>
        <v>0</v>
      </c>
      <c r="CW113" s="284" t="str">
        <f t="shared" si="101"/>
        <v>0</v>
      </c>
      <c r="CX113" s="243">
        <f t="shared" si="102"/>
        <v>5.3526951268690341</v>
      </c>
      <c r="CY113" s="216" t="str">
        <f t="shared" si="103"/>
        <v>0</v>
      </c>
      <c r="CZ113" s="216" t="str">
        <f t="shared" si="104"/>
        <v>0</v>
      </c>
      <c r="DA113" s="243">
        <f t="shared" si="105"/>
        <v>5.3526951268690341</v>
      </c>
      <c r="DB113" s="305">
        <v>1</v>
      </c>
      <c r="DC113" s="305">
        <v>0</v>
      </c>
      <c r="DD113" s="305">
        <v>0</v>
      </c>
      <c r="DE113" s="305">
        <v>0</v>
      </c>
      <c r="DF113" s="305">
        <v>1</v>
      </c>
      <c r="DG113" s="305">
        <v>0</v>
      </c>
      <c r="DH113" s="305">
        <v>0</v>
      </c>
      <c r="DI113" s="305">
        <v>0</v>
      </c>
      <c r="DJ113" s="306">
        <v>0</v>
      </c>
      <c r="DK113" s="306">
        <v>59</v>
      </c>
      <c r="DL113" s="306">
        <f t="shared" si="106"/>
        <v>54</v>
      </c>
      <c r="DM113" s="306">
        <v>5</v>
      </c>
      <c r="DN113" s="306">
        <v>42</v>
      </c>
      <c r="DO113" s="306">
        <v>26</v>
      </c>
      <c r="DP113" s="306">
        <v>33</v>
      </c>
      <c r="DQ113" s="306">
        <v>26</v>
      </c>
      <c r="DR113" s="306">
        <v>27</v>
      </c>
      <c r="DS113" s="306">
        <v>32</v>
      </c>
      <c r="DT113" s="306">
        <v>27</v>
      </c>
      <c r="DU113" s="306">
        <v>0</v>
      </c>
      <c r="DV113" s="306">
        <v>1</v>
      </c>
      <c r="DW113" s="306">
        <v>2</v>
      </c>
      <c r="DX113" s="306">
        <v>1</v>
      </c>
      <c r="DY113" s="306">
        <v>1</v>
      </c>
      <c r="DZ113" s="306">
        <v>2</v>
      </c>
      <c r="EA113" s="306">
        <v>1</v>
      </c>
      <c r="EB113" s="306">
        <v>59</v>
      </c>
      <c r="EC113" s="306">
        <v>59</v>
      </c>
      <c r="ED113" s="342"/>
      <c r="EE113" s="342"/>
      <c r="EF113" s="7"/>
      <c r="EG113" s="7"/>
      <c r="EH113" s="7"/>
    </row>
    <row r="114" spans="1:138" s="210" customFormat="1" x14ac:dyDescent="0.2">
      <c r="A114" s="27" t="s">
        <v>197</v>
      </c>
      <c r="B114" s="169">
        <v>118</v>
      </c>
      <c r="C114" s="12" t="s">
        <v>264</v>
      </c>
      <c r="D114" s="200">
        <v>1973</v>
      </c>
      <c r="E114" s="11"/>
      <c r="F114" s="169" t="s">
        <v>196</v>
      </c>
      <c r="G114" s="35">
        <v>1</v>
      </c>
      <c r="H114" s="201">
        <v>5</v>
      </c>
      <c r="I114" s="201" t="s">
        <v>19</v>
      </c>
      <c r="J114" s="115">
        <v>9965</v>
      </c>
      <c r="K114" s="115">
        <v>683</v>
      </c>
      <c r="L114" s="157">
        <v>816</v>
      </c>
      <c r="M114" s="115"/>
      <c r="N114" s="115">
        <v>38</v>
      </c>
      <c r="O114" s="115">
        <v>78</v>
      </c>
      <c r="P114" s="115">
        <v>38</v>
      </c>
      <c r="Q114" s="115">
        <v>83</v>
      </c>
      <c r="R114" s="228">
        <v>2061.8000000000002</v>
      </c>
      <c r="S114" s="230">
        <v>1128.5999999999999</v>
      </c>
      <c r="T114" s="115">
        <f t="shared" si="79"/>
        <v>36</v>
      </c>
      <c r="U114" s="203">
        <f t="shared" si="80"/>
        <v>1957.1000000000001</v>
      </c>
      <c r="V114" s="180">
        <f t="shared" si="80"/>
        <v>1063.6899999999998</v>
      </c>
      <c r="W114" s="115">
        <v>2</v>
      </c>
      <c r="X114" s="207">
        <v>104.7</v>
      </c>
      <c r="Y114" s="207">
        <v>64.91</v>
      </c>
      <c r="Z114" s="204"/>
      <c r="AA114" s="207"/>
      <c r="AB114" s="207"/>
      <c r="AC114" s="207">
        <f t="shared" si="81"/>
        <v>0</v>
      </c>
      <c r="AD114" s="248">
        <f t="shared" si="82"/>
        <v>0</v>
      </c>
      <c r="AE114" s="275"/>
      <c r="AF114" s="275"/>
      <c r="AG114" s="207"/>
      <c r="AH114" s="207"/>
      <c r="AI114" s="207">
        <f t="shared" si="83"/>
        <v>2061.8000000000002</v>
      </c>
      <c r="AJ114" s="170"/>
      <c r="AK114" s="170"/>
      <c r="AL114" s="170">
        <v>2</v>
      </c>
      <c r="AM114" s="170">
        <v>2</v>
      </c>
      <c r="AN114" s="170"/>
      <c r="AO114" s="170">
        <v>1</v>
      </c>
      <c r="AP114" s="170">
        <v>2498</v>
      </c>
      <c r="AQ114" s="170"/>
      <c r="AR114" s="170">
        <v>386</v>
      </c>
      <c r="AS114" s="170">
        <v>1023</v>
      </c>
      <c r="AT114" s="170">
        <v>60</v>
      </c>
      <c r="AU114" s="170">
        <f t="shared" si="84"/>
        <v>2805</v>
      </c>
      <c r="AV114" s="170"/>
      <c r="AW114" s="170">
        <v>2805</v>
      </c>
      <c r="AX114" s="170"/>
      <c r="AY114" s="170">
        <v>132</v>
      </c>
      <c r="AZ114" s="170">
        <v>655</v>
      </c>
      <c r="BA114" s="170">
        <v>655</v>
      </c>
      <c r="BB114" s="170"/>
      <c r="BC114" s="170">
        <v>6</v>
      </c>
      <c r="BD114" s="170">
        <v>82</v>
      </c>
      <c r="BE114" s="170">
        <v>38</v>
      </c>
      <c r="BF114" s="170"/>
      <c r="BG114" s="170">
        <v>200</v>
      </c>
      <c r="BH114" s="170">
        <v>40</v>
      </c>
      <c r="BI114" s="170"/>
      <c r="BJ114" s="115">
        <f t="shared" si="85"/>
        <v>1</v>
      </c>
      <c r="BK114" s="115">
        <f t="shared" si="86"/>
        <v>2061.8000000000002</v>
      </c>
      <c r="BL114" s="115">
        <f t="shared" si="87"/>
        <v>1128.5999999999999</v>
      </c>
      <c r="BM114" s="115" t="str">
        <f t="shared" si="88"/>
        <v>0</v>
      </c>
      <c r="BN114" s="115" t="str">
        <f t="shared" si="89"/>
        <v>0</v>
      </c>
      <c r="BO114" s="115" t="str">
        <f t="shared" si="90"/>
        <v>0</v>
      </c>
      <c r="BP114" s="115" t="str">
        <f t="shared" si="91"/>
        <v>0</v>
      </c>
      <c r="BQ114" s="115" t="str">
        <f t="shared" si="92"/>
        <v>0</v>
      </c>
      <c r="BR114" s="115" t="str">
        <f t="shared" si="93"/>
        <v>0</v>
      </c>
      <c r="BS114" s="115"/>
      <c r="BT114" s="115"/>
      <c r="BU114" s="115">
        <f>BA114</f>
        <v>655</v>
      </c>
      <c r="BV114" s="115">
        <v>2566</v>
      </c>
      <c r="BW114" s="115"/>
      <c r="BX114" s="115">
        <f>AP114</f>
        <v>2498</v>
      </c>
      <c r="BY114" s="253">
        <v>1088.8</v>
      </c>
      <c r="BZ114" s="253">
        <v>381.4</v>
      </c>
      <c r="CA114" s="354">
        <v>381.4</v>
      </c>
      <c r="CB114" s="354"/>
      <c r="CC114" s="354"/>
      <c r="CD114" s="354">
        <v>655.20000000000005</v>
      </c>
      <c r="CE114" s="354">
        <v>9.3000000000000007</v>
      </c>
      <c r="CF114" s="354">
        <v>15</v>
      </c>
      <c r="CG114" s="354">
        <v>27.9</v>
      </c>
      <c r="CH114" s="355"/>
      <c r="CI114" s="356">
        <f t="shared" si="69"/>
        <v>1088.8000000000002</v>
      </c>
      <c r="CJ114" s="356">
        <f t="shared" si="60"/>
        <v>381.4</v>
      </c>
      <c r="CK114" s="357">
        <v>655</v>
      </c>
      <c r="CL114" s="358">
        <f t="shared" si="70"/>
        <v>1743.8000000000002</v>
      </c>
      <c r="CM114" s="205">
        <v>1239</v>
      </c>
      <c r="CN114" s="282">
        <f t="shared" si="94"/>
        <v>556</v>
      </c>
      <c r="CO114" s="209" t="str">
        <f t="shared" si="95"/>
        <v>0</v>
      </c>
      <c r="CP114" s="235">
        <f t="shared" si="96"/>
        <v>0</v>
      </c>
      <c r="CQ114" s="209">
        <f t="shared" si="97"/>
        <v>1</v>
      </c>
      <c r="CR114" s="235">
        <f t="shared" si="98"/>
        <v>2805</v>
      </c>
      <c r="CS114" s="235">
        <f t="shared" si="99"/>
        <v>1</v>
      </c>
      <c r="CT114" s="235">
        <f t="shared" si="99"/>
        <v>2805</v>
      </c>
      <c r="CU114" s="156">
        <v>65</v>
      </c>
      <c r="CV114" s="284" t="str">
        <f t="shared" si="100"/>
        <v>0</v>
      </c>
      <c r="CW114" s="284" t="str">
        <f t="shared" si="101"/>
        <v>0</v>
      </c>
      <c r="CX114" s="243">
        <f t="shared" si="102"/>
        <v>5.0780871083519248</v>
      </c>
      <c r="CY114" s="216" t="str">
        <f t="shared" si="103"/>
        <v>0</v>
      </c>
      <c r="CZ114" s="216" t="str">
        <f t="shared" si="104"/>
        <v>0</v>
      </c>
      <c r="DA114" s="243">
        <f t="shared" si="105"/>
        <v>5.0780871083519248</v>
      </c>
      <c r="DB114" s="306">
        <v>1</v>
      </c>
      <c r="DC114" s="306">
        <v>0</v>
      </c>
      <c r="DD114" s="306">
        <v>0</v>
      </c>
      <c r="DE114" s="306">
        <v>0</v>
      </c>
      <c r="DF114" s="306">
        <v>1</v>
      </c>
      <c r="DG114" s="306">
        <v>0</v>
      </c>
      <c r="DH114" s="306">
        <v>0</v>
      </c>
      <c r="DI114" s="306">
        <v>0</v>
      </c>
      <c r="DJ114" s="306">
        <v>0</v>
      </c>
      <c r="DK114" s="306">
        <v>38</v>
      </c>
      <c r="DL114" s="306">
        <f t="shared" si="106"/>
        <v>36</v>
      </c>
      <c r="DM114" s="306">
        <v>2</v>
      </c>
      <c r="DN114" s="306">
        <v>24</v>
      </c>
      <c r="DO114" s="306">
        <v>19</v>
      </c>
      <c r="DP114" s="306">
        <v>38</v>
      </c>
      <c r="DQ114" s="306">
        <v>38</v>
      </c>
      <c r="DR114" s="306">
        <v>19</v>
      </c>
      <c r="DS114" s="306">
        <v>37</v>
      </c>
      <c r="DT114" s="306">
        <v>39</v>
      </c>
      <c r="DU114" s="306">
        <v>2</v>
      </c>
      <c r="DV114" s="306">
        <v>0</v>
      </c>
      <c r="DW114" s="306">
        <v>2</v>
      </c>
      <c r="DX114" s="306">
        <v>0</v>
      </c>
      <c r="DY114" s="306">
        <v>0</v>
      </c>
      <c r="DZ114" s="306">
        <v>2</v>
      </c>
      <c r="EA114" s="306">
        <v>0</v>
      </c>
      <c r="EB114" s="306">
        <v>38</v>
      </c>
      <c r="EC114" s="306">
        <v>38</v>
      </c>
      <c r="ED114" s="342"/>
      <c r="EE114" s="342"/>
      <c r="EF114" s="211"/>
      <c r="EG114" s="211"/>
      <c r="EH114" s="211"/>
    </row>
    <row r="115" spans="1:138" s="210" customFormat="1" x14ac:dyDescent="0.2">
      <c r="A115" s="12" t="s">
        <v>142</v>
      </c>
      <c r="B115" s="169">
        <v>119</v>
      </c>
      <c r="C115" s="12" t="s">
        <v>80</v>
      </c>
      <c r="D115" s="13">
        <v>1971</v>
      </c>
      <c r="E115" s="11"/>
      <c r="F115" s="169" t="s">
        <v>20</v>
      </c>
      <c r="G115" s="35">
        <v>1</v>
      </c>
      <c r="H115" s="45">
        <v>5</v>
      </c>
      <c r="I115" s="1" t="s">
        <v>22</v>
      </c>
      <c r="J115" s="122">
        <v>9058</v>
      </c>
      <c r="K115" s="122">
        <v>663</v>
      </c>
      <c r="L115" s="122">
        <v>786</v>
      </c>
      <c r="M115" s="122"/>
      <c r="N115" s="122">
        <v>60</v>
      </c>
      <c r="O115" s="122">
        <v>115</v>
      </c>
      <c r="P115" s="122">
        <v>60</v>
      </c>
      <c r="Q115" s="122">
        <v>98</v>
      </c>
      <c r="R115" s="180">
        <f>2585.96-0.14+0.03</f>
        <v>2585.8500000000004</v>
      </c>
      <c r="S115" s="121">
        <v>1763.6</v>
      </c>
      <c r="T115" s="122">
        <f t="shared" si="79"/>
        <v>51</v>
      </c>
      <c r="U115" s="180">
        <f t="shared" si="80"/>
        <v>2130.2300000000005</v>
      </c>
      <c r="V115" s="180">
        <f t="shared" si="80"/>
        <v>1436.7199999999998</v>
      </c>
      <c r="W115" s="122">
        <v>9</v>
      </c>
      <c r="X115" s="180">
        <v>455.62</v>
      </c>
      <c r="Y115" s="180">
        <v>326.88</v>
      </c>
      <c r="Z115" s="122"/>
      <c r="AA115" s="180"/>
      <c r="AB115" s="180"/>
      <c r="AC115" s="180">
        <f t="shared" si="81"/>
        <v>0</v>
      </c>
      <c r="AD115" s="179">
        <f t="shared" si="82"/>
        <v>0</v>
      </c>
      <c r="AE115" s="271"/>
      <c r="AF115" s="179"/>
      <c r="AG115" s="180"/>
      <c r="AH115" s="180"/>
      <c r="AI115" s="180">
        <f t="shared" si="83"/>
        <v>2585.8500000000004</v>
      </c>
      <c r="AJ115" s="122"/>
      <c r="AK115" s="122"/>
      <c r="AL115" s="122">
        <v>3</v>
      </c>
      <c r="AM115" s="122"/>
      <c r="AN115" s="122">
        <v>1</v>
      </c>
      <c r="AO115" s="122">
        <v>1</v>
      </c>
      <c r="AP115" s="122">
        <v>1827</v>
      </c>
      <c r="AQ115" s="35">
        <v>17</v>
      </c>
      <c r="AR115" s="122">
        <f>104+29+114</f>
        <v>247</v>
      </c>
      <c r="AS115" s="122">
        <v>162</v>
      </c>
      <c r="AT115" s="122">
        <v>38</v>
      </c>
      <c r="AU115" s="122">
        <f t="shared" si="84"/>
        <v>2193</v>
      </c>
      <c r="AV115" s="122"/>
      <c r="AW115" s="122">
        <v>2193</v>
      </c>
      <c r="AX115" s="122">
        <v>1425</v>
      </c>
      <c r="AY115" s="122">
        <v>101</v>
      </c>
      <c r="AZ115" s="122">
        <v>654</v>
      </c>
      <c r="BA115" s="122">
        <v>654</v>
      </c>
      <c r="BB115" s="122">
        <v>15</v>
      </c>
      <c r="BC115" s="122">
        <v>9</v>
      </c>
      <c r="BD115" s="122">
        <v>163</v>
      </c>
      <c r="BE115" s="122">
        <v>60</v>
      </c>
      <c r="BF115" s="122">
        <v>1</v>
      </c>
      <c r="BG115" s="122">
        <v>11274</v>
      </c>
      <c r="BH115" s="122">
        <v>219</v>
      </c>
      <c r="BI115" s="122"/>
      <c r="BJ115" s="115" t="str">
        <f t="shared" si="85"/>
        <v>0</v>
      </c>
      <c r="BK115" s="115" t="str">
        <f t="shared" si="86"/>
        <v>0</v>
      </c>
      <c r="BL115" s="115" t="str">
        <f t="shared" si="87"/>
        <v>0</v>
      </c>
      <c r="BM115" s="115">
        <f t="shared" si="88"/>
        <v>1</v>
      </c>
      <c r="BN115" s="115">
        <f t="shared" si="89"/>
        <v>2585.8500000000004</v>
      </c>
      <c r="BO115" s="115">
        <f t="shared" si="90"/>
        <v>1763.6</v>
      </c>
      <c r="BP115" s="115" t="str">
        <f t="shared" si="91"/>
        <v>0</v>
      </c>
      <c r="BQ115" s="115" t="str">
        <f t="shared" si="92"/>
        <v>0</v>
      </c>
      <c r="BR115" s="115" t="str">
        <f t="shared" si="93"/>
        <v>0</v>
      </c>
      <c r="BS115" s="115"/>
      <c r="BT115" s="115"/>
      <c r="BU115" s="122">
        <v>654</v>
      </c>
      <c r="BV115" s="115"/>
      <c r="BW115" s="115"/>
      <c r="BX115" s="115"/>
      <c r="BY115" s="275">
        <v>859.71</v>
      </c>
      <c r="BZ115" s="253">
        <v>205.71</v>
      </c>
      <c r="CA115" s="354">
        <v>205.71</v>
      </c>
      <c r="CB115" s="354"/>
      <c r="CC115" s="354"/>
      <c r="CD115" s="354">
        <v>654</v>
      </c>
      <c r="CE115" s="354"/>
      <c r="CF115" s="354"/>
      <c r="CG115" s="354"/>
      <c r="CH115" s="355"/>
      <c r="CI115" s="356">
        <f t="shared" si="69"/>
        <v>859.71</v>
      </c>
      <c r="CJ115" s="356">
        <f t="shared" si="60"/>
        <v>205.71</v>
      </c>
      <c r="CK115" s="357">
        <v>654</v>
      </c>
      <c r="CL115" s="358">
        <f t="shared" si="70"/>
        <v>1513.71</v>
      </c>
      <c r="CM115" s="157">
        <v>1745</v>
      </c>
      <c r="CN115" s="275">
        <f t="shared" si="94"/>
        <v>1082</v>
      </c>
      <c r="CO115" s="209" t="str">
        <f t="shared" si="95"/>
        <v>0</v>
      </c>
      <c r="CP115" s="235">
        <f t="shared" si="96"/>
        <v>0</v>
      </c>
      <c r="CQ115" s="209">
        <f t="shared" si="97"/>
        <v>1</v>
      </c>
      <c r="CR115" s="235">
        <f t="shared" si="98"/>
        <v>2193</v>
      </c>
      <c r="CS115" s="235">
        <f t="shared" si="99"/>
        <v>1</v>
      </c>
      <c r="CT115" s="235">
        <f t="shared" si="99"/>
        <v>2193</v>
      </c>
      <c r="CU115" s="14">
        <v>53</v>
      </c>
      <c r="CV115" s="284" t="str">
        <f t="shared" si="100"/>
        <v>0</v>
      </c>
      <c r="CW115" s="284" t="str">
        <f t="shared" si="101"/>
        <v>0</v>
      </c>
      <c r="CX115" s="243">
        <f t="shared" si="102"/>
        <v>17.619738190536957</v>
      </c>
      <c r="CY115" s="216" t="str">
        <f t="shared" si="103"/>
        <v>0</v>
      </c>
      <c r="CZ115" s="216" t="str">
        <f t="shared" si="104"/>
        <v>0</v>
      </c>
      <c r="DA115" s="243">
        <f t="shared" si="105"/>
        <v>17.619738190536957</v>
      </c>
      <c r="DB115" s="305">
        <v>1</v>
      </c>
      <c r="DC115" s="305">
        <v>0</v>
      </c>
      <c r="DD115" s="305">
        <v>0</v>
      </c>
      <c r="DE115" s="305">
        <v>0</v>
      </c>
      <c r="DF115" s="305">
        <v>1</v>
      </c>
      <c r="DG115" s="305">
        <v>0</v>
      </c>
      <c r="DH115" s="305">
        <v>0</v>
      </c>
      <c r="DI115" s="305">
        <v>0</v>
      </c>
      <c r="DJ115" s="306">
        <v>0</v>
      </c>
      <c r="DK115" s="306">
        <v>60</v>
      </c>
      <c r="DL115" s="306">
        <f t="shared" si="106"/>
        <v>50</v>
      </c>
      <c r="DM115" s="306">
        <v>10</v>
      </c>
      <c r="DN115" s="306">
        <v>39</v>
      </c>
      <c r="DO115" s="306">
        <v>24</v>
      </c>
      <c r="DP115" s="306">
        <v>36</v>
      </c>
      <c r="DQ115" s="306">
        <v>24</v>
      </c>
      <c r="DR115" s="306">
        <v>24</v>
      </c>
      <c r="DS115" s="306">
        <v>36</v>
      </c>
      <c r="DT115" s="306">
        <v>24</v>
      </c>
      <c r="DU115" s="306">
        <v>4</v>
      </c>
      <c r="DV115" s="306">
        <v>2</v>
      </c>
      <c r="DW115" s="306">
        <v>6</v>
      </c>
      <c r="DX115" s="306">
        <v>2</v>
      </c>
      <c r="DY115" s="306">
        <v>2</v>
      </c>
      <c r="DZ115" s="306">
        <v>6</v>
      </c>
      <c r="EA115" s="306">
        <v>2</v>
      </c>
      <c r="EB115" s="306">
        <v>60</v>
      </c>
      <c r="EC115" s="306">
        <v>60</v>
      </c>
      <c r="ED115" s="342"/>
      <c r="EE115" s="342"/>
      <c r="EF115" s="3"/>
      <c r="EG115" s="3"/>
      <c r="EH115" s="3"/>
    </row>
    <row r="116" spans="1:138" x14ac:dyDescent="0.2">
      <c r="A116" s="12" t="s">
        <v>197</v>
      </c>
      <c r="B116" s="169">
        <v>104</v>
      </c>
      <c r="C116" s="12" t="s">
        <v>265</v>
      </c>
      <c r="D116" s="200">
        <v>1973</v>
      </c>
      <c r="E116" s="11"/>
      <c r="F116" s="169" t="s">
        <v>196</v>
      </c>
      <c r="G116" s="35">
        <v>1</v>
      </c>
      <c r="H116" s="201">
        <v>5</v>
      </c>
      <c r="I116" s="201" t="s">
        <v>19</v>
      </c>
      <c r="J116" s="115">
        <v>9950</v>
      </c>
      <c r="K116" s="115">
        <v>683</v>
      </c>
      <c r="L116" s="157">
        <v>791</v>
      </c>
      <c r="M116" s="115"/>
      <c r="N116" s="115">
        <v>38</v>
      </c>
      <c r="O116" s="115">
        <v>78</v>
      </c>
      <c r="P116" s="115">
        <v>38</v>
      </c>
      <c r="Q116" s="115">
        <v>82</v>
      </c>
      <c r="R116" s="228">
        <v>2060.8000000000002</v>
      </c>
      <c r="S116" s="230">
        <v>1129.3</v>
      </c>
      <c r="T116" s="115">
        <f t="shared" si="46"/>
        <v>36</v>
      </c>
      <c r="U116" s="203">
        <f t="shared" si="78"/>
        <v>1966.1000000000001</v>
      </c>
      <c r="V116" s="180">
        <f t="shared" si="78"/>
        <v>1070.5899999999999</v>
      </c>
      <c r="W116" s="115">
        <v>2</v>
      </c>
      <c r="X116" s="207">
        <v>94.7</v>
      </c>
      <c r="Y116" s="207">
        <v>58.71</v>
      </c>
      <c r="Z116" s="204"/>
      <c r="AA116" s="207"/>
      <c r="AB116" s="207"/>
      <c r="AC116" s="207">
        <f t="shared" si="48"/>
        <v>0</v>
      </c>
      <c r="AD116" s="248">
        <f t="shared" si="49"/>
        <v>0</v>
      </c>
      <c r="AE116" s="275"/>
      <c r="AF116" s="275"/>
      <c r="AG116" s="207"/>
      <c r="AH116" s="207"/>
      <c r="AI116" s="207">
        <f t="shared" si="50"/>
        <v>2060.8000000000002</v>
      </c>
      <c r="AJ116" s="170"/>
      <c r="AK116" s="170"/>
      <c r="AL116" s="170">
        <v>2</v>
      </c>
      <c r="AM116" s="170">
        <v>2</v>
      </c>
      <c r="AN116" s="170">
        <v>1</v>
      </c>
      <c r="AO116" s="170">
        <v>1</v>
      </c>
      <c r="AP116" s="170">
        <v>2497</v>
      </c>
      <c r="AQ116" s="170"/>
      <c r="AR116" s="170">
        <v>386</v>
      </c>
      <c r="AS116" s="170">
        <v>73</v>
      </c>
      <c r="AT116" s="170">
        <v>60</v>
      </c>
      <c r="AU116" s="170">
        <f t="shared" si="38"/>
        <v>2805</v>
      </c>
      <c r="AV116" s="170"/>
      <c r="AW116" s="170">
        <v>2805</v>
      </c>
      <c r="AX116" s="170"/>
      <c r="AY116" s="170">
        <v>134</v>
      </c>
      <c r="AZ116" s="170">
        <v>655</v>
      </c>
      <c r="BA116" s="170">
        <v>655</v>
      </c>
      <c r="BB116" s="170"/>
      <c r="BC116" s="170">
        <v>6</v>
      </c>
      <c r="BD116" s="170">
        <v>82</v>
      </c>
      <c r="BE116" s="170">
        <v>38</v>
      </c>
      <c r="BF116" s="170">
        <v>1</v>
      </c>
      <c r="BG116" s="170">
        <v>200</v>
      </c>
      <c r="BH116" s="170">
        <v>40</v>
      </c>
      <c r="BI116" s="170"/>
      <c r="BJ116" s="115">
        <f t="shared" si="51"/>
        <v>1</v>
      </c>
      <c r="BK116" s="115">
        <f t="shared" si="52"/>
        <v>2060.8000000000002</v>
      </c>
      <c r="BL116" s="115">
        <f t="shared" si="53"/>
        <v>1129.3</v>
      </c>
      <c r="BM116" s="115" t="str">
        <f t="shared" si="54"/>
        <v>0</v>
      </c>
      <c r="BN116" s="115" t="str">
        <f t="shared" si="55"/>
        <v>0</v>
      </c>
      <c r="BO116" s="115" t="str">
        <f t="shared" si="56"/>
        <v>0</v>
      </c>
      <c r="BP116" s="115" t="str">
        <f t="shared" si="57"/>
        <v>0</v>
      </c>
      <c r="BQ116" s="115" t="str">
        <f t="shared" si="58"/>
        <v>0</v>
      </c>
      <c r="BR116" s="115" t="str">
        <f t="shared" si="59"/>
        <v>0</v>
      </c>
      <c r="BS116" s="115"/>
      <c r="BT116" s="115">
        <v>1</v>
      </c>
      <c r="BU116" s="115">
        <f>BA116</f>
        <v>655</v>
      </c>
      <c r="BV116" s="115">
        <v>2566</v>
      </c>
      <c r="BW116" s="115"/>
      <c r="BX116" s="115">
        <f>AP116</f>
        <v>2497</v>
      </c>
      <c r="BY116" s="253">
        <v>1091.0999999999999</v>
      </c>
      <c r="BZ116" s="253">
        <v>385.5</v>
      </c>
      <c r="CA116" s="354">
        <v>385.5</v>
      </c>
      <c r="CB116" s="354"/>
      <c r="CC116" s="354"/>
      <c r="CD116" s="354">
        <v>654.6</v>
      </c>
      <c r="CE116" s="354">
        <v>8.1</v>
      </c>
      <c r="CF116" s="354">
        <f>3.2+3.1+8.2</f>
        <v>14.5</v>
      </c>
      <c r="CG116" s="354">
        <f>13.9+14.5</f>
        <v>28.4</v>
      </c>
      <c r="CH116" s="355"/>
      <c r="CI116" s="356">
        <f t="shared" si="69"/>
        <v>1091.0999999999999</v>
      </c>
      <c r="CJ116" s="356">
        <f t="shared" si="60"/>
        <v>385.5</v>
      </c>
      <c r="CK116" s="357">
        <v>655</v>
      </c>
      <c r="CL116" s="358">
        <f t="shared" si="70"/>
        <v>1746.1</v>
      </c>
      <c r="CM116" s="205">
        <v>2181</v>
      </c>
      <c r="CN116" s="282">
        <f t="shared" si="61"/>
        <v>1498</v>
      </c>
      <c r="CO116" s="209" t="str">
        <f t="shared" si="40"/>
        <v>0</v>
      </c>
      <c r="CP116" s="235">
        <f t="shared" si="41"/>
        <v>0</v>
      </c>
      <c r="CQ116" s="209">
        <f t="shared" si="77"/>
        <v>1</v>
      </c>
      <c r="CR116" s="235">
        <f t="shared" si="43"/>
        <v>2805</v>
      </c>
      <c r="CS116" s="235">
        <f t="shared" si="76"/>
        <v>1</v>
      </c>
      <c r="CT116" s="235">
        <f t="shared" si="76"/>
        <v>2805</v>
      </c>
      <c r="CU116" s="156">
        <v>67</v>
      </c>
      <c r="CV116" s="284" t="str">
        <f t="shared" si="62"/>
        <v>0</v>
      </c>
      <c r="CW116" s="284" t="str">
        <f t="shared" si="63"/>
        <v>0</v>
      </c>
      <c r="CX116" s="243">
        <f t="shared" si="64"/>
        <v>4.5953027950310554</v>
      </c>
      <c r="CY116" s="216" t="str">
        <f t="shared" si="65"/>
        <v>0</v>
      </c>
      <c r="CZ116" s="216" t="str">
        <f t="shared" si="66"/>
        <v>0</v>
      </c>
      <c r="DA116" s="243">
        <f t="shared" si="67"/>
        <v>4.5953027950310554</v>
      </c>
      <c r="DB116" s="306">
        <v>1</v>
      </c>
      <c r="DC116" s="306">
        <v>0</v>
      </c>
      <c r="DD116" s="306">
        <v>0</v>
      </c>
      <c r="DE116" s="306">
        <v>0</v>
      </c>
      <c r="DF116" s="306">
        <v>1</v>
      </c>
      <c r="DG116" s="306">
        <v>0</v>
      </c>
      <c r="DH116" s="306">
        <v>0</v>
      </c>
      <c r="DI116" s="306">
        <v>0</v>
      </c>
      <c r="DJ116" s="306">
        <v>0</v>
      </c>
      <c r="DK116" s="306">
        <v>38</v>
      </c>
      <c r="DL116" s="306">
        <f t="shared" si="45"/>
        <v>36</v>
      </c>
      <c r="DM116" s="306">
        <v>2</v>
      </c>
      <c r="DN116" s="306">
        <v>25</v>
      </c>
      <c r="DO116" s="306">
        <v>16</v>
      </c>
      <c r="DP116" s="306">
        <v>44</v>
      </c>
      <c r="DQ116" s="306">
        <v>32</v>
      </c>
      <c r="DR116" s="306">
        <v>16</v>
      </c>
      <c r="DS116" s="306">
        <v>44</v>
      </c>
      <c r="DT116" s="306">
        <v>32</v>
      </c>
      <c r="DU116" s="306">
        <v>2</v>
      </c>
      <c r="DV116" s="306">
        <v>0</v>
      </c>
      <c r="DW116" s="306">
        <v>0</v>
      </c>
      <c r="DX116" s="306">
        <v>0</v>
      </c>
      <c r="DY116" s="306">
        <v>0</v>
      </c>
      <c r="DZ116" s="306">
        <v>0</v>
      </c>
      <c r="EA116" s="306">
        <v>0</v>
      </c>
      <c r="EB116" s="306">
        <v>38</v>
      </c>
      <c r="EC116" s="306">
        <v>38</v>
      </c>
      <c r="ED116" s="342"/>
      <c r="EE116" s="342"/>
    </row>
    <row r="117" spans="1:138" x14ac:dyDescent="0.2">
      <c r="A117" s="12" t="s">
        <v>197</v>
      </c>
      <c r="B117" s="169">
        <v>105</v>
      </c>
      <c r="C117" s="12" t="s">
        <v>266</v>
      </c>
      <c r="D117" s="200">
        <v>1973</v>
      </c>
      <c r="E117" s="11"/>
      <c r="F117" s="169" t="s">
        <v>196</v>
      </c>
      <c r="G117" s="35">
        <v>1</v>
      </c>
      <c r="H117" s="201">
        <v>5</v>
      </c>
      <c r="I117" s="201" t="s">
        <v>19</v>
      </c>
      <c r="J117" s="115">
        <v>17650</v>
      </c>
      <c r="K117" s="115">
        <v>1697</v>
      </c>
      <c r="L117" s="157"/>
      <c r="M117" s="115">
        <v>962</v>
      </c>
      <c r="N117" s="115">
        <v>57</v>
      </c>
      <c r="O117" s="115">
        <v>117</v>
      </c>
      <c r="P117" s="115">
        <v>57</v>
      </c>
      <c r="Q117" s="115">
        <v>134</v>
      </c>
      <c r="R117" s="228">
        <v>3036.02</v>
      </c>
      <c r="S117" s="230">
        <v>1659.73</v>
      </c>
      <c r="T117" s="115">
        <f t="shared" si="46"/>
        <v>53</v>
      </c>
      <c r="U117" s="203">
        <f t="shared" si="78"/>
        <v>2851.56</v>
      </c>
      <c r="V117" s="180">
        <f t="shared" si="78"/>
        <v>1545.3600000000001</v>
      </c>
      <c r="W117" s="115">
        <v>4</v>
      </c>
      <c r="X117" s="207">
        <v>184.46</v>
      </c>
      <c r="Y117" s="207">
        <v>114.37</v>
      </c>
      <c r="Z117" s="204"/>
      <c r="AA117" s="207"/>
      <c r="AB117" s="207"/>
      <c r="AC117" s="207">
        <f t="shared" si="48"/>
        <v>0</v>
      </c>
      <c r="AD117" s="248">
        <f t="shared" si="49"/>
        <v>0</v>
      </c>
      <c r="AE117" s="275"/>
      <c r="AF117" s="275"/>
      <c r="AG117" s="207"/>
      <c r="AH117" s="207"/>
      <c r="AI117" s="207">
        <f t="shared" si="50"/>
        <v>3036.02</v>
      </c>
      <c r="AJ117" s="170"/>
      <c r="AK117" s="170"/>
      <c r="AL117" s="170">
        <v>3</v>
      </c>
      <c r="AM117" s="170">
        <v>3</v>
      </c>
      <c r="AN117" s="170">
        <v>1</v>
      </c>
      <c r="AO117" s="170">
        <v>1</v>
      </c>
      <c r="AP117" s="170">
        <v>2010</v>
      </c>
      <c r="AQ117" s="170"/>
      <c r="AR117" s="170">
        <v>480</v>
      </c>
      <c r="AS117" s="170">
        <v>185</v>
      </c>
      <c r="AT117" s="170">
        <v>90</v>
      </c>
      <c r="AU117" s="170">
        <f t="shared" si="38"/>
        <v>4208</v>
      </c>
      <c r="AV117" s="170"/>
      <c r="AW117" s="170">
        <v>4208</v>
      </c>
      <c r="AX117" s="170"/>
      <c r="AY117" s="170">
        <v>197</v>
      </c>
      <c r="AZ117" s="170">
        <v>1670</v>
      </c>
      <c r="BA117" s="170">
        <v>1670</v>
      </c>
      <c r="BB117" s="170"/>
      <c r="BC117" s="170">
        <v>9</v>
      </c>
      <c r="BD117" s="170">
        <v>123</v>
      </c>
      <c r="BE117" s="170">
        <v>57</v>
      </c>
      <c r="BF117" s="170">
        <v>1</v>
      </c>
      <c r="BG117" s="170">
        <v>300</v>
      </c>
      <c r="BH117" s="170">
        <v>60</v>
      </c>
      <c r="BI117" s="170"/>
      <c r="BJ117" s="115">
        <f t="shared" si="51"/>
        <v>1</v>
      </c>
      <c r="BK117" s="115">
        <f t="shared" si="52"/>
        <v>3036.02</v>
      </c>
      <c r="BL117" s="115">
        <f t="shared" si="53"/>
        <v>1659.73</v>
      </c>
      <c r="BM117" s="115" t="str">
        <f t="shared" si="54"/>
        <v>0</v>
      </c>
      <c r="BN117" s="115" t="str">
        <f t="shared" si="55"/>
        <v>0</v>
      </c>
      <c r="BO117" s="115" t="str">
        <f t="shared" si="56"/>
        <v>0</v>
      </c>
      <c r="BP117" s="115" t="str">
        <f t="shared" si="57"/>
        <v>0</v>
      </c>
      <c r="BQ117" s="115" t="str">
        <f t="shared" si="58"/>
        <v>0</v>
      </c>
      <c r="BR117" s="115" t="str">
        <f t="shared" si="59"/>
        <v>0</v>
      </c>
      <c r="BS117" s="115"/>
      <c r="BT117" s="115"/>
      <c r="BU117" s="115">
        <v>860</v>
      </c>
      <c r="BV117" s="115">
        <v>2454</v>
      </c>
      <c r="BW117" s="115"/>
      <c r="BX117" s="115">
        <f>AP117</f>
        <v>2010</v>
      </c>
      <c r="BY117" s="253">
        <v>1629.35</v>
      </c>
      <c r="BZ117" s="253">
        <v>569.41999999999996</v>
      </c>
      <c r="CA117" s="354">
        <v>569.41999999999996</v>
      </c>
      <c r="CB117" s="354"/>
      <c r="CC117" s="354"/>
      <c r="CD117" s="354">
        <v>985.7</v>
      </c>
      <c r="CE117" s="354">
        <v>8.42</v>
      </c>
      <c r="CF117" s="354">
        <f>2.92+8.04+2.86+8.4+2.98</f>
        <v>25.2</v>
      </c>
      <c r="CG117" s="354">
        <f>13.58+13.54+13.49</f>
        <v>40.61</v>
      </c>
      <c r="CH117" s="355"/>
      <c r="CI117" s="356">
        <f t="shared" si="69"/>
        <v>1629.35</v>
      </c>
      <c r="CJ117" s="356">
        <f t="shared" si="60"/>
        <v>569.41999999999996</v>
      </c>
      <c r="CK117" s="357">
        <v>860.12</v>
      </c>
      <c r="CL117" s="358">
        <f t="shared" si="70"/>
        <v>2489.4699999999998</v>
      </c>
      <c r="CM117" s="205">
        <v>2603</v>
      </c>
      <c r="CN117" s="282">
        <f t="shared" si="61"/>
        <v>906</v>
      </c>
      <c r="CO117" s="209" t="str">
        <f t="shared" si="40"/>
        <v>0</v>
      </c>
      <c r="CP117" s="235">
        <f t="shared" si="41"/>
        <v>0</v>
      </c>
      <c r="CQ117" s="209">
        <f t="shared" si="77"/>
        <v>1</v>
      </c>
      <c r="CR117" s="235">
        <f t="shared" si="43"/>
        <v>4208</v>
      </c>
      <c r="CS117" s="235">
        <f t="shared" si="76"/>
        <v>1</v>
      </c>
      <c r="CT117" s="235">
        <f t="shared" si="76"/>
        <v>4208</v>
      </c>
      <c r="CU117" s="156">
        <v>48</v>
      </c>
      <c r="CV117" s="284" t="str">
        <f t="shared" si="62"/>
        <v>0</v>
      </c>
      <c r="CW117" s="284" t="str">
        <f t="shared" si="63"/>
        <v>0</v>
      </c>
      <c r="CX117" s="243">
        <f t="shared" si="64"/>
        <v>6.075717551267779</v>
      </c>
      <c r="CY117" s="216" t="str">
        <f t="shared" si="65"/>
        <v>0</v>
      </c>
      <c r="CZ117" s="216" t="str">
        <f t="shared" si="66"/>
        <v>0</v>
      </c>
      <c r="DA117" s="243">
        <f t="shared" si="67"/>
        <v>6.075717551267779</v>
      </c>
      <c r="DB117" s="306">
        <v>1</v>
      </c>
      <c r="DC117" s="306">
        <v>0</v>
      </c>
      <c r="DD117" s="306">
        <v>0</v>
      </c>
      <c r="DE117" s="306">
        <v>0</v>
      </c>
      <c r="DF117" s="306">
        <v>1</v>
      </c>
      <c r="DG117" s="306">
        <v>0</v>
      </c>
      <c r="DH117" s="306">
        <v>0</v>
      </c>
      <c r="DI117" s="306">
        <v>0</v>
      </c>
      <c r="DJ117" s="306">
        <v>0</v>
      </c>
      <c r="DK117" s="306">
        <v>57</v>
      </c>
      <c r="DL117" s="306">
        <f t="shared" si="45"/>
        <v>57</v>
      </c>
      <c r="DM117" s="306">
        <v>0</v>
      </c>
      <c r="DN117" s="306">
        <v>39</v>
      </c>
      <c r="DO117" s="306">
        <v>25</v>
      </c>
      <c r="DP117" s="306">
        <v>64</v>
      </c>
      <c r="DQ117" s="306">
        <v>50</v>
      </c>
      <c r="DR117" s="306">
        <v>25</v>
      </c>
      <c r="DS117" s="306">
        <v>63</v>
      </c>
      <c r="DT117" s="306">
        <v>51</v>
      </c>
      <c r="DU117" s="306">
        <v>0</v>
      </c>
      <c r="DV117" s="306">
        <v>0</v>
      </c>
      <c r="DW117" s="306">
        <v>6</v>
      </c>
      <c r="DX117" s="306">
        <v>0</v>
      </c>
      <c r="DY117" s="306">
        <v>0</v>
      </c>
      <c r="DZ117" s="306">
        <v>6</v>
      </c>
      <c r="EA117" s="306">
        <v>0</v>
      </c>
      <c r="EB117" s="306">
        <v>57</v>
      </c>
      <c r="EC117" s="306">
        <v>57</v>
      </c>
      <c r="ED117" s="342"/>
      <c r="EE117" s="342"/>
    </row>
    <row r="118" spans="1:138" x14ac:dyDescent="0.2">
      <c r="A118" s="27" t="s">
        <v>142</v>
      </c>
      <c r="B118" s="169">
        <v>106</v>
      </c>
      <c r="C118" s="12" t="s">
        <v>81</v>
      </c>
      <c r="D118" s="13">
        <v>1969</v>
      </c>
      <c r="E118" s="11"/>
      <c r="F118" s="169" t="s">
        <v>20</v>
      </c>
      <c r="G118" s="35">
        <v>1</v>
      </c>
      <c r="H118" s="45">
        <v>5</v>
      </c>
      <c r="I118" s="1" t="s">
        <v>22</v>
      </c>
      <c r="J118" s="122">
        <v>9017</v>
      </c>
      <c r="K118" s="122">
        <v>677</v>
      </c>
      <c r="L118" s="122">
        <v>785</v>
      </c>
      <c r="M118" s="122"/>
      <c r="N118" s="122">
        <v>59</v>
      </c>
      <c r="O118" s="122">
        <v>113</v>
      </c>
      <c r="P118" s="122">
        <v>60</v>
      </c>
      <c r="Q118" s="122">
        <v>91</v>
      </c>
      <c r="R118" s="180">
        <v>2561.34</v>
      </c>
      <c r="S118" s="121">
        <v>1744</v>
      </c>
      <c r="T118" s="122">
        <f t="shared" si="46"/>
        <v>51</v>
      </c>
      <c r="U118" s="180">
        <f t="shared" si="78"/>
        <v>2199.34</v>
      </c>
      <c r="V118" s="180">
        <f t="shared" si="78"/>
        <v>1491.25</v>
      </c>
      <c r="W118" s="122">
        <v>8</v>
      </c>
      <c r="X118" s="180">
        <v>362</v>
      </c>
      <c r="Y118" s="180">
        <v>252.75</v>
      </c>
      <c r="Z118" s="122"/>
      <c r="AA118" s="180"/>
      <c r="AB118" s="180"/>
      <c r="AC118" s="180">
        <f t="shared" si="48"/>
        <v>0</v>
      </c>
      <c r="AD118" s="179">
        <f t="shared" si="49"/>
        <v>0</v>
      </c>
      <c r="AE118" s="271"/>
      <c r="AF118" s="179"/>
      <c r="AG118" s="180"/>
      <c r="AH118" s="180"/>
      <c r="AI118" s="180">
        <f t="shared" si="50"/>
        <v>2561.34</v>
      </c>
      <c r="AJ118" s="122"/>
      <c r="AK118" s="122"/>
      <c r="AL118" s="122">
        <v>3</v>
      </c>
      <c r="AM118" s="122"/>
      <c r="AN118" s="122"/>
      <c r="AO118" s="122">
        <v>1</v>
      </c>
      <c r="AP118" s="122">
        <v>1827</v>
      </c>
      <c r="AQ118" s="35"/>
      <c r="AR118" s="122">
        <f>104+29+114</f>
        <v>247</v>
      </c>
      <c r="AS118" s="122">
        <v>159</v>
      </c>
      <c r="AT118" s="122">
        <v>38</v>
      </c>
      <c r="AU118" s="122">
        <f t="shared" si="38"/>
        <v>2193</v>
      </c>
      <c r="AV118" s="122"/>
      <c r="AW118" s="122">
        <v>2193</v>
      </c>
      <c r="AX118" s="122">
        <v>1425</v>
      </c>
      <c r="AY118" s="122">
        <v>104</v>
      </c>
      <c r="AZ118" s="122">
        <v>653</v>
      </c>
      <c r="BA118" s="122">
        <v>653</v>
      </c>
      <c r="BB118" s="122">
        <v>15</v>
      </c>
      <c r="BC118" s="122">
        <v>9</v>
      </c>
      <c r="BD118" s="122">
        <v>160</v>
      </c>
      <c r="BE118" s="122">
        <v>59</v>
      </c>
      <c r="BF118" s="122">
        <v>1</v>
      </c>
      <c r="BG118" s="122">
        <v>11274</v>
      </c>
      <c r="BH118" s="122">
        <v>219</v>
      </c>
      <c r="BI118" s="122"/>
      <c r="BJ118" s="115" t="str">
        <f t="shared" si="51"/>
        <v>0</v>
      </c>
      <c r="BK118" s="115" t="str">
        <f t="shared" si="52"/>
        <v>0</v>
      </c>
      <c r="BL118" s="115" t="str">
        <f t="shared" si="53"/>
        <v>0</v>
      </c>
      <c r="BM118" s="115">
        <f t="shared" si="54"/>
        <v>1</v>
      </c>
      <c r="BN118" s="115">
        <f t="shared" si="55"/>
        <v>2561.34</v>
      </c>
      <c r="BO118" s="115">
        <f t="shared" si="56"/>
        <v>1744</v>
      </c>
      <c r="BP118" s="115" t="str">
        <f t="shared" si="57"/>
        <v>0</v>
      </c>
      <c r="BQ118" s="115" t="str">
        <f t="shared" si="58"/>
        <v>0</v>
      </c>
      <c r="BR118" s="115" t="str">
        <f t="shared" si="59"/>
        <v>0</v>
      </c>
      <c r="BS118" s="115"/>
      <c r="BT118" s="115">
        <v>2</v>
      </c>
      <c r="BU118" s="122"/>
      <c r="BV118" s="115"/>
      <c r="BW118" s="115"/>
      <c r="BX118" s="115"/>
      <c r="BY118" s="275">
        <v>859.79</v>
      </c>
      <c r="BZ118" s="253">
        <v>206.39</v>
      </c>
      <c r="CA118" s="354">
        <v>206.39</v>
      </c>
      <c r="CB118" s="354"/>
      <c r="CC118" s="354"/>
      <c r="CD118" s="354">
        <v>653.4</v>
      </c>
      <c r="CE118" s="354"/>
      <c r="CF118" s="354"/>
      <c r="CG118" s="354"/>
      <c r="CH118" s="355"/>
      <c r="CI118" s="356">
        <f t="shared" si="69"/>
        <v>859.79</v>
      </c>
      <c r="CJ118" s="356">
        <f t="shared" si="60"/>
        <v>206.39</v>
      </c>
      <c r="CK118" s="357">
        <v>653</v>
      </c>
      <c r="CL118" s="358">
        <f t="shared" si="70"/>
        <v>1512.79</v>
      </c>
      <c r="CM118" s="157">
        <v>1689</v>
      </c>
      <c r="CN118" s="275">
        <f t="shared" si="61"/>
        <v>1012</v>
      </c>
      <c r="CO118" s="209" t="str">
        <f t="shared" si="40"/>
        <v>0</v>
      </c>
      <c r="CP118" s="235">
        <f t="shared" si="41"/>
        <v>0</v>
      </c>
      <c r="CQ118" s="209">
        <f t="shared" si="77"/>
        <v>1</v>
      </c>
      <c r="CR118" s="235">
        <f t="shared" si="43"/>
        <v>2193</v>
      </c>
      <c r="CS118" s="235">
        <f t="shared" si="76"/>
        <v>1</v>
      </c>
      <c r="CT118" s="235">
        <f t="shared" si="76"/>
        <v>2193</v>
      </c>
      <c r="CU118" s="14">
        <v>53</v>
      </c>
      <c r="CV118" s="284" t="str">
        <f t="shared" si="62"/>
        <v>0</v>
      </c>
      <c r="CW118" s="284" t="str">
        <f t="shared" si="63"/>
        <v>0</v>
      </c>
      <c r="CX118" s="243">
        <f t="shared" si="64"/>
        <v>14.133227138919471</v>
      </c>
      <c r="CY118" s="216" t="str">
        <f t="shared" si="65"/>
        <v>0</v>
      </c>
      <c r="CZ118" s="216" t="str">
        <f t="shared" si="66"/>
        <v>0</v>
      </c>
      <c r="DA118" s="243">
        <f t="shared" si="67"/>
        <v>14.133227138919471</v>
      </c>
      <c r="DB118" s="305">
        <v>1</v>
      </c>
      <c r="DC118" s="305">
        <v>0</v>
      </c>
      <c r="DD118" s="305">
        <v>0</v>
      </c>
      <c r="DE118" s="305">
        <v>0</v>
      </c>
      <c r="DF118" s="305">
        <v>1</v>
      </c>
      <c r="DG118" s="305">
        <v>0</v>
      </c>
      <c r="DH118" s="305">
        <v>0</v>
      </c>
      <c r="DI118" s="305">
        <v>0</v>
      </c>
      <c r="DJ118" s="306">
        <v>0</v>
      </c>
      <c r="DK118" s="306">
        <v>58</v>
      </c>
      <c r="DL118" s="306">
        <f t="shared" si="45"/>
        <v>48</v>
      </c>
      <c r="DM118" s="306">
        <v>10</v>
      </c>
      <c r="DN118" s="306">
        <v>34</v>
      </c>
      <c r="DO118" s="306">
        <v>25</v>
      </c>
      <c r="DP118" s="306">
        <v>33</v>
      </c>
      <c r="DQ118" s="306">
        <v>25</v>
      </c>
      <c r="DR118" s="306">
        <v>25</v>
      </c>
      <c r="DS118" s="306">
        <v>33</v>
      </c>
      <c r="DT118" s="306">
        <v>25</v>
      </c>
      <c r="DU118" s="306">
        <v>5</v>
      </c>
      <c r="DV118" s="306">
        <v>3</v>
      </c>
      <c r="DW118" s="306">
        <v>6</v>
      </c>
      <c r="DX118" s="306">
        <v>3</v>
      </c>
      <c r="DY118" s="306">
        <v>3</v>
      </c>
      <c r="DZ118" s="306">
        <v>6</v>
      </c>
      <c r="EA118" s="306">
        <v>3</v>
      </c>
      <c r="EB118" s="306">
        <v>58</v>
      </c>
      <c r="EC118" s="306">
        <v>58</v>
      </c>
      <c r="ED118" s="342"/>
      <c r="EE118" s="342"/>
    </row>
    <row r="119" spans="1:138" x14ac:dyDescent="0.2">
      <c r="A119" s="12" t="s">
        <v>197</v>
      </c>
      <c r="B119" s="169">
        <v>107</v>
      </c>
      <c r="C119" s="12" t="s">
        <v>267</v>
      </c>
      <c r="D119" s="200">
        <v>1977</v>
      </c>
      <c r="E119" s="11"/>
      <c r="F119" s="169">
        <v>84</v>
      </c>
      <c r="G119" s="35">
        <v>1</v>
      </c>
      <c r="H119" s="201">
        <v>9</v>
      </c>
      <c r="I119" s="201" t="s">
        <v>22</v>
      </c>
      <c r="J119" s="115">
        <v>20116</v>
      </c>
      <c r="K119" s="115">
        <v>1413</v>
      </c>
      <c r="L119" s="157"/>
      <c r="M119" s="115">
        <v>1190</v>
      </c>
      <c r="N119" s="115">
        <f>143-1</f>
        <v>142</v>
      </c>
      <c r="O119" s="115">
        <v>316</v>
      </c>
      <c r="P119" s="115">
        <v>142</v>
      </c>
      <c r="Q119" s="115">
        <v>308</v>
      </c>
      <c r="R119" s="228">
        <f>7622.37-52.06</f>
        <v>7570.3099999999995</v>
      </c>
      <c r="S119" s="230">
        <f>4510.3-44</f>
        <v>4466.3</v>
      </c>
      <c r="T119" s="115">
        <f t="shared" si="46"/>
        <v>137</v>
      </c>
      <c r="U119" s="203">
        <f t="shared" si="78"/>
        <v>7293.6799999999994</v>
      </c>
      <c r="V119" s="180">
        <f t="shared" si="78"/>
        <v>4294.79</v>
      </c>
      <c r="W119" s="115">
        <v>5</v>
      </c>
      <c r="X119" s="207">
        <v>276.63</v>
      </c>
      <c r="Y119" s="207">
        <v>171.51</v>
      </c>
      <c r="Z119" s="204"/>
      <c r="AA119" s="207"/>
      <c r="AB119" s="207"/>
      <c r="AC119" s="207">
        <f t="shared" si="48"/>
        <v>88.4</v>
      </c>
      <c r="AD119" s="248">
        <f t="shared" si="49"/>
        <v>0</v>
      </c>
      <c r="AE119" s="275"/>
      <c r="AF119" s="275"/>
      <c r="AG119" s="207">
        <v>88.4</v>
      </c>
      <c r="AH119" s="207"/>
      <c r="AI119" s="207">
        <f t="shared" si="50"/>
        <v>7658.7099999999991</v>
      </c>
      <c r="AJ119" s="170"/>
      <c r="AK119" s="170">
        <v>4</v>
      </c>
      <c r="AL119" s="170">
        <v>4</v>
      </c>
      <c r="AM119" s="170">
        <v>4</v>
      </c>
      <c r="AN119" s="170"/>
      <c r="AO119" s="170">
        <v>4</v>
      </c>
      <c r="AP119" s="170">
        <v>5910</v>
      </c>
      <c r="AQ119" s="170"/>
      <c r="AR119" s="170">
        <v>814</v>
      </c>
      <c r="AS119" s="170">
        <v>328</v>
      </c>
      <c r="AT119" s="170">
        <v>80</v>
      </c>
      <c r="AU119" s="170">
        <f t="shared" si="38"/>
        <v>9113</v>
      </c>
      <c r="AV119" s="170">
        <v>9113</v>
      </c>
      <c r="AW119" s="170"/>
      <c r="AX119" s="170">
        <v>3484</v>
      </c>
      <c r="AY119" s="170">
        <v>300</v>
      </c>
      <c r="AZ119" s="170">
        <v>1402</v>
      </c>
      <c r="BA119" s="170">
        <v>1402</v>
      </c>
      <c r="BB119" s="170">
        <v>64</v>
      </c>
      <c r="BC119" s="170">
        <v>12</v>
      </c>
      <c r="BD119" s="170">
        <v>500</v>
      </c>
      <c r="BE119" s="170">
        <v>144</v>
      </c>
      <c r="BF119" s="170"/>
      <c r="BG119" s="170">
        <v>14280</v>
      </c>
      <c r="BH119" s="170">
        <v>6540</v>
      </c>
      <c r="BI119" s="170">
        <v>180</v>
      </c>
      <c r="BJ119" s="115" t="str">
        <f t="shared" si="51"/>
        <v>0</v>
      </c>
      <c r="BK119" s="115" t="str">
        <f t="shared" si="52"/>
        <v>0</v>
      </c>
      <c r="BL119" s="115" t="str">
        <f t="shared" si="53"/>
        <v>0</v>
      </c>
      <c r="BM119" s="115">
        <f t="shared" si="54"/>
        <v>1</v>
      </c>
      <c r="BN119" s="115">
        <f t="shared" si="55"/>
        <v>7570.3099999999995</v>
      </c>
      <c r="BO119" s="115">
        <f t="shared" si="56"/>
        <v>4466.3</v>
      </c>
      <c r="BP119" s="115" t="str">
        <f t="shared" si="57"/>
        <v>0</v>
      </c>
      <c r="BQ119" s="115" t="str">
        <f t="shared" si="58"/>
        <v>0</v>
      </c>
      <c r="BR119" s="115" t="str">
        <f t="shared" si="59"/>
        <v>0</v>
      </c>
      <c r="BS119" s="115"/>
      <c r="BT119" s="115"/>
      <c r="BU119" s="115">
        <f>BA119</f>
        <v>1402</v>
      </c>
      <c r="BV119" s="115">
        <v>5026</v>
      </c>
      <c r="BW119" s="115"/>
      <c r="BX119" s="115"/>
      <c r="BY119" s="253">
        <v>2298.2600000000002</v>
      </c>
      <c r="BZ119" s="253">
        <v>1041.23</v>
      </c>
      <c r="CA119" s="354">
        <f>(147.5+115.59+115.44+115.28+116+116.19+116.31+115.94+82.98)</f>
        <v>1041.23</v>
      </c>
      <c r="CB119" s="354">
        <v>10.88</v>
      </c>
      <c r="CC119" s="354"/>
      <c r="CD119" s="354">
        <v>1190.53</v>
      </c>
      <c r="CE119" s="354">
        <f>8.33+7.11+9.26+9.19</f>
        <v>33.89</v>
      </c>
      <c r="CF119" s="354"/>
      <c r="CG119" s="354">
        <f>5.56+5.21+5.47+5.49</f>
        <v>21.729999999999997</v>
      </c>
      <c r="CH119" s="355"/>
      <c r="CI119" s="356">
        <f t="shared" si="69"/>
        <v>2298.2600000000002</v>
      </c>
      <c r="CJ119" s="356">
        <f t="shared" si="60"/>
        <v>1041.23</v>
      </c>
      <c r="CK119" s="357">
        <v>1402</v>
      </c>
      <c r="CL119" s="358">
        <f t="shared" si="70"/>
        <v>3700.26</v>
      </c>
      <c r="CM119" s="205">
        <v>3430</v>
      </c>
      <c r="CN119" s="282">
        <f t="shared" si="61"/>
        <v>2017</v>
      </c>
      <c r="CO119" s="209">
        <f t="shared" si="40"/>
        <v>1</v>
      </c>
      <c r="CP119" s="235">
        <f t="shared" si="41"/>
        <v>9113</v>
      </c>
      <c r="CQ119" s="209" t="str">
        <f t="shared" si="77"/>
        <v>0</v>
      </c>
      <c r="CR119" s="235">
        <f t="shared" si="43"/>
        <v>0</v>
      </c>
      <c r="CS119" s="235">
        <f t="shared" si="76"/>
        <v>1</v>
      </c>
      <c r="CT119" s="235">
        <f t="shared" si="76"/>
        <v>9113</v>
      </c>
      <c r="CU119" s="156">
        <v>47</v>
      </c>
      <c r="CV119" s="284" t="str">
        <f t="shared" si="62"/>
        <v>0</v>
      </c>
      <c r="CW119" s="284" t="str">
        <f t="shared" si="63"/>
        <v>0</v>
      </c>
      <c r="CX119" s="243">
        <f t="shared" si="64"/>
        <v>3.6541436215954168</v>
      </c>
      <c r="CY119" s="216" t="str">
        <f t="shared" si="65"/>
        <v>0</v>
      </c>
      <c r="CZ119" s="216" t="str">
        <f t="shared" si="66"/>
        <v>0</v>
      </c>
      <c r="DA119" s="243">
        <f t="shared" si="67"/>
        <v>3.611965983827564</v>
      </c>
      <c r="DB119" s="306">
        <v>1</v>
      </c>
      <c r="DC119" s="306">
        <v>0</v>
      </c>
      <c r="DD119" s="306">
        <v>0</v>
      </c>
      <c r="DE119" s="306">
        <v>0</v>
      </c>
      <c r="DF119" s="306">
        <v>2</v>
      </c>
      <c r="DG119" s="306">
        <v>0</v>
      </c>
      <c r="DH119" s="306">
        <v>0</v>
      </c>
      <c r="DI119" s="306">
        <v>0</v>
      </c>
      <c r="DJ119" s="306">
        <v>0</v>
      </c>
      <c r="DK119" s="306">
        <v>142</v>
      </c>
      <c r="DL119" s="306">
        <f t="shared" si="45"/>
        <v>136</v>
      </c>
      <c r="DM119" s="306">
        <v>6</v>
      </c>
      <c r="DN119" s="306">
        <v>99</v>
      </c>
      <c r="DO119" s="306">
        <v>80</v>
      </c>
      <c r="DP119" s="306">
        <v>90</v>
      </c>
      <c r="DQ119" s="306">
        <v>104</v>
      </c>
      <c r="DR119" s="306">
        <v>80</v>
      </c>
      <c r="DS119" s="306">
        <v>90</v>
      </c>
      <c r="DT119" s="306">
        <v>104</v>
      </c>
      <c r="DU119" s="306">
        <v>3</v>
      </c>
      <c r="DV119" s="306">
        <v>1</v>
      </c>
      <c r="DW119" s="306">
        <v>5</v>
      </c>
      <c r="DX119" s="306">
        <v>1</v>
      </c>
      <c r="DY119" s="306">
        <v>1</v>
      </c>
      <c r="DZ119" s="306">
        <v>5</v>
      </c>
      <c r="EA119" s="306">
        <v>1</v>
      </c>
      <c r="EB119" s="306">
        <v>142</v>
      </c>
      <c r="EC119" s="306">
        <v>142</v>
      </c>
      <c r="ED119" s="342"/>
      <c r="EE119" s="342"/>
    </row>
    <row r="120" spans="1:138" x14ac:dyDescent="0.2">
      <c r="A120" s="12" t="s">
        <v>142</v>
      </c>
      <c r="B120" s="169">
        <v>108</v>
      </c>
      <c r="C120" s="12" t="s">
        <v>183</v>
      </c>
      <c r="D120" s="13">
        <v>1987</v>
      </c>
      <c r="E120" s="11"/>
      <c r="F120" s="169" t="s">
        <v>24</v>
      </c>
      <c r="G120" s="35">
        <v>1</v>
      </c>
      <c r="H120" s="45">
        <v>9</v>
      </c>
      <c r="I120" s="1" t="s">
        <v>22</v>
      </c>
      <c r="J120" s="122">
        <v>10268</v>
      </c>
      <c r="K120" s="122">
        <v>439</v>
      </c>
      <c r="L120" s="122"/>
      <c r="M120" s="122">
        <v>376</v>
      </c>
      <c r="N120" s="122">
        <v>32</v>
      </c>
      <c r="O120" s="122">
        <v>96</v>
      </c>
      <c r="P120" s="122">
        <v>32</v>
      </c>
      <c r="Q120" s="122">
        <v>67</v>
      </c>
      <c r="R120" s="180">
        <v>2126.8000000000002</v>
      </c>
      <c r="S120" s="121">
        <v>1359</v>
      </c>
      <c r="T120" s="122">
        <f t="shared" si="46"/>
        <v>32</v>
      </c>
      <c r="U120" s="180">
        <f t="shared" si="78"/>
        <v>2126.8000000000002</v>
      </c>
      <c r="V120" s="180">
        <f t="shared" si="78"/>
        <v>1359</v>
      </c>
      <c r="W120" s="122">
        <v>0</v>
      </c>
      <c r="X120" s="180">
        <v>0</v>
      </c>
      <c r="Y120" s="180">
        <v>0</v>
      </c>
      <c r="Z120" s="122"/>
      <c r="AA120" s="180"/>
      <c r="AB120" s="180"/>
      <c r="AC120" s="180">
        <f t="shared" si="48"/>
        <v>181.4</v>
      </c>
      <c r="AD120" s="179">
        <f t="shared" si="49"/>
        <v>181.4</v>
      </c>
      <c r="AE120" s="271"/>
      <c r="AF120" s="179">
        <v>181.4</v>
      </c>
      <c r="AG120" s="180"/>
      <c r="AH120" s="180"/>
      <c r="AI120" s="180">
        <f t="shared" si="50"/>
        <v>2308.2000000000003</v>
      </c>
      <c r="AJ120" s="122"/>
      <c r="AK120" s="122">
        <v>1</v>
      </c>
      <c r="AL120" s="122">
        <v>1</v>
      </c>
      <c r="AM120" s="122">
        <v>1</v>
      </c>
      <c r="AN120" s="122"/>
      <c r="AO120" s="122">
        <v>1</v>
      </c>
      <c r="AP120" s="122">
        <v>2163</v>
      </c>
      <c r="AQ120" s="35"/>
      <c r="AR120" s="122">
        <f>56+28+42</f>
        <v>126</v>
      </c>
      <c r="AS120" s="122">
        <v>166</v>
      </c>
      <c r="AT120" s="122">
        <v>54</v>
      </c>
      <c r="AU120" s="122">
        <f t="shared" si="38"/>
        <v>2579</v>
      </c>
      <c r="AV120" s="122">
        <v>2371</v>
      </c>
      <c r="AW120" s="122">
        <v>208</v>
      </c>
      <c r="AX120" s="122">
        <v>1210</v>
      </c>
      <c r="AY120" s="122">
        <v>94</v>
      </c>
      <c r="AZ120" s="122">
        <v>376</v>
      </c>
      <c r="BA120" s="122">
        <v>376</v>
      </c>
      <c r="BB120" s="122">
        <v>9</v>
      </c>
      <c r="BC120" s="122">
        <v>24</v>
      </c>
      <c r="BD120" s="122">
        <v>160</v>
      </c>
      <c r="BE120" s="122">
        <v>32</v>
      </c>
      <c r="BF120" s="122">
        <v>1</v>
      </c>
      <c r="BG120" s="122">
        <v>5794</v>
      </c>
      <c r="BH120" s="122">
        <v>472</v>
      </c>
      <c r="BI120" s="122">
        <v>132</v>
      </c>
      <c r="BJ120" s="115" t="str">
        <f t="shared" si="51"/>
        <v>0</v>
      </c>
      <c r="BK120" s="115" t="str">
        <f t="shared" si="52"/>
        <v>0</v>
      </c>
      <c r="BL120" s="115" t="str">
        <f t="shared" si="53"/>
        <v>0</v>
      </c>
      <c r="BM120" s="115">
        <f t="shared" si="54"/>
        <v>1</v>
      </c>
      <c r="BN120" s="115">
        <f t="shared" si="55"/>
        <v>2126.8000000000002</v>
      </c>
      <c r="BO120" s="115">
        <f t="shared" si="56"/>
        <v>1359</v>
      </c>
      <c r="BP120" s="115" t="str">
        <f t="shared" si="57"/>
        <v>0</v>
      </c>
      <c r="BQ120" s="115" t="str">
        <f t="shared" si="58"/>
        <v>0</v>
      </c>
      <c r="BR120" s="115" t="str">
        <f t="shared" si="59"/>
        <v>0</v>
      </c>
      <c r="BS120" s="115"/>
      <c r="BT120" s="115">
        <v>1</v>
      </c>
      <c r="BU120" s="122">
        <v>376</v>
      </c>
      <c r="BV120" s="115">
        <v>27</v>
      </c>
      <c r="BW120" s="115"/>
      <c r="BX120" s="115"/>
      <c r="BY120" s="275">
        <v>801.6</v>
      </c>
      <c r="BZ120" s="253">
        <v>373.6</v>
      </c>
      <c r="CA120" s="354">
        <f>159.1-3.2+217.7</f>
        <v>373.6</v>
      </c>
      <c r="CB120" s="354">
        <f>3.2+16.1</f>
        <v>19.3</v>
      </c>
      <c r="CC120" s="354"/>
      <c r="CD120" s="354">
        <v>376.1</v>
      </c>
      <c r="CE120" s="354">
        <v>27.9</v>
      </c>
      <c r="CF120" s="354"/>
      <c r="CG120" s="354">
        <v>4.7</v>
      </c>
      <c r="CH120" s="355"/>
      <c r="CI120" s="356">
        <f t="shared" si="69"/>
        <v>801.60000000000014</v>
      </c>
      <c r="CJ120" s="356">
        <f t="shared" si="60"/>
        <v>373.6</v>
      </c>
      <c r="CK120" s="357">
        <v>376</v>
      </c>
      <c r="CL120" s="358">
        <f t="shared" si="70"/>
        <v>1177.6000000000001</v>
      </c>
      <c r="CM120" s="157">
        <v>924</v>
      </c>
      <c r="CN120" s="275">
        <f t="shared" si="61"/>
        <v>485</v>
      </c>
      <c r="CO120" s="209">
        <f t="shared" si="40"/>
        <v>1</v>
      </c>
      <c r="CP120" s="235">
        <f t="shared" si="41"/>
        <v>2371</v>
      </c>
      <c r="CQ120" s="209"/>
      <c r="CR120" s="235">
        <f t="shared" si="43"/>
        <v>208</v>
      </c>
      <c r="CS120" s="235">
        <f t="shared" si="76"/>
        <v>1</v>
      </c>
      <c r="CT120" s="235">
        <f t="shared" si="76"/>
        <v>2579</v>
      </c>
      <c r="CU120" s="14">
        <v>53</v>
      </c>
      <c r="CV120" s="284" t="str">
        <f t="shared" si="62"/>
        <v>0</v>
      </c>
      <c r="CW120" s="284" t="str">
        <f t="shared" si="63"/>
        <v>0</v>
      </c>
      <c r="CX120" s="243">
        <f t="shared" si="64"/>
        <v>0</v>
      </c>
      <c r="CY120" s="216" t="str">
        <f t="shared" si="65"/>
        <v>0</v>
      </c>
      <c r="CZ120" s="216" t="str">
        <f t="shared" si="66"/>
        <v>0</v>
      </c>
      <c r="DA120" s="243">
        <f t="shared" si="67"/>
        <v>7.858937700372584</v>
      </c>
      <c r="DB120" s="305">
        <v>1</v>
      </c>
      <c r="DC120" s="305">
        <v>0</v>
      </c>
      <c r="DD120" s="305">
        <v>0</v>
      </c>
      <c r="DE120" s="305">
        <v>1</v>
      </c>
      <c r="DF120" s="305">
        <v>2</v>
      </c>
      <c r="DG120" s="305">
        <v>0</v>
      </c>
      <c r="DH120" s="305">
        <v>0</v>
      </c>
      <c r="DI120" s="305">
        <v>1</v>
      </c>
      <c r="DJ120" s="306">
        <v>0</v>
      </c>
      <c r="DK120" s="306">
        <v>32</v>
      </c>
      <c r="DL120" s="306">
        <f t="shared" si="45"/>
        <v>32</v>
      </c>
      <c r="DM120" s="306">
        <v>0</v>
      </c>
      <c r="DN120" s="306">
        <v>23</v>
      </c>
      <c r="DO120" s="306">
        <v>14</v>
      </c>
      <c r="DP120" s="306">
        <v>18</v>
      </c>
      <c r="DQ120" s="306">
        <v>14</v>
      </c>
      <c r="DR120" s="306">
        <v>14</v>
      </c>
      <c r="DS120" s="306">
        <v>18</v>
      </c>
      <c r="DT120" s="306">
        <v>14</v>
      </c>
      <c r="DU120" s="306">
        <v>0</v>
      </c>
      <c r="DV120" s="306">
        <v>0</v>
      </c>
      <c r="DW120" s="306">
        <v>0</v>
      </c>
      <c r="DX120" s="306">
        <v>0</v>
      </c>
      <c r="DY120" s="306">
        <v>0</v>
      </c>
      <c r="DZ120" s="306">
        <v>0</v>
      </c>
      <c r="EA120" s="306">
        <v>0</v>
      </c>
      <c r="EB120" s="306">
        <v>32</v>
      </c>
      <c r="EC120" s="306">
        <v>32</v>
      </c>
      <c r="ED120" s="342"/>
      <c r="EE120" s="342"/>
      <c r="EF120" s="7"/>
      <c r="EG120" s="7"/>
      <c r="EH120" s="7"/>
    </row>
    <row r="121" spans="1:138" x14ac:dyDescent="0.2">
      <c r="A121" s="12" t="s">
        <v>197</v>
      </c>
      <c r="B121" s="169">
        <v>109</v>
      </c>
      <c r="C121" s="12" t="s">
        <v>268</v>
      </c>
      <c r="D121" s="200">
        <v>1979</v>
      </c>
      <c r="E121" s="11"/>
      <c r="F121" s="169" t="s">
        <v>21</v>
      </c>
      <c r="G121" s="35">
        <v>1</v>
      </c>
      <c r="H121" s="201">
        <v>9</v>
      </c>
      <c r="I121" s="201" t="s">
        <v>19</v>
      </c>
      <c r="J121" s="115">
        <v>25664</v>
      </c>
      <c r="K121" s="115">
        <v>1022</v>
      </c>
      <c r="L121" s="157">
        <v>1150</v>
      </c>
      <c r="M121" s="115"/>
      <c r="N121" s="115">
        <v>105</v>
      </c>
      <c r="O121" s="115">
        <v>231</v>
      </c>
      <c r="P121" s="115">
        <v>105</v>
      </c>
      <c r="Q121" s="115">
        <v>193</v>
      </c>
      <c r="R121" s="228">
        <v>5493.64</v>
      </c>
      <c r="S121" s="230">
        <v>3137.66</v>
      </c>
      <c r="T121" s="115">
        <f t="shared" si="46"/>
        <v>102</v>
      </c>
      <c r="U121" s="203">
        <f t="shared" si="78"/>
        <v>5349.9400000000005</v>
      </c>
      <c r="V121" s="180">
        <f t="shared" si="78"/>
        <v>3048.5699999999997</v>
      </c>
      <c r="W121" s="115">
        <v>3</v>
      </c>
      <c r="X121" s="207">
        <v>143.69999999999999</v>
      </c>
      <c r="Y121" s="207">
        <v>89.09</v>
      </c>
      <c r="Z121" s="204"/>
      <c r="AA121" s="207"/>
      <c r="AB121" s="207"/>
      <c r="AC121" s="207">
        <f t="shared" si="48"/>
        <v>0</v>
      </c>
      <c r="AD121" s="248">
        <f t="shared" si="49"/>
        <v>0</v>
      </c>
      <c r="AE121" s="275"/>
      <c r="AF121" s="275"/>
      <c r="AG121" s="207"/>
      <c r="AH121" s="207"/>
      <c r="AI121" s="207">
        <f t="shared" si="50"/>
        <v>5493.64</v>
      </c>
      <c r="AJ121" s="170"/>
      <c r="AK121" s="170">
        <v>3</v>
      </c>
      <c r="AL121" s="170">
        <v>3</v>
      </c>
      <c r="AM121" s="170">
        <v>3</v>
      </c>
      <c r="AN121" s="170"/>
      <c r="AO121" s="170">
        <v>3</v>
      </c>
      <c r="AP121" s="170">
        <v>4180</v>
      </c>
      <c r="AQ121" s="170"/>
      <c r="AR121" s="170">
        <v>740</v>
      </c>
      <c r="AS121" s="170">
        <v>242</v>
      </c>
      <c r="AT121" s="170">
        <v>105</v>
      </c>
      <c r="AU121" s="170">
        <f t="shared" si="38"/>
        <v>7574</v>
      </c>
      <c r="AV121" s="170">
        <v>7574</v>
      </c>
      <c r="AW121" s="170"/>
      <c r="AX121" s="170"/>
      <c r="AY121" s="170">
        <v>228</v>
      </c>
      <c r="AZ121" s="170">
        <v>976</v>
      </c>
      <c r="BA121" s="170">
        <v>970</v>
      </c>
      <c r="BB121" s="170"/>
      <c r="BC121" s="170">
        <v>9</v>
      </c>
      <c r="BD121" s="170">
        <v>216</v>
      </c>
      <c r="BE121" s="170">
        <v>105</v>
      </c>
      <c r="BF121" s="170"/>
      <c r="BG121" s="170">
        <v>17100</v>
      </c>
      <c r="BH121" s="170">
        <v>4905</v>
      </c>
      <c r="BI121" s="170">
        <v>135</v>
      </c>
      <c r="BJ121" s="115">
        <f t="shared" si="51"/>
        <v>1</v>
      </c>
      <c r="BK121" s="115">
        <f t="shared" si="52"/>
        <v>5493.64</v>
      </c>
      <c r="BL121" s="115">
        <f t="shared" si="53"/>
        <v>3137.66</v>
      </c>
      <c r="BM121" s="115" t="str">
        <f t="shared" si="54"/>
        <v>0</v>
      </c>
      <c r="BN121" s="115" t="str">
        <f t="shared" si="55"/>
        <v>0</v>
      </c>
      <c r="BO121" s="115" t="str">
        <f t="shared" si="56"/>
        <v>0</v>
      </c>
      <c r="BP121" s="115" t="str">
        <f t="shared" si="57"/>
        <v>0</v>
      </c>
      <c r="BQ121" s="115" t="str">
        <f t="shared" si="58"/>
        <v>0</v>
      </c>
      <c r="BR121" s="115" t="str">
        <f t="shared" si="59"/>
        <v>0</v>
      </c>
      <c r="BS121" s="115"/>
      <c r="BT121" s="115">
        <v>2</v>
      </c>
      <c r="BU121" s="115">
        <f>BA121</f>
        <v>970</v>
      </c>
      <c r="BV121" s="115">
        <v>4264</v>
      </c>
      <c r="BW121" s="115"/>
      <c r="BX121" s="115">
        <f>AP121</f>
        <v>4180</v>
      </c>
      <c r="BY121" s="253">
        <v>2068.0300000000002</v>
      </c>
      <c r="BZ121" s="253">
        <v>1039.8800000000001</v>
      </c>
      <c r="CA121" s="354">
        <v>1030.96</v>
      </c>
      <c r="CB121" s="354">
        <v>8.1199999999999992</v>
      </c>
      <c r="CC121" s="354">
        <v>8.92</v>
      </c>
      <c r="CD121" s="354">
        <v>969.67</v>
      </c>
      <c r="CE121" s="354">
        <v>16.899999999999999</v>
      </c>
      <c r="CF121" s="354">
        <v>4.72</v>
      </c>
      <c r="CG121" s="354">
        <v>28.74</v>
      </c>
      <c r="CH121" s="355"/>
      <c r="CI121" s="356">
        <f t="shared" si="69"/>
        <v>2068.0299999999997</v>
      </c>
      <c r="CJ121" s="356">
        <f t="shared" si="60"/>
        <v>1039.8800000000001</v>
      </c>
      <c r="CK121" s="357">
        <v>976</v>
      </c>
      <c r="CL121" s="358">
        <f t="shared" si="70"/>
        <v>3044.0299999999997</v>
      </c>
      <c r="CM121" s="205">
        <v>2470</v>
      </c>
      <c r="CN121" s="282">
        <f t="shared" si="61"/>
        <v>1448</v>
      </c>
      <c r="CO121" s="209">
        <f t="shared" si="40"/>
        <v>1</v>
      </c>
      <c r="CP121" s="235">
        <f t="shared" si="41"/>
        <v>7574</v>
      </c>
      <c r="CQ121" s="209" t="str">
        <f>IF(CR121&gt;0,G121,"0")</f>
        <v>0</v>
      </c>
      <c r="CR121" s="235">
        <f t="shared" si="43"/>
        <v>0</v>
      </c>
      <c r="CS121" s="235">
        <f t="shared" si="76"/>
        <v>1</v>
      </c>
      <c r="CT121" s="235">
        <f t="shared" si="76"/>
        <v>7574</v>
      </c>
      <c r="CU121" s="156">
        <v>82</v>
      </c>
      <c r="CV121" s="284" t="str">
        <f t="shared" si="62"/>
        <v>0</v>
      </c>
      <c r="CW121" s="284" t="str">
        <f t="shared" si="63"/>
        <v>0</v>
      </c>
      <c r="CX121" s="243">
        <f t="shared" si="64"/>
        <v>2.6157520332602791</v>
      </c>
      <c r="CY121" s="216" t="str">
        <f t="shared" si="65"/>
        <v>0</v>
      </c>
      <c r="CZ121" s="216" t="str">
        <f t="shared" si="66"/>
        <v>0</v>
      </c>
      <c r="DA121" s="243">
        <f t="shared" si="67"/>
        <v>2.6157520332602791</v>
      </c>
      <c r="DB121" s="306">
        <v>1</v>
      </c>
      <c r="DC121" s="306">
        <v>0</v>
      </c>
      <c r="DD121" s="306">
        <v>0</v>
      </c>
      <c r="DE121" s="306">
        <v>0</v>
      </c>
      <c r="DF121" s="306">
        <v>2</v>
      </c>
      <c r="DG121" s="306">
        <v>0</v>
      </c>
      <c r="DH121" s="306">
        <v>0</v>
      </c>
      <c r="DI121" s="306">
        <v>0</v>
      </c>
      <c r="DJ121" s="306">
        <v>0</v>
      </c>
      <c r="DK121" s="306">
        <v>105</v>
      </c>
      <c r="DL121" s="306">
        <f t="shared" si="45"/>
        <v>103</v>
      </c>
      <c r="DM121" s="306">
        <v>2</v>
      </c>
      <c r="DN121" s="306">
        <v>98</v>
      </c>
      <c r="DO121" s="306">
        <v>55</v>
      </c>
      <c r="DP121" s="306">
        <v>72</v>
      </c>
      <c r="DQ121" s="306">
        <v>87</v>
      </c>
      <c r="DR121" s="306">
        <v>55</v>
      </c>
      <c r="DS121" s="306">
        <v>68</v>
      </c>
      <c r="DT121" s="306">
        <v>91</v>
      </c>
      <c r="DU121" s="306">
        <v>2</v>
      </c>
      <c r="DV121" s="306">
        <v>1</v>
      </c>
      <c r="DW121" s="306">
        <v>4</v>
      </c>
      <c r="DX121" s="306">
        <v>1</v>
      </c>
      <c r="DY121" s="306">
        <v>1</v>
      </c>
      <c r="DZ121" s="306">
        <v>4</v>
      </c>
      <c r="EA121" s="306">
        <v>1</v>
      </c>
      <c r="EB121" s="306">
        <v>105</v>
      </c>
      <c r="EC121" s="306">
        <v>105</v>
      </c>
      <c r="ED121" s="342"/>
      <c r="EE121" s="342"/>
    </row>
    <row r="122" spans="1:138" x14ac:dyDescent="0.2">
      <c r="A122" s="27" t="s">
        <v>142</v>
      </c>
      <c r="B122" s="169">
        <v>110</v>
      </c>
      <c r="C122" s="12" t="s">
        <v>82</v>
      </c>
      <c r="D122" s="13">
        <v>1969</v>
      </c>
      <c r="E122" s="11"/>
      <c r="F122" s="169" t="s">
        <v>20</v>
      </c>
      <c r="G122" s="35">
        <v>1</v>
      </c>
      <c r="H122" s="45">
        <v>5</v>
      </c>
      <c r="I122" s="1" t="s">
        <v>22</v>
      </c>
      <c r="J122" s="122">
        <v>9087</v>
      </c>
      <c r="K122" s="122">
        <v>684</v>
      </c>
      <c r="L122" s="122">
        <v>790</v>
      </c>
      <c r="M122" s="122"/>
      <c r="N122" s="122">
        <v>59</v>
      </c>
      <c r="O122" s="122">
        <v>113</v>
      </c>
      <c r="P122" s="122">
        <v>59</v>
      </c>
      <c r="Q122" s="122">
        <v>121</v>
      </c>
      <c r="R122" s="180">
        <f>2562.04-0.02</f>
        <v>2562.02</v>
      </c>
      <c r="S122" s="121">
        <v>1750</v>
      </c>
      <c r="T122" s="122">
        <f t="shared" si="46"/>
        <v>52</v>
      </c>
      <c r="U122" s="180">
        <f t="shared" si="78"/>
        <v>2276.75</v>
      </c>
      <c r="V122" s="180">
        <f t="shared" si="78"/>
        <v>1561.72</v>
      </c>
      <c r="W122" s="122">
        <v>7</v>
      </c>
      <c r="X122" s="180">
        <v>285.27</v>
      </c>
      <c r="Y122" s="180">
        <v>188.28</v>
      </c>
      <c r="Z122" s="122"/>
      <c r="AA122" s="180"/>
      <c r="AB122" s="180"/>
      <c r="AC122" s="180">
        <f t="shared" si="48"/>
        <v>0</v>
      </c>
      <c r="AD122" s="179">
        <f t="shared" si="49"/>
        <v>0</v>
      </c>
      <c r="AE122" s="271"/>
      <c r="AF122" s="179"/>
      <c r="AG122" s="180"/>
      <c r="AH122" s="180"/>
      <c r="AI122" s="180">
        <f t="shared" si="50"/>
        <v>2562.02</v>
      </c>
      <c r="AJ122" s="122"/>
      <c r="AK122" s="122"/>
      <c r="AL122" s="122">
        <v>3</v>
      </c>
      <c r="AM122" s="122"/>
      <c r="AN122" s="122">
        <v>1</v>
      </c>
      <c r="AO122" s="122">
        <v>1</v>
      </c>
      <c r="AP122" s="122">
        <v>1819</v>
      </c>
      <c r="AQ122" s="35"/>
      <c r="AR122" s="122">
        <f>104+29+114</f>
        <v>247</v>
      </c>
      <c r="AS122" s="122">
        <v>210</v>
      </c>
      <c r="AT122" s="122">
        <v>38</v>
      </c>
      <c r="AU122" s="122">
        <f t="shared" si="38"/>
        <v>2193</v>
      </c>
      <c r="AV122" s="122"/>
      <c r="AW122" s="122">
        <v>2193</v>
      </c>
      <c r="AX122" s="122">
        <v>1425</v>
      </c>
      <c r="AY122" s="122">
        <v>104</v>
      </c>
      <c r="AZ122" s="122">
        <v>659</v>
      </c>
      <c r="BA122" s="122">
        <v>659</v>
      </c>
      <c r="BB122" s="122">
        <v>15</v>
      </c>
      <c r="BC122" s="122">
        <v>9</v>
      </c>
      <c r="BD122" s="122">
        <v>160</v>
      </c>
      <c r="BE122" s="122">
        <v>59</v>
      </c>
      <c r="BF122" s="122">
        <v>1</v>
      </c>
      <c r="BG122" s="122">
        <v>11274</v>
      </c>
      <c r="BH122" s="122">
        <v>219</v>
      </c>
      <c r="BI122" s="122"/>
      <c r="BJ122" s="115" t="str">
        <f t="shared" si="51"/>
        <v>0</v>
      </c>
      <c r="BK122" s="115" t="str">
        <f t="shared" si="52"/>
        <v>0</v>
      </c>
      <c r="BL122" s="115" t="str">
        <f t="shared" si="53"/>
        <v>0</v>
      </c>
      <c r="BM122" s="115">
        <f t="shared" si="54"/>
        <v>1</v>
      </c>
      <c r="BN122" s="115">
        <f t="shared" si="55"/>
        <v>2562.02</v>
      </c>
      <c r="BO122" s="115">
        <f t="shared" si="56"/>
        <v>1750</v>
      </c>
      <c r="BP122" s="115" t="str">
        <f t="shared" si="57"/>
        <v>0</v>
      </c>
      <c r="BQ122" s="115" t="str">
        <f t="shared" si="58"/>
        <v>0</v>
      </c>
      <c r="BR122" s="115" t="str">
        <f t="shared" si="59"/>
        <v>0</v>
      </c>
      <c r="BS122" s="115"/>
      <c r="BT122" s="115">
        <v>2</v>
      </c>
      <c r="BU122" s="122"/>
      <c r="BV122" s="115"/>
      <c r="BW122" s="115"/>
      <c r="BX122" s="115"/>
      <c r="BY122" s="275">
        <v>870.02</v>
      </c>
      <c r="BZ122" s="253">
        <v>211.52</v>
      </c>
      <c r="CA122" s="354">
        <v>211.52</v>
      </c>
      <c r="CB122" s="354"/>
      <c r="CC122" s="354"/>
      <c r="CD122" s="354">
        <v>658.5</v>
      </c>
      <c r="CE122" s="354"/>
      <c r="CF122" s="354"/>
      <c r="CG122" s="354"/>
      <c r="CH122" s="355"/>
      <c r="CI122" s="356">
        <f t="shared" si="69"/>
        <v>870.02</v>
      </c>
      <c r="CJ122" s="356">
        <f t="shared" si="60"/>
        <v>211.52</v>
      </c>
      <c r="CK122" s="357">
        <v>659</v>
      </c>
      <c r="CL122" s="358">
        <f t="shared" si="70"/>
        <v>1529.02</v>
      </c>
      <c r="CM122" s="157">
        <v>1784</v>
      </c>
      <c r="CN122" s="275">
        <f t="shared" si="61"/>
        <v>1100</v>
      </c>
      <c r="CO122" s="209" t="str">
        <f t="shared" si="40"/>
        <v>0</v>
      </c>
      <c r="CP122" s="235">
        <f t="shared" si="41"/>
        <v>0</v>
      </c>
      <c r="CQ122" s="209">
        <f>IF(CR122&gt;0,G122,"0")</f>
        <v>1</v>
      </c>
      <c r="CR122" s="235">
        <f t="shared" si="43"/>
        <v>2193</v>
      </c>
      <c r="CS122" s="235">
        <f t="shared" si="76"/>
        <v>1</v>
      </c>
      <c r="CT122" s="235">
        <f t="shared" si="76"/>
        <v>2193</v>
      </c>
      <c r="CU122" s="14">
        <v>50</v>
      </c>
      <c r="CV122" s="284" t="str">
        <f t="shared" si="62"/>
        <v>0</v>
      </c>
      <c r="CW122" s="284" t="str">
        <f t="shared" si="63"/>
        <v>0</v>
      </c>
      <c r="CX122" s="243">
        <f t="shared" si="64"/>
        <v>11.134573500597185</v>
      </c>
      <c r="CY122" s="216" t="str">
        <f t="shared" si="65"/>
        <v>0</v>
      </c>
      <c r="CZ122" s="216" t="str">
        <f t="shared" si="66"/>
        <v>0</v>
      </c>
      <c r="DA122" s="243">
        <f t="shared" si="67"/>
        <v>11.134573500597185</v>
      </c>
      <c r="DB122" s="305">
        <v>1</v>
      </c>
      <c r="DC122" s="305">
        <v>0</v>
      </c>
      <c r="DD122" s="305">
        <v>0</v>
      </c>
      <c r="DE122" s="305">
        <v>0</v>
      </c>
      <c r="DF122" s="305">
        <v>1</v>
      </c>
      <c r="DG122" s="305">
        <v>0</v>
      </c>
      <c r="DH122" s="305">
        <v>0</v>
      </c>
      <c r="DI122" s="305">
        <v>0</v>
      </c>
      <c r="DJ122" s="306">
        <v>0</v>
      </c>
      <c r="DK122" s="306">
        <v>59</v>
      </c>
      <c r="DL122" s="306">
        <f t="shared" si="45"/>
        <v>52</v>
      </c>
      <c r="DM122" s="306">
        <v>7</v>
      </c>
      <c r="DN122" s="306">
        <v>34</v>
      </c>
      <c r="DO122" s="306">
        <v>27</v>
      </c>
      <c r="DP122" s="306">
        <v>31</v>
      </c>
      <c r="DQ122" s="306">
        <v>28</v>
      </c>
      <c r="DR122" s="306">
        <v>27</v>
      </c>
      <c r="DS122" s="306">
        <v>32</v>
      </c>
      <c r="DT122" s="306">
        <v>27</v>
      </c>
      <c r="DU122" s="306">
        <v>5</v>
      </c>
      <c r="DV122" s="306">
        <v>1</v>
      </c>
      <c r="DW122" s="306">
        <v>3</v>
      </c>
      <c r="DX122" s="306">
        <v>1</v>
      </c>
      <c r="DY122" s="306">
        <v>1</v>
      </c>
      <c r="DZ122" s="306">
        <v>3</v>
      </c>
      <c r="EA122" s="306">
        <v>1</v>
      </c>
      <c r="EB122" s="306">
        <v>59</v>
      </c>
      <c r="EC122" s="306">
        <v>59</v>
      </c>
      <c r="ED122" s="342"/>
      <c r="EE122" s="342"/>
      <c r="EF122" s="7"/>
      <c r="EG122" s="7"/>
      <c r="EH122" s="7"/>
    </row>
    <row r="123" spans="1:138" x14ac:dyDescent="0.2">
      <c r="A123" s="12" t="s">
        <v>142</v>
      </c>
      <c r="B123" s="169">
        <v>111</v>
      </c>
      <c r="C123" s="12" t="s">
        <v>83</v>
      </c>
      <c r="D123" s="13">
        <v>1973</v>
      </c>
      <c r="E123" s="11"/>
      <c r="F123" s="169" t="s">
        <v>196</v>
      </c>
      <c r="G123" s="35">
        <v>1</v>
      </c>
      <c r="H123" s="45">
        <v>5</v>
      </c>
      <c r="I123" s="1" t="s">
        <v>19</v>
      </c>
      <c r="J123" s="122">
        <v>20367</v>
      </c>
      <c r="K123" s="122">
        <v>1385</v>
      </c>
      <c r="L123" s="122">
        <v>1551</v>
      </c>
      <c r="M123" s="122"/>
      <c r="N123" s="122">
        <v>75</v>
      </c>
      <c r="O123" s="122">
        <v>156</v>
      </c>
      <c r="P123" s="122">
        <v>75</v>
      </c>
      <c r="Q123" s="122">
        <v>139</v>
      </c>
      <c r="R123" s="180">
        <f>4053.53-0.04</f>
        <v>4053.4900000000002</v>
      </c>
      <c r="S123" s="121">
        <f>2187.82</f>
        <v>2187.8200000000002</v>
      </c>
      <c r="T123" s="122">
        <f t="shared" si="46"/>
        <v>72</v>
      </c>
      <c r="U123" s="180">
        <f t="shared" si="78"/>
        <v>3880.69</v>
      </c>
      <c r="V123" s="180">
        <f t="shared" si="78"/>
        <v>2093.09</v>
      </c>
      <c r="W123" s="122">
        <v>3</v>
      </c>
      <c r="X123" s="180">
        <v>172.8</v>
      </c>
      <c r="Y123" s="180">
        <v>94.73</v>
      </c>
      <c r="Z123" s="122"/>
      <c r="AA123" s="180"/>
      <c r="AB123" s="180"/>
      <c r="AC123" s="180">
        <f t="shared" si="48"/>
        <v>54.7</v>
      </c>
      <c r="AD123" s="179">
        <f t="shared" si="49"/>
        <v>0</v>
      </c>
      <c r="AE123" s="271"/>
      <c r="AF123" s="179"/>
      <c r="AG123" s="180">
        <v>54.7</v>
      </c>
      <c r="AH123" s="180"/>
      <c r="AI123" s="180">
        <f t="shared" si="50"/>
        <v>4108.1900000000005</v>
      </c>
      <c r="AJ123" s="122"/>
      <c r="AK123" s="122"/>
      <c r="AL123" s="122">
        <v>4</v>
      </c>
      <c r="AM123" s="122">
        <v>4</v>
      </c>
      <c r="AN123" s="122">
        <v>1</v>
      </c>
      <c r="AO123" s="122">
        <v>1</v>
      </c>
      <c r="AP123" s="122">
        <v>3011</v>
      </c>
      <c r="AQ123" s="35"/>
      <c r="AR123" s="122">
        <f>154+77+234</f>
        <v>465</v>
      </c>
      <c r="AS123" s="122">
        <v>185</v>
      </c>
      <c r="AT123" s="122">
        <v>140</v>
      </c>
      <c r="AU123" s="122">
        <f t="shared" ref="AU123:AU184" si="107">AV123+AW123</f>
        <v>5292</v>
      </c>
      <c r="AV123" s="122"/>
      <c r="AW123" s="122">
        <v>5292</v>
      </c>
      <c r="AX123" s="122"/>
      <c r="AY123" s="122">
        <v>259</v>
      </c>
      <c r="AZ123" s="122">
        <v>1334</v>
      </c>
      <c r="BA123" s="122">
        <v>1334</v>
      </c>
      <c r="BB123" s="122">
        <v>20</v>
      </c>
      <c r="BC123" s="122">
        <v>17</v>
      </c>
      <c r="BD123" s="122">
        <v>220</v>
      </c>
      <c r="BE123" s="122">
        <v>76</v>
      </c>
      <c r="BF123" s="122">
        <v>1</v>
      </c>
      <c r="BG123" s="122">
        <v>16472</v>
      </c>
      <c r="BH123" s="122">
        <v>1260</v>
      </c>
      <c r="BI123" s="122"/>
      <c r="BJ123" s="115">
        <f t="shared" si="51"/>
        <v>1</v>
      </c>
      <c r="BK123" s="115">
        <f t="shared" si="52"/>
        <v>4053.4900000000002</v>
      </c>
      <c r="BL123" s="115">
        <f t="shared" si="53"/>
        <v>2187.8200000000002</v>
      </c>
      <c r="BM123" s="115" t="str">
        <f t="shared" si="54"/>
        <v>0</v>
      </c>
      <c r="BN123" s="115" t="str">
        <f t="shared" si="55"/>
        <v>0</v>
      </c>
      <c r="BO123" s="115" t="str">
        <f t="shared" si="56"/>
        <v>0</v>
      </c>
      <c r="BP123" s="115" t="str">
        <f t="shared" si="57"/>
        <v>0</v>
      </c>
      <c r="BQ123" s="115" t="str">
        <f t="shared" si="58"/>
        <v>0</v>
      </c>
      <c r="BR123" s="115" t="str">
        <f t="shared" si="59"/>
        <v>0</v>
      </c>
      <c r="BS123" s="115"/>
      <c r="BT123" s="115">
        <v>2</v>
      </c>
      <c r="BU123" s="122">
        <v>1334</v>
      </c>
      <c r="BV123" s="115">
        <v>456</v>
      </c>
      <c r="BW123" s="115"/>
      <c r="BX123" s="115">
        <f>AP123</f>
        <v>3011</v>
      </c>
      <c r="BY123" s="275">
        <v>2200.63</v>
      </c>
      <c r="BZ123" s="253">
        <v>764.17</v>
      </c>
      <c r="CA123" s="354">
        <v>764.17</v>
      </c>
      <c r="CB123" s="354"/>
      <c r="CC123" s="354"/>
      <c r="CD123" s="354">
        <v>1334</v>
      </c>
      <c r="CE123" s="354">
        <v>8.57</v>
      </c>
      <c r="CF123" s="354">
        <f>8.36+8</f>
        <v>16.36</v>
      </c>
      <c r="CG123" s="354">
        <f>17.2+17.33+17.31+17.03</f>
        <v>68.87</v>
      </c>
      <c r="CH123" s="355">
        <v>8.66</v>
      </c>
      <c r="CI123" s="356">
        <f t="shared" si="69"/>
        <v>2200.63</v>
      </c>
      <c r="CJ123" s="356">
        <f t="shared" si="60"/>
        <v>764.17</v>
      </c>
      <c r="CK123" s="357">
        <v>1334</v>
      </c>
      <c r="CL123" s="358">
        <f t="shared" si="70"/>
        <v>3534.63</v>
      </c>
      <c r="CM123" s="157">
        <v>3358</v>
      </c>
      <c r="CN123" s="275">
        <f t="shared" si="61"/>
        <v>1973</v>
      </c>
      <c r="CO123" s="209" t="str">
        <f t="shared" ref="CO123:CO184" si="108">IF(CP123&gt;0,G123,"0")</f>
        <v>0</v>
      </c>
      <c r="CP123" s="235">
        <f t="shared" ref="CP123:CP184" si="109">AV123</f>
        <v>0</v>
      </c>
      <c r="CQ123" s="209">
        <f>IF(CR123&gt;0,G123,"0")</f>
        <v>1</v>
      </c>
      <c r="CR123" s="235">
        <f t="shared" ref="CR123:CR184" si="110">AW123</f>
        <v>5292</v>
      </c>
      <c r="CS123" s="235">
        <f t="shared" ref="CS123:CT148" si="111">CO123+CQ123</f>
        <v>1</v>
      </c>
      <c r="CT123" s="235">
        <f t="shared" si="111"/>
        <v>5292</v>
      </c>
      <c r="CU123" s="14">
        <v>47</v>
      </c>
      <c r="CV123" s="284" t="str">
        <f t="shared" si="62"/>
        <v>0</v>
      </c>
      <c r="CW123" s="284" t="str">
        <f t="shared" si="63"/>
        <v>0</v>
      </c>
      <c r="CX123" s="243">
        <f t="shared" si="64"/>
        <v>4.2629931244433807</v>
      </c>
      <c r="CY123" s="216" t="str">
        <f t="shared" si="65"/>
        <v>0</v>
      </c>
      <c r="CZ123" s="216" t="str">
        <f t="shared" si="66"/>
        <v>0</v>
      </c>
      <c r="DA123" s="243">
        <f t="shared" si="67"/>
        <v>4.2062319415606382</v>
      </c>
      <c r="DB123" s="305">
        <v>1</v>
      </c>
      <c r="DC123" s="305">
        <v>0</v>
      </c>
      <c r="DD123" s="305">
        <v>0</v>
      </c>
      <c r="DE123" s="305">
        <v>0</v>
      </c>
      <c r="DF123" s="305">
        <v>1</v>
      </c>
      <c r="DG123" s="305">
        <v>0</v>
      </c>
      <c r="DH123" s="305">
        <v>0</v>
      </c>
      <c r="DI123" s="305">
        <v>0</v>
      </c>
      <c r="DJ123" s="306">
        <v>0</v>
      </c>
      <c r="DK123" s="306">
        <v>76</v>
      </c>
      <c r="DL123" s="306">
        <f t="shared" ref="DL123:DL184" si="112">DK123-DM123</f>
        <v>70</v>
      </c>
      <c r="DM123" s="306">
        <v>6</v>
      </c>
      <c r="DN123" s="306">
        <v>55</v>
      </c>
      <c r="DO123" s="306">
        <v>38</v>
      </c>
      <c r="DP123" s="306">
        <v>75</v>
      </c>
      <c r="DQ123" s="306">
        <v>75</v>
      </c>
      <c r="DR123" s="306">
        <v>38</v>
      </c>
      <c r="DS123" s="306">
        <v>75</v>
      </c>
      <c r="DT123" s="306">
        <v>75</v>
      </c>
      <c r="DU123" s="306">
        <v>2</v>
      </c>
      <c r="DV123" s="306">
        <v>1</v>
      </c>
      <c r="DW123" s="306">
        <v>8</v>
      </c>
      <c r="DX123" s="306">
        <v>2</v>
      </c>
      <c r="DY123" s="306">
        <v>1</v>
      </c>
      <c r="DZ123" s="306">
        <v>8</v>
      </c>
      <c r="EA123" s="306">
        <v>2</v>
      </c>
      <c r="EB123" s="306">
        <v>76</v>
      </c>
      <c r="EC123" s="306">
        <v>76</v>
      </c>
      <c r="ED123" s="342"/>
      <c r="EE123" s="342"/>
      <c r="EF123" s="7"/>
      <c r="EG123" s="7"/>
      <c r="EH123" s="7"/>
    </row>
    <row r="124" spans="1:138" x14ac:dyDescent="0.2">
      <c r="A124" s="27" t="s">
        <v>142</v>
      </c>
      <c r="B124" s="169">
        <v>112</v>
      </c>
      <c r="C124" s="12" t="s">
        <v>84</v>
      </c>
      <c r="D124" s="13">
        <v>1977</v>
      </c>
      <c r="E124" s="11"/>
      <c r="F124" s="169" t="s">
        <v>21</v>
      </c>
      <c r="G124" s="35">
        <v>1</v>
      </c>
      <c r="H124" s="45">
        <v>9</v>
      </c>
      <c r="I124" s="1" t="s">
        <v>19</v>
      </c>
      <c r="J124" s="122">
        <v>20185</v>
      </c>
      <c r="K124" s="122">
        <v>972</v>
      </c>
      <c r="L124" s="122">
        <v>728</v>
      </c>
      <c r="M124" s="122">
        <v>210</v>
      </c>
      <c r="N124" s="122">
        <v>64</v>
      </c>
      <c r="O124" s="122">
        <v>144</v>
      </c>
      <c r="P124" s="122">
        <v>64</v>
      </c>
      <c r="Q124" s="122">
        <v>145</v>
      </c>
      <c r="R124" s="180">
        <v>3279.44</v>
      </c>
      <c r="S124" s="121">
        <v>1899</v>
      </c>
      <c r="T124" s="122">
        <f t="shared" si="46"/>
        <v>62</v>
      </c>
      <c r="U124" s="180">
        <f t="shared" si="78"/>
        <v>3171.54</v>
      </c>
      <c r="V124" s="180">
        <f t="shared" si="78"/>
        <v>1837.06</v>
      </c>
      <c r="W124" s="122">
        <v>2</v>
      </c>
      <c r="X124" s="180">
        <v>107.9</v>
      </c>
      <c r="Y124" s="180">
        <v>61.94</v>
      </c>
      <c r="Z124" s="122"/>
      <c r="AA124" s="180"/>
      <c r="AB124" s="180"/>
      <c r="AC124" s="180">
        <f t="shared" si="48"/>
        <v>534.1</v>
      </c>
      <c r="AD124" s="179">
        <f t="shared" si="49"/>
        <v>534.1</v>
      </c>
      <c r="AE124" s="271"/>
      <c r="AF124" s="179">
        <f>533.21+0.89</f>
        <v>534.1</v>
      </c>
      <c r="AG124" s="180"/>
      <c r="AH124" s="180"/>
      <c r="AI124" s="180">
        <f t="shared" si="50"/>
        <v>3813.54</v>
      </c>
      <c r="AJ124" s="122"/>
      <c r="AK124" s="122">
        <v>2</v>
      </c>
      <c r="AL124" s="122">
        <v>2</v>
      </c>
      <c r="AM124" s="122">
        <v>2</v>
      </c>
      <c r="AN124" s="122"/>
      <c r="AO124" s="122">
        <v>1</v>
      </c>
      <c r="AP124" s="122">
        <v>3651</v>
      </c>
      <c r="AQ124" s="35"/>
      <c r="AR124" s="122">
        <f>158+79+105</f>
        <v>342</v>
      </c>
      <c r="AS124" s="122">
        <v>197</v>
      </c>
      <c r="AT124" s="122">
        <v>100</v>
      </c>
      <c r="AU124" s="122">
        <f t="shared" si="107"/>
        <v>4386</v>
      </c>
      <c r="AV124" s="122">
        <v>3555</v>
      </c>
      <c r="AW124" s="122">
        <v>831</v>
      </c>
      <c r="AX124" s="122"/>
      <c r="AY124" s="122">
        <v>208</v>
      </c>
      <c r="AZ124" s="122">
        <v>894</v>
      </c>
      <c r="BA124" s="122">
        <v>894</v>
      </c>
      <c r="BB124" s="122">
        <v>10</v>
      </c>
      <c r="BC124" s="122">
        <v>11</v>
      </c>
      <c r="BD124" s="122">
        <v>216</v>
      </c>
      <c r="BE124" s="122">
        <v>64</v>
      </c>
      <c r="BF124" s="122">
        <v>1</v>
      </c>
      <c r="BG124" s="122">
        <v>14825</v>
      </c>
      <c r="BH124" s="122">
        <v>1134</v>
      </c>
      <c r="BI124" s="122">
        <v>294</v>
      </c>
      <c r="BJ124" s="115">
        <f t="shared" si="51"/>
        <v>1</v>
      </c>
      <c r="BK124" s="115">
        <f t="shared" si="52"/>
        <v>3279.44</v>
      </c>
      <c r="BL124" s="115">
        <f t="shared" si="53"/>
        <v>1899</v>
      </c>
      <c r="BM124" s="115" t="str">
        <f t="shared" si="54"/>
        <v>0</v>
      </c>
      <c r="BN124" s="115" t="str">
        <f t="shared" si="55"/>
        <v>0</v>
      </c>
      <c r="BO124" s="115" t="str">
        <f t="shared" si="56"/>
        <v>0</v>
      </c>
      <c r="BP124" s="115" t="str">
        <f t="shared" si="57"/>
        <v>0</v>
      </c>
      <c r="BQ124" s="115" t="str">
        <f t="shared" si="58"/>
        <v>0</v>
      </c>
      <c r="BR124" s="115" t="str">
        <f t="shared" si="59"/>
        <v>0</v>
      </c>
      <c r="BS124" s="115">
        <v>1</v>
      </c>
      <c r="BT124" s="115"/>
      <c r="BU124" s="122">
        <v>894</v>
      </c>
      <c r="BV124" s="115">
        <v>189</v>
      </c>
      <c r="BW124" s="115"/>
      <c r="BX124" s="115">
        <f>AP124</f>
        <v>3651</v>
      </c>
      <c r="BY124" s="275">
        <v>1625.14</v>
      </c>
      <c r="BZ124" s="253">
        <v>680.82</v>
      </c>
      <c r="CA124" s="354">
        <f>685.7-2.44*2</f>
        <v>680.82</v>
      </c>
      <c r="CB124" s="354">
        <f>2.44*2</f>
        <v>4.88</v>
      </c>
      <c r="CC124" s="354"/>
      <c r="CD124" s="354">
        <v>894.08</v>
      </c>
      <c r="CE124" s="354">
        <f>9.2+8.72</f>
        <v>17.920000000000002</v>
      </c>
      <c r="CF124" s="354"/>
      <c r="CG124" s="354">
        <f>14.32+13.12</f>
        <v>27.439999999999998</v>
      </c>
      <c r="CH124" s="355"/>
      <c r="CI124" s="356">
        <f t="shared" si="69"/>
        <v>1625.14</v>
      </c>
      <c r="CJ124" s="356">
        <f t="shared" si="60"/>
        <v>680.82</v>
      </c>
      <c r="CK124" s="357">
        <v>894</v>
      </c>
      <c r="CL124" s="358">
        <f t="shared" si="70"/>
        <v>2519.1400000000003</v>
      </c>
      <c r="CM124" s="157">
        <v>1477</v>
      </c>
      <c r="CN124" s="275">
        <f t="shared" si="61"/>
        <v>505</v>
      </c>
      <c r="CO124" s="209">
        <f t="shared" si="108"/>
        <v>1</v>
      </c>
      <c r="CP124" s="235">
        <f t="shared" si="109"/>
        <v>3555</v>
      </c>
      <c r="CQ124" s="209"/>
      <c r="CR124" s="235">
        <f t="shared" si="110"/>
        <v>831</v>
      </c>
      <c r="CS124" s="235">
        <f t="shared" si="111"/>
        <v>1</v>
      </c>
      <c r="CT124" s="235">
        <f t="shared" si="111"/>
        <v>4386</v>
      </c>
      <c r="CU124" s="14">
        <v>63</v>
      </c>
      <c r="CV124" s="284" t="str">
        <f t="shared" si="62"/>
        <v>0</v>
      </c>
      <c r="CW124" s="284" t="str">
        <f t="shared" si="63"/>
        <v>0</v>
      </c>
      <c r="CX124" s="243">
        <f t="shared" si="64"/>
        <v>3.290195887102676</v>
      </c>
      <c r="CY124" s="216" t="str">
        <f t="shared" si="65"/>
        <v>0</v>
      </c>
      <c r="CZ124" s="216" t="str">
        <f t="shared" si="66"/>
        <v>0</v>
      </c>
      <c r="DA124" s="243">
        <f t="shared" si="67"/>
        <v>16.834751962743276</v>
      </c>
      <c r="DB124" s="305">
        <v>1</v>
      </c>
      <c r="DC124" s="305">
        <v>0</v>
      </c>
      <c r="DD124" s="305">
        <v>0</v>
      </c>
      <c r="DE124" s="305">
        <v>0</v>
      </c>
      <c r="DF124" s="305">
        <v>2</v>
      </c>
      <c r="DG124" s="305">
        <v>0</v>
      </c>
      <c r="DH124" s="305">
        <v>0</v>
      </c>
      <c r="DI124" s="305">
        <v>0</v>
      </c>
      <c r="DJ124" s="306">
        <v>0</v>
      </c>
      <c r="DK124" s="306">
        <v>64</v>
      </c>
      <c r="DL124" s="306">
        <f t="shared" si="112"/>
        <v>61</v>
      </c>
      <c r="DM124" s="306">
        <v>3</v>
      </c>
      <c r="DN124" s="306">
        <v>45</v>
      </c>
      <c r="DO124" s="306">
        <v>29</v>
      </c>
      <c r="DP124" s="306">
        <v>46</v>
      </c>
      <c r="DQ124" s="306">
        <v>50</v>
      </c>
      <c r="DR124" s="306">
        <v>30</v>
      </c>
      <c r="DS124" s="306">
        <v>45</v>
      </c>
      <c r="DT124" s="306">
        <v>51</v>
      </c>
      <c r="DU124" s="306">
        <v>0</v>
      </c>
      <c r="DV124" s="306">
        <v>0</v>
      </c>
      <c r="DW124" s="306">
        <v>4</v>
      </c>
      <c r="DX124" s="306">
        <v>0</v>
      </c>
      <c r="DY124" s="306">
        <v>0</v>
      </c>
      <c r="DZ124" s="306">
        <v>4</v>
      </c>
      <c r="EA124" s="306">
        <v>0</v>
      </c>
      <c r="EB124" s="306">
        <v>64</v>
      </c>
      <c r="EC124" s="306">
        <v>64</v>
      </c>
      <c r="ED124" s="342"/>
      <c r="EE124" s="342"/>
      <c r="EF124" s="7"/>
      <c r="EG124" s="7"/>
      <c r="EH124" s="7"/>
    </row>
    <row r="125" spans="1:138" s="210" customFormat="1" x14ac:dyDescent="0.2">
      <c r="A125" s="12" t="s">
        <v>142</v>
      </c>
      <c r="B125" s="169">
        <v>113</v>
      </c>
      <c r="C125" s="12" t="s">
        <v>184</v>
      </c>
      <c r="D125" s="13">
        <v>1986</v>
      </c>
      <c r="E125" s="11"/>
      <c r="F125" s="169" t="s">
        <v>24</v>
      </c>
      <c r="G125" s="35">
        <v>1</v>
      </c>
      <c r="H125" s="45">
        <v>9</v>
      </c>
      <c r="I125" s="1" t="s">
        <v>22</v>
      </c>
      <c r="J125" s="122">
        <v>10353</v>
      </c>
      <c r="K125" s="122">
        <v>415</v>
      </c>
      <c r="L125" s="122"/>
      <c r="M125" s="122">
        <v>375</v>
      </c>
      <c r="N125" s="122">
        <v>32</v>
      </c>
      <c r="O125" s="122">
        <v>96</v>
      </c>
      <c r="P125" s="122">
        <v>32</v>
      </c>
      <c r="Q125" s="122">
        <v>79</v>
      </c>
      <c r="R125" s="180">
        <v>2109.1999999999998</v>
      </c>
      <c r="S125" s="121">
        <v>1346.7</v>
      </c>
      <c r="T125" s="122">
        <f t="shared" si="46"/>
        <v>28</v>
      </c>
      <c r="U125" s="180">
        <f t="shared" si="78"/>
        <v>1844.6</v>
      </c>
      <c r="V125" s="180">
        <f t="shared" si="78"/>
        <v>1178.2</v>
      </c>
      <c r="W125" s="122">
        <v>4</v>
      </c>
      <c r="X125" s="180">
        <v>264.60000000000002</v>
      </c>
      <c r="Y125" s="180">
        <v>168.5</v>
      </c>
      <c r="Z125" s="122"/>
      <c r="AA125" s="180"/>
      <c r="AB125" s="180"/>
      <c r="AC125" s="180">
        <f t="shared" si="48"/>
        <v>241.2</v>
      </c>
      <c r="AD125" s="179">
        <f t="shared" si="49"/>
        <v>241.2</v>
      </c>
      <c r="AE125" s="271"/>
      <c r="AF125" s="179">
        <v>241.2</v>
      </c>
      <c r="AG125" s="180"/>
      <c r="AH125" s="180"/>
      <c r="AI125" s="180">
        <f t="shared" si="50"/>
        <v>2350.3999999999996</v>
      </c>
      <c r="AJ125" s="122"/>
      <c r="AK125" s="122">
        <v>1</v>
      </c>
      <c r="AL125" s="122">
        <v>1</v>
      </c>
      <c r="AM125" s="122">
        <v>1</v>
      </c>
      <c r="AN125" s="122"/>
      <c r="AO125" s="122">
        <v>1</v>
      </c>
      <c r="AP125" s="122">
        <v>2163</v>
      </c>
      <c r="AQ125" s="35"/>
      <c r="AR125" s="122">
        <f>101+51+44</f>
        <v>196</v>
      </c>
      <c r="AS125" s="122">
        <v>94</v>
      </c>
      <c r="AT125" s="122">
        <v>54</v>
      </c>
      <c r="AU125" s="122">
        <f t="shared" si="107"/>
        <v>2578</v>
      </c>
      <c r="AV125" s="122">
        <v>2371</v>
      </c>
      <c r="AW125" s="122">
        <v>207</v>
      </c>
      <c r="AX125" s="122">
        <v>1210</v>
      </c>
      <c r="AY125" s="122">
        <v>91</v>
      </c>
      <c r="AZ125" s="122">
        <v>375</v>
      </c>
      <c r="BA125" s="122">
        <v>375</v>
      </c>
      <c r="BB125" s="122">
        <v>18</v>
      </c>
      <c r="BC125" s="122">
        <v>24</v>
      </c>
      <c r="BD125" s="122">
        <v>142</v>
      </c>
      <c r="BE125" s="122">
        <v>32</v>
      </c>
      <c r="BF125" s="122">
        <v>1</v>
      </c>
      <c r="BG125" s="122">
        <v>5794</v>
      </c>
      <c r="BH125" s="122">
        <v>369</v>
      </c>
      <c r="BI125" s="122">
        <v>132</v>
      </c>
      <c r="BJ125" s="115" t="str">
        <f t="shared" si="51"/>
        <v>0</v>
      </c>
      <c r="BK125" s="115" t="str">
        <f t="shared" si="52"/>
        <v>0</v>
      </c>
      <c r="BL125" s="115" t="str">
        <f t="shared" si="53"/>
        <v>0</v>
      </c>
      <c r="BM125" s="115">
        <f t="shared" si="54"/>
        <v>1</v>
      </c>
      <c r="BN125" s="115">
        <f t="shared" si="55"/>
        <v>2109.1999999999998</v>
      </c>
      <c r="BO125" s="115">
        <f t="shared" si="56"/>
        <v>1346.7</v>
      </c>
      <c r="BP125" s="115" t="str">
        <f t="shared" si="57"/>
        <v>0</v>
      </c>
      <c r="BQ125" s="115" t="str">
        <f t="shared" si="58"/>
        <v>0</v>
      </c>
      <c r="BR125" s="115" t="str">
        <f t="shared" si="59"/>
        <v>0</v>
      </c>
      <c r="BS125" s="115"/>
      <c r="BT125" s="115">
        <v>1</v>
      </c>
      <c r="BU125" s="122">
        <v>375</v>
      </c>
      <c r="BV125" s="115">
        <v>27</v>
      </c>
      <c r="BW125" s="115"/>
      <c r="BX125" s="115"/>
      <c r="BY125" s="275">
        <v>815.2</v>
      </c>
      <c r="BZ125" s="253">
        <v>386.7</v>
      </c>
      <c r="CA125" s="354">
        <f>159.8-3.4+230.3</f>
        <v>386.70000000000005</v>
      </c>
      <c r="CB125" s="354">
        <f>3.4+15.8</f>
        <v>19.2</v>
      </c>
      <c r="CC125" s="354"/>
      <c r="CD125" s="354">
        <v>375.1</v>
      </c>
      <c r="CE125" s="354">
        <v>28</v>
      </c>
      <c r="CF125" s="354"/>
      <c r="CG125" s="354">
        <v>6.2</v>
      </c>
      <c r="CH125" s="355"/>
      <c r="CI125" s="356">
        <f t="shared" si="69"/>
        <v>815.2</v>
      </c>
      <c r="CJ125" s="356">
        <f t="shared" si="60"/>
        <v>386.70000000000005</v>
      </c>
      <c r="CK125" s="357">
        <v>375</v>
      </c>
      <c r="CL125" s="358">
        <f t="shared" si="70"/>
        <v>1190.2</v>
      </c>
      <c r="CM125" s="157">
        <v>814</v>
      </c>
      <c r="CN125" s="275">
        <f t="shared" si="61"/>
        <v>399</v>
      </c>
      <c r="CO125" s="209">
        <f t="shared" si="108"/>
        <v>1</v>
      </c>
      <c r="CP125" s="235">
        <f t="shared" si="109"/>
        <v>2371</v>
      </c>
      <c r="CQ125" s="209"/>
      <c r="CR125" s="235">
        <f t="shared" si="110"/>
        <v>207</v>
      </c>
      <c r="CS125" s="235">
        <f t="shared" si="111"/>
        <v>1</v>
      </c>
      <c r="CT125" s="235">
        <f t="shared" si="111"/>
        <v>2578</v>
      </c>
      <c r="CU125" s="14">
        <v>51</v>
      </c>
      <c r="CV125" s="284" t="str">
        <f t="shared" si="62"/>
        <v>0</v>
      </c>
      <c r="CW125" s="284" t="str">
        <f t="shared" si="63"/>
        <v>0</v>
      </c>
      <c r="CX125" s="243">
        <f t="shared" si="64"/>
        <v>12.545040773753083</v>
      </c>
      <c r="CY125" s="216" t="str">
        <f t="shared" si="65"/>
        <v>0</v>
      </c>
      <c r="CZ125" s="216" t="str">
        <f t="shared" si="66"/>
        <v>0</v>
      </c>
      <c r="DA125" s="243">
        <f t="shared" si="67"/>
        <v>21.519741320626277</v>
      </c>
      <c r="DB125" s="305">
        <v>1</v>
      </c>
      <c r="DC125" s="305">
        <v>0</v>
      </c>
      <c r="DD125" s="305">
        <v>0</v>
      </c>
      <c r="DE125" s="305">
        <v>0</v>
      </c>
      <c r="DF125" s="305">
        <v>2</v>
      </c>
      <c r="DG125" s="305">
        <v>0</v>
      </c>
      <c r="DH125" s="305">
        <v>0</v>
      </c>
      <c r="DI125" s="305">
        <v>0</v>
      </c>
      <c r="DJ125" s="306">
        <v>0</v>
      </c>
      <c r="DK125" s="306">
        <v>32</v>
      </c>
      <c r="DL125" s="306">
        <f t="shared" si="112"/>
        <v>28</v>
      </c>
      <c r="DM125" s="306">
        <v>4</v>
      </c>
      <c r="DN125" s="306">
        <v>24</v>
      </c>
      <c r="DO125" s="306">
        <v>14</v>
      </c>
      <c r="DP125" s="306">
        <v>18</v>
      </c>
      <c r="DQ125" s="306">
        <v>14</v>
      </c>
      <c r="DR125" s="306">
        <v>14</v>
      </c>
      <c r="DS125" s="306">
        <v>18</v>
      </c>
      <c r="DT125" s="306">
        <v>14</v>
      </c>
      <c r="DU125" s="306">
        <v>2</v>
      </c>
      <c r="DV125" s="306">
        <v>2</v>
      </c>
      <c r="DW125" s="306">
        <v>0</v>
      </c>
      <c r="DX125" s="306">
        <v>2</v>
      </c>
      <c r="DY125" s="306">
        <v>2</v>
      </c>
      <c r="DZ125" s="306">
        <v>0</v>
      </c>
      <c r="EA125" s="306">
        <v>2</v>
      </c>
      <c r="EB125" s="306">
        <v>32</v>
      </c>
      <c r="EC125" s="306">
        <v>32</v>
      </c>
      <c r="ED125" s="342"/>
      <c r="EE125" s="342"/>
      <c r="EF125" s="7"/>
      <c r="EG125" s="7"/>
      <c r="EH125" s="7"/>
    </row>
    <row r="126" spans="1:138" x14ac:dyDescent="0.2">
      <c r="A126" s="27" t="s">
        <v>197</v>
      </c>
      <c r="B126" s="169">
        <v>128</v>
      </c>
      <c r="C126" s="12" t="s">
        <v>269</v>
      </c>
      <c r="D126" s="200">
        <v>1957</v>
      </c>
      <c r="E126" s="11"/>
      <c r="F126" s="169" t="s">
        <v>207</v>
      </c>
      <c r="G126" s="35">
        <v>1</v>
      </c>
      <c r="H126" s="201">
        <v>5</v>
      </c>
      <c r="I126" s="201" t="s">
        <v>19</v>
      </c>
      <c r="J126" s="115">
        <v>27827</v>
      </c>
      <c r="K126" s="115">
        <v>1690</v>
      </c>
      <c r="L126" s="157">
        <v>2041</v>
      </c>
      <c r="M126" s="115"/>
      <c r="N126" s="115">
        <v>72</v>
      </c>
      <c r="O126" s="115">
        <v>170</v>
      </c>
      <c r="P126" s="115">
        <v>72</v>
      </c>
      <c r="Q126" s="115">
        <v>153</v>
      </c>
      <c r="R126" s="228">
        <v>4827.8</v>
      </c>
      <c r="S126" s="230">
        <v>2751.8</v>
      </c>
      <c r="T126" s="115">
        <f>N126-W126-Z126</f>
        <v>69</v>
      </c>
      <c r="U126" s="203">
        <f>R126-X126-AA126</f>
        <v>4636.7</v>
      </c>
      <c r="V126" s="180">
        <f>S126-Y126-AB126</f>
        <v>2633.32</v>
      </c>
      <c r="W126" s="115">
        <v>3</v>
      </c>
      <c r="X126" s="207">
        <v>191.1</v>
      </c>
      <c r="Y126" s="207">
        <v>118.48</v>
      </c>
      <c r="Z126" s="204"/>
      <c r="AA126" s="207"/>
      <c r="AB126" s="207"/>
      <c r="AC126" s="207">
        <f>AD126+AG126+AH126</f>
        <v>1205.3</v>
      </c>
      <c r="AD126" s="248">
        <f>AE126+AF126</f>
        <v>820.4</v>
      </c>
      <c r="AE126" s="275"/>
      <c r="AF126" s="275">
        <v>820.4</v>
      </c>
      <c r="AG126" s="207">
        <v>384.9</v>
      </c>
      <c r="AH126" s="207"/>
      <c r="AI126" s="207">
        <f>R126+AC126</f>
        <v>6033.1</v>
      </c>
      <c r="AJ126" s="170"/>
      <c r="AK126" s="170"/>
      <c r="AL126" s="170">
        <v>4</v>
      </c>
      <c r="AM126" s="170"/>
      <c r="AN126" s="170"/>
      <c r="AO126" s="170">
        <v>1</v>
      </c>
      <c r="AP126" s="170">
        <v>4000</v>
      </c>
      <c r="AQ126" s="170"/>
      <c r="AR126" s="170">
        <v>502</v>
      </c>
      <c r="AS126" s="170">
        <v>114</v>
      </c>
      <c r="AT126" s="170">
        <v>120</v>
      </c>
      <c r="AU126" s="170">
        <f>AV126+AW126</f>
        <v>5279</v>
      </c>
      <c r="AV126" s="170"/>
      <c r="AW126" s="170">
        <v>5279</v>
      </c>
      <c r="AX126" s="170"/>
      <c r="AY126" s="170">
        <v>91</v>
      </c>
      <c r="AZ126" s="170">
        <v>1666</v>
      </c>
      <c r="BA126" s="170">
        <v>1666</v>
      </c>
      <c r="BB126" s="170">
        <v>16</v>
      </c>
      <c r="BC126" s="170">
        <v>8</v>
      </c>
      <c r="BD126" s="170">
        <v>364</v>
      </c>
      <c r="BE126" s="170">
        <v>72</v>
      </c>
      <c r="BF126" s="170"/>
      <c r="BG126" s="170">
        <v>6800</v>
      </c>
      <c r="BH126" s="170">
        <v>120</v>
      </c>
      <c r="BI126" s="170"/>
      <c r="BJ126" s="115">
        <f>IF((I126="кир"),G126,"0")</f>
        <v>1</v>
      </c>
      <c r="BK126" s="115">
        <f>IF((I126="кир"),R126,"0")</f>
        <v>4827.8</v>
      </c>
      <c r="BL126" s="115">
        <f>IF((I126="кир"),S126,"0")</f>
        <v>2751.8</v>
      </c>
      <c r="BM126" s="115" t="str">
        <f>IF((I126="пан"),G126,"0")</f>
        <v>0</v>
      </c>
      <c r="BN126" s="115" t="str">
        <f>IF((I126="пан"),R126,"0")</f>
        <v>0</v>
      </c>
      <c r="BO126" s="115" t="str">
        <f>IF((I126="пан"),S126,"0")</f>
        <v>0</v>
      </c>
      <c r="BP126" s="115" t="str">
        <f>IF((I126="смеш"),G126,"0")</f>
        <v>0</v>
      </c>
      <c r="BQ126" s="115" t="str">
        <f>IF((I126="смеш"),R126,"0")</f>
        <v>0</v>
      </c>
      <c r="BR126" s="115" t="str">
        <f>IF((I126="смеш"),S126,"0")</f>
        <v>0</v>
      </c>
      <c r="BS126" s="115"/>
      <c r="BT126" s="115">
        <v>2</v>
      </c>
      <c r="BU126" s="115">
        <f>BA126</f>
        <v>1666</v>
      </c>
      <c r="BV126" s="115">
        <v>5264</v>
      </c>
      <c r="BW126" s="115"/>
      <c r="BX126" s="115">
        <f>AP126</f>
        <v>4000</v>
      </c>
      <c r="BY126" s="253">
        <v>2231</v>
      </c>
      <c r="BZ126" s="253">
        <v>548.79999999999995</v>
      </c>
      <c r="CA126" s="354">
        <v>548.79999999999995</v>
      </c>
      <c r="CB126" s="354"/>
      <c r="CC126" s="354"/>
      <c r="CD126" s="354">
        <v>1666.3</v>
      </c>
      <c r="CE126" s="354">
        <v>15.9</v>
      </c>
      <c r="CF126" s="354"/>
      <c r="CG126" s="354"/>
      <c r="CH126" s="355"/>
      <c r="CI126" s="356">
        <f t="shared" si="69"/>
        <v>2231</v>
      </c>
      <c r="CJ126" s="356">
        <f t="shared" si="60"/>
        <v>548.79999999999995</v>
      </c>
      <c r="CK126" s="357">
        <v>1666</v>
      </c>
      <c r="CL126" s="358">
        <f t="shared" si="70"/>
        <v>3897</v>
      </c>
      <c r="CM126" s="205">
        <v>4311</v>
      </c>
      <c r="CN126" s="282">
        <f>CM126-K126</f>
        <v>2621</v>
      </c>
      <c r="CO126" s="209" t="str">
        <f>IF(CP126&gt;0,G126,"0")</f>
        <v>0</v>
      </c>
      <c r="CP126" s="235">
        <f>AV126</f>
        <v>0</v>
      </c>
      <c r="CQ126" s="209">
        <f>IF(CR126&gt;0,G126,"0")</f>
        <v>1</v>
      </c>
      <c r="CR126" s="235">
        <f>AW126</f>
        <v>5279</v>
      </c>
      <c r="CS126" s="235">
        <f>CO126+CQ126</f>
        <v>1</v>
      </c>
      <c r="CT126" s="235">
        <f>CP126+CR126</f>
        <v>5279</v>
      </c>
      <c r="CU126" s="156">
        <v>34</v>
      </c>
      <c r="CV126" s="284" t="str">
        <f>IF((X126/R126*100&gt;=50), G126, "0")</f>
        <v>0</v>
      </c>
      <c r="CW126" s="284" t="str">
        <f>IF((X126/R126*100&gt;=50), R126, "0")</f>
        <v>0</v>
      </c>
      <c r="CX126" s="243">
        <f>X126/R126*100</f>
        <v>3.9583247027631629</v>
      </c>
      <c r="CY126" s="216" t="str">
        <f>IF(((X126+AD126)/AI126*100&gt;=50), G126, "0")</f>
        <v>0</v>
      </c>
      <c r="CZ126" s="216" t="str">
        <f>IF(((X126+AD126)/AI126*100&gt;=50), AI126, "0")</f>
        <v>0</v>
      </c>
      <c r="DA126" s="243">
        <f>(X126+AD126)/AI126*100</f>
        <v>16.76584177288624</v>
      </c>
      <c r="DB126" s="306">
        <v>1</v>
      </c>
      <c r="DC126" s="306">
        <v>0</v>
      </c>
      <c r="DD126" s="306">
        <v>0</v>
      </c>
      <c r="DE126" s="306">
        <v>0</v>
      </c>
      <c r="DF126" s="306">
        <v>1</v>
      </c>
      <c r="DG126" s="306">
        <v>0</v>
      </c>
      <c r="DH126" s="306">
        <v>0</v>
      </c>
      <c r="DI126" s="306">
        <v>0</v>
      </c>
      <c r="DJ126" s="306">
        <v>0</v>
      </c>
      <c r="DK126" s="306">
        <v>72</v>
      </c>
      <c r="DL126" s="306">
        <f>DK126-DM126</f>
        <v>70</v>
      </c>
      <c r="DM126" s="306">
        <v>2</v>
      </c>
      <c r="DN126" s="306">
        <v>52</v>
      </c>
      <c r="DO126" s="306">
        <v>22</v>
      </c>
      <c r="DP126" s="306">
        <v>50</v>
      </c>
      <c r="DQ126" s="306">
        <v>22</v>
      </c>
      <c r="DR126" s="306">
        <v>22</v>
      </c>
      <c r="DS126" s="306">
        <v>50</v>
      </c>
      <c r="DT126" s="306">
        <v>22</v>
      </c>
      <c r="DU126" s="306">
        <v>2</v>
      </c>
      <c r="DV126" s="306">
        <v>2</v>
      </c>
      <c r="DW126" s="306">
        <v>1</v>
      </c>
      <c r="DX126" s="306">
        <v>2</v>
      </c>
      <c r="DY126" s="306">
        <v>2</v>
      </c>
      <c r="DZ126" s="306">
        <v>1</v>
      </c>
      <c r="EA126" s="306">
        <v>2</v>
      </c>
      <c r="EB126" s="306">
        <v>72</v>
      </c>
      <c r="EC126" s="306">
        <v>72</v>
      </c>
      <c r="ED126" s="342"/>
      <c r="EE126" s="342"/>
    </row>
    <row r="127" spans="1:138" x14ac:dyDescent="0.2">
      <c r="A127" s="27" t="s">
        <v>197</v>
      </c>
      <c r="B127" s="169">
        <v>129</v>
      </c>
      <c r="C127" s="12" t="s">
        <v>270</v>
      </c>
      <c r="D127" s="200">
        <v>1965</v>
      </c>
      <c r="E127" s="11"/>
      <c r="F127" s="169" t="s">
        <v>20</v>
      </c>
      <c r="G127" s="35">
        <v>1</v>
      </c>
      <c r="H127" s="201">
        <v>5</v>
      </c>
      <c r="I127" s="201" t="s">
        <v>22</v>
      </c>
      <c r="J127" s="115">
        <v>9051</v>
      </c>
      <c r="K127" s="115">
        <v>671</v>
      </c>
      <c r="L127" s="157">
        <v>785</v>
      </c>
      <c r="M127" s="115"/>
      <c r="N127" s="115">
        <v>60</v>
      </c>
      <c r="O127" s="115">
        <v>115</v>
      </c>
      <c r="P127" s="115">
        <v>60</v>
      </c>
      <c r="Q127" s="115">
        <v>85</v>
      </c>
      <c r="R127" s="228">
        <v>2582.09</v>
      </c>
      <c r="S127" s="230">
        <v>1777.1</v>
      </c>
      <c r="T127" s="115">
        <f>N127-W127-Z127</f>
        <v>54</v>
      </c>
      <c r="U127" s="203">
        <f>R127-X127-AA127</f>
        <v>2335.1600000000003</v>
      </c>
      <c r="V127" s="180">
        <f>S127-Y127-AB127</f>
        <v>1624</v>
      </c>
      <c r="W127" s="115">
        <v>6</v>
      </c>
      <c r="X127" s="207">
        <v>246.93</v>
      </c>
      <c r="Y127" s="207">
        <v>153.1</v>
      </c>
      <c r="Z127" s="204"/>
      <c r="AA127" s="207"/>
      <c r="AB127" s="207"/>
      <c r="AC127" s="207">
        <f>AD127+AG127+AH127</f>
        <v>0</v>
      </c>
      <c r="AD127" s="248">
        <f>AE127+AF127</f>
        <v>0</v>
      </c>
      <c r="AE127" s="275"/>
      <c r="AF127" s="275"/>
      <c r="AG127" s="207"/>
      <c r="AH127" s="207"/>
      <c r="AI127" s="207">
        <f>R127+AC127</f>
        <v>2582.09</v>
      </c>
      <c r="AJ127" s="170"/>
      <c r="AK127" s="170"/>
      <c r="AL127" s="170">
        <v>3</v>
      </c>
      <c r="AM127" s="170"/>
      <c r="AN127" s="170">
        <v>1</v>
      </c>
      <c r="AO127" s="170">
        <v>1</v>
      </c>
      <c r="AP127" s="170">
        <v>1824</v>
      </c>
      <c r="AQ127" s="170"/>
      <c r="AR127" s="170">
        <v>488</v>
      </c>
      <c r="AS127" s="170">
        <v>230</v>
      </c>
      <c r="AT127" s="170">
        <v>54</v>
      </c>
      <c r="AU127" s="170">
        <f>AV127+AW127</f>
        <v>2655</v>
      </c>
      <c r="AV127" s="170"/>
      <c r="AW127" s="170">
        <v>2655</v>
      </c>
      <c r="AX127" s="170">
        <v>1452</v>
      </c>
      <c r="AY127" s="170">
        <v>101</v>
      </c>
      <c r="AZ127" s="170">
        <v>653</v>
      </c>
      <c r="BA127" s="170">
        <v>653</v>
      </c>
      <c r="BB127" s="170">
        <v>12</v>
      </c>
      <c r="BC127" s="170">
        <v>6</v>
      </c>
      <c r="BD127" s="170">
        <v>175</v>
      </c>
      <c r="BE127" s="170">
        <v>60</v>
      </c>
      <c r="BF127" s="170">
        <v>1</v>
      </c>
      <c r="BG127" s="170">
        <v>300</v>
      </c>
      <c r="BH127" s="170">
        <v>60</v>
      </c>
      <c r="BI127" s="170"/>
      <c r="BJ127" s="115" t="str">
        <f>IF((I127="кир"),G127,"0")</f>
        <v>0</v>
      </c>
      <c r="BK127" s="115" t="str">
        <f>IF((I127="кир"),R127,"0")</f>
        <v>0</v>
      </c>
      <c r="BL127" s="115" t="str">
        <f>IF((I127="кир"),S127,"0")</f>
        <v>0</v>
      </c>
      <c r="BM127" s="115">
        <f>IF((I127="пан"),G127,"0")</f>
        <v>1</v>
      </c>
      <c r="BN127" s="115">
        <f>IF((I127="пан"),R127,"0")</f>
        <v>2582.09</v>
      </c>
      <c r="BO127" s="115">
        <f>IF((I127="пан"),S127,"0")</f>
        <v>1777.1</v>
      </c>
      <c r="BP127" s="115" t="str">
        <f>IF((I127="смеш"),G127,"0")</f>
        <v>0</v>
      </c>
      <c r="BQ127" s="115" t="str">
        <f>IF((I127="смеш"),R127,"0")</f>
        <v>0</v>
      </c>
      <c r="BR127" s="115" t="str">
        <f>IF((I127="смеш"),S127,"0")</f>
        <v>0</v>
      </c>
      <c r="BS127" s="115"/>
      <c r="BT127" s="115">
        <v>2</v>
      </c>
      <c r="BU127" s="115">
        <f>BA127</f>
        <v>653</v>
      </c>
      <c r="BV127" s="115">
        <v>2295</v>
      </c>
      <c r="BW127" s="115"/>
      <c r="BX127" s="115"/>
      <c r="BY127" s="253">
        <v>857.05</v>
      </c>
      <c r="BZ127" s="253">
        <v>204.05</v>
      </c>
      <c r="CA127" s="354">
        <v>204.05</v>
      </c>
      <c r="CB127" s="354"/>
      <c r="CC127" s="354"/>
      <c r="CD127" s="354">
        <v>653</v>
      </c>
      <c r="CE127" s="354"/>
      <c r="CF127" s="354"/>
      <c r="CG127" s="354"/>
      <c r="CH127" s="355"/>
      <c r="CI127" s="356">
        <f t="shared" si="69"/>
        <v>857.05</v>
      </c>
      <c r="CJ127" s="356">
        <f t="shared" si="60"/>
        <v>204.05</v>
      </c>
      <c r="CK127" s="357">
        <v>653</v>
      </c>
      <c r="CL127" s="358">
        <f t="shared" si="70"/>
        <v>1510.05</v>
      </c>
      <c r="CM127" s="205">
        <v>1813</v>
      </c>
      <c r="CN127" s="282">
        <f>CM127-K127</f>
        <v>1142</v>
      </c>
      <c r="CO127" s="209" t="str">
        <f>IF(CP127&gt;0,G127,"0")</f>
        <v>0</v>
      </c>
      <c r="CP127" s="235">
        <f>AV127</f>
        <v>0</v>
      </c>
      <c r="CQ127" s="209">
        <f>IF(CR127&gt;0,G127,"0")</f>
        <v>1</v>
      </c>
      <c r="CR127" s="235">
        <f>AW127</f>
        <v>2655</v>
      </c>
      <c r="CS127" s="235">
        <f>CO127+CQ127</f>
        <v>1</v>
      </c>
      <c r="CT127" s="235">
        <f>CP127+CR127</f>
        <v>2655</v>
      </c>
      <c r="CU127" s="156">
        <v>52</v>
      </c>
      <c r="CV127" s="284" t="str">
        <f>IF((X127/R127*100&gt;=50), G127, "0")</f>
        <v>0</v>
      </c>
      <c r="CW127" s="284" t="str">
        <f>IF((X127/R127*100&gt;=50), R127, "0")</f>
        <v>0</v>
      </c>
      <c r="CX127" s="243">
        <f>X127/R127*100</f>
        <v>9.5631833127427779</v>
      </c>
      <c r="CY127" s="216" t="str">
        <f>IF(((X127+AD127)/AI127*100&gt;=50), G127, "0")</f>
        <v>0</v>
      </c>
      <c r="CZ127" s="216" t="str">
        <f>IF(((X127+AD127)/AI127*100&gt;=50), AI127, "0")</f>
        <v>0</v>
      </c>
      <c r="DA127" s="243">
        <f>(X127+AD127)/AI127*100</f>
        <v>9.5631833127427779</v>
      </c>
      <c r="DB127" s="306">
        <v>1</v>
      </c>
      <c r="DC127" s="306">
        <v>0</v>
      </c>
      <c r="DD127" s="306">
        <v>0</v>
      </c>
      <c r="DE127" s="306">
        <v>0</v>
      </c>
      <c r="DF127" s="306">
        <v>1</v>
      </c>
      <c r="DG127" s="306">
        <v>0</v>
      </c>
      <c r="DH127" s="306">
        <v>0</v>
      </c>
      <c r="DI127" s="306">
        <v>0</v>
      </c>
      <c r="DJ127" s="306">
        <v>0</v>
      </c>
      <c r="DK127" s="306">
        <v>60</v>
      </c>
      <c r="DL127" s="306">
        <f>DK127-DM127</f>
        <v>53</v>
      </c>
      <c r="DM127" s="306">
        <v>7</v>
      </c>
      <c r="DN127" s="306">
        <v>39</v>
      </c>
      <c r="DO127" s="306">
        <v>24</v>
      </c>
      <c r="DP127" s="306">
        <v>36</v>
      </c>
      <c r="DQ127" s="306">
        <v>24</v>
      </c>
      <c r="DR127" s="306">
        <v>24</v>
      </c>
      <c r="DS127" s="306">
        <v>36</v>
      </c>
      <c r="DT127" s="306">
        <v>24</v>
      </c>
      <c r="DU127" s="306">
        <v>4</v>
      </c>
      <c r="DV127" s="306">
        <v>2</v>
      </c>
      <c r="DW127" s="306">
        <v>5</v>
      </c>
      <c r="DX127" s="306">
        <v>2</v>
      </c>
      <c r="DY127" s="306">
        <v>2</v>
      </c>
      <c r="DZ127" s="306">
        <v>5</v>
      </c>
      <c r="EA127" s="306">
        <v>2</v>
      </c>
      <c r="EB127" s="306">
        <v>60</v>
      </c>
      <c r="EC127" s="306">
        <v>60</v>
      </c>
      <c r="ED127" s="342"/>
      <c r="EE127" s="342"/>
    </row>
    <row r="128" spans="1:138" s="210" customFormat="1" collapsed="1" x14ac:dyDescent="0.2">
      <c r="A128" s="7" t="s">
        <v>203</v>
      </c>
      <c r="B128" s="169">
        <v>120</v>
      </c>
      <c r="C128" s="12" t="s">
        <v>271</v>
      </c>
      <c r="D128" s="200">
        <v>1986</v>
      </c>
      <c r="E128" s="11"/>
      <c r="F128" s="169" t="s">
        <v>21</v>
      </c>
      <c r="G128" s="35">
        <v>1</v>
      </c>
      <c r="H128" s="201">
        <v>9</v>
      </c>
      <c r="I128" s="201" t="s">
        <v>19</v>
      </c>
      <c r="J128" s="115">
        <v>52840</v>
      </c>
      <c r="K128" s="115">
        <v>4336</v>
      </c>
      <c r="L128" s="157"/>
      <c r="M128" s="115">
        <v>1463</v>
      </c>
      <c r="N128" s="115">
        <v>128</v>
      </c>
      <c r="O128" s="115">
        <v>288</v>
      </c>
      <c r="P128" s="115">
        <v>128</v>
      </c>
      <c r="Q128" s="115">
        <v>250</v>
      </c>
      <c r="R128" s="228">
        <v>6779.41</v>
      </c>
      <c r="S128" s="230">
        <v>3970.4</v>
      </c>
      <c r="T128" s="115">
        <f t="shared" si="46"/>
        <v>121</v>
      </c>
      <c r="U128" s="203">
        <f t="shared" si="78"/>
        <v>6412.21</v>
      </c>
      <c r="V128" s="180">
        <f t="shared" si="78"/>
        <v>3742.7400000000002</v>
      </c>
      <c r="W128" s="115">
        <v>7</v>
      </c>
      <c r="X128" s="207">
        <v>367.2</v>
      </c>
      <c r="Y128" s="207">
        <v>227.66</v>
      </c>
      <c r="Z128" s="204"/>
      <c r="AA128" s="207"/>
      <c r="AB128" s="207"/>
      <c r="AC128" s="207">
        <f t="shared" si="48"/>
        <v>2935.7</v>
      </c>
      <c r="AD128" s="248">
        <f t="shared" si="49"/>
        <v>0</v>
      </c>
      <c r="AE128" s="275"/>
      <c r="AF128" s="248"/>
      <c r="AG128" s="207">
        <f>2216-32.6</f>
        <v>2183.4</v>
      </c>
      <c r="AH128" s="207">
        <v>752.3</v>
      </c>
      <c r="AI128" s="207">
        <f t="shared" si="50"/>
        <v>9715.11</v>
      </c>
      <c r="AJ128" s="170"/>
      <c r="AK128" s="170">
        <v>4</v>
      </c>
      <c r="AL128" s="170">
        <v>4</v>
      </c>
      <c r="AM128" s="170">
        <v>4</v>
      </c>
      <c r="AN128" s="170"/>
      <c r="AO128" s="170">
        <v>2</v>
      </c>
      <c r="AP128" s="170">
        <v>7570</v>
      </c>
      <c r="AQ128" s="170"/>
      <c r="AR128" s="170">
        <v>877</v>
      </c>
      <c r="AS128" s="170">
        <v>240</v>
      </c>
      <c r="AT128" s="170">
        <v>140</v>
      </c>
      <c r="AU128" s="170">
        <f t="shared" si="107"/>
        <v>10099</v>
      </c>
      <c r="AV128" s="170">
        <v>10099</v>
      </c>
      <c r="AW128" s="170"/>
      <c r="AX128" s="170"/>
      <c r="AY128" s="170">
        <v>525</v>
      </c>
      <c r="AZ128" s="170">
        <v>3786</v>
      </c>
      <c r="BA128" s="170">
        <v>1045</v>
      </c>
      <c r="BB128" s="170"/>
      <c r="BC128" s="170">
        <v>12</v>
      </c>
      <c r="BD128" s="170">
        <v>492</v>
      </c>
      <c r="BE128" s="170">
        <v>128</v>
      </c>
      <c r="BF128" s="170"/>
      <c r="BG128" s="170">
        <v>22800</v>
      </c>
      <c r="BH128" s="170">
        <v>6540</v>
      </c>
      <c r="BI128" s="170">
        <v>180</v>
      </c>
      <c r="BJ128" s="115">
        <f t="shared" si="51"/>
        <v>1</v>
      </c>
      <c r="BK128" s="115">
        <f t="shared" si="52"/>
        <v>6779.41</v>
      </c>
      <c r="BL128" s="115">
        <f t="shared" si="53"/>
        <v>3970.4</v>
      </c>
      <c r="BM128" s="115" t="str">
        <f t="shared" si="54"/>
        <v>0</v>
      </c>
      <c r="BN128" s="115" t="str">
        <f t="shared" si="55"/>
        <v>0</v>
      </c>
      <c r="BO128" s="115" t="str">
        <f t="shared" si="56"/>
        <v>0</v>
      </c>
      <c r="BP128" s="115" t="str">
        <f t="shared" si="57"/>
        <v>0</v>
      </c>
      <c r="BQ128" s="115" t="str">
        <f t="shared" si="58"/>
        <v>0</v>
      </c>
      <c r="BR128" s="115" t="str">
        <f t="shared" si="59"/>
        <v>0</v>
      </c>
      <c r="BS128" s="115"/>
      <c r="BT128" s="115"/>
      <c r="BU128" s="115">
        <f t="shared" ref="BU128:BU133" si="113">BA128</f>
        <v>1045</v>
      </c>
      <c r="BV128" s="115">
        <v>6122</v>
      </c>
      <c r="BW128" s="115"/>
      <c r="BX128" s="115">
        <f>AP128</f>
        <v>7570</v>
      </c>
      <c r="BY128" s="253">
        <v>5244.05</v>
      </c>
      <c r="BZ128" s="253">
        <v>1376.4</v>
      </c>
      <c r="CA128" s="354">
        <f>688.1-2.8*2+681.6-2.8*2</f>
        <v>1358.5</v>
      </c>
      <c r="CB128" s="354">
        <f>2*2.8+2*2.8</f>
        <v>11.2</v>
      </c>
      <c r="CC128" s="354">
        <f>9.1+8.8</f>
        <v>17.899999999999999</v>
      </c>
      <c r="CD128" s="354">
        <f>1827.35+1959.1</f>
        <v>3786.45</v>
      </c>
      <c r="CE128" s="354">
        <f>8.8+9.1</f>
        <v>17.899999999999999</v>
      </c>
      <c r="CF128" s="354"/>
      <c r="CG128" s="354">
        <f>26.2+13+12.9</f>
        <v>52.1</v>
      </c>
      <c r="CH128" s="355"/>
      <c r="CI128" s="356">
        <f t="shared" si="69"/>
        <v>5244.0499999999993</v>
      </c>
      <c r="CJ128" s="356">
        <f t="shared" si="60"/>
        <v>1376.4</v>
      </c>
      <c r="CK128" s="357">
        <v>3786</v>
      </c>
      <c r="CL128" s="358">
        <f t="shared" si="70"/>
        <v>9030.0499999999993</v>
      </c>
      <c r="CM128" s="205">
        <v>6706</v>
      </c>
      <c r="CN128" s="282">
        <f t="shared" si="61"/>
        <v>2370</v>
      </c>
      <c r="CO128" s="209">
        <f t="shared" si="108"/>
        <v>1</v>
      </c>
      <c r="CP128" s="235">
        <f t="shared" si="109"/>
        <v>10099</v>
      </c>
      <c r="CQ128" s="209" t="str">
        <f t="shared" ref="CQ128:CQ174" si="114">IF(CR128&gt;0,G128,"0")</f>
        <v>0</v>
      </c>
      <c r="CR128" s="235">
        <f t="shared" si="110"/>
        <v>0</v>
      </c>
      <c r="CS128" s="235">
        <f t="shared" si="111"/>
        <v>1</v>
      </c>
      <c r="CT128" s="235">
        <f t="shared" si="111"/>
        <v>10099</v>
      </c>
      <c r="CU128" s="156">
        <v>72</v>
      </c>
      <c r="CV128" s="284" t="str">
        <f t="shared" si="62"/>
        <v>0</v>
      </c>
      <c r="CW128" s="284" t="str">
        <f t="shared" si="63"/>
        <v>0</v>
      </c>
      <c r="CX128" s="243">
        <f t="shared" si="64"/>
        <v>5.4164005422300754</v>
      </c>
      <c r="CY128" s="216" t="str">
        <f t="shared" si="65"/>
        <v>0</v>
      </c>
      <c r="CZ128" s="216" t="str">
        <f t="shared" si="66"/>
        <v>0</v>
      </c>
      <c r="DA128" s="243">
        <f t="shared" si="67"/>
        <v>3.7796792830961254</v>
      </c>
      <c r="DB128" s="306">
        <v>1</v>
      </c>
      <c r="DC128" s="306">
        <v>0</v>
      </c>
      <c r="DD128" s="306">
        <v>0</v>
      </c>
      <c r="DE128" s="306">
        <v>0</v>
      </c>
      <c r="DF128" s="306">
        <v>4</v>
      </c>
      <c r="DG128" s="306">
        <v>0</v>
      </c>
      <c r="DH128" s="306">
        <v>0</v>
      </c>
      <c r="DI128" s="306">
        <v>0</v>
      </c>
      <c r="DJ128" s="306">
        <v>0</v>
      </c>
      <c r="DK128" s="306">
        <v>128</v>
      </c>
      <c r="DL128" s="306">
        <f t="shared" si="112"/>
        <v>122</v>
      </c>
      <c r="DM128" s="306">
        <v>6</v>
      </c>
      <c r="DN128" s="306">
        <v>121</v>
      </c>
      <c r="DO128" s="306">
        <v>61</v>
      </c>
      <c r="DP128" s="306">
        <v>93</v>
      </c>
      <c r="DQ128" s="306">
        <v>100</v>
      </c>
      <c r="DR128" s="306">
        <v>61</v>
      </c>
      <c r="DS128" s="306">
        <v>93</v>
      </c>
      <c r="DT128" s="306">
        <v>100</v>
      </c>
      <c r="DU128" s="306">
        <v>6</v>
      </c>
      <c r="DV128" s="306">
        <v>1</v>
      </c>
      <c r="DW128" s="306">
        <v>5</v>
      </c>
      <c r="DX128" s="306">
        <v>1</v>
      </c>
      <c r="DY128" s="306">
        <v>1</v>
      </c>
      <c r="DZ128" s="306">
        <v>5</v>
      </c>
      <c r="EA128" s="306">
        <v>1</v>
      </c>
      <c r="EB128" s="306">
        <v>128</v>
      </c>
      <c r="EC128" s="306">
        <v>128</v>
      </c>
      <c r="ED128" s="342"/>
      <c r="EE128" s="342"/>
      <c r="EF128" s="3"/>
      <c r="EG128" s="3"/>
      <c r="EH128" s="3"/>
    </row>
    <row r="129" spans="1:138" s="210" customFormat="1" x14ac:dyDescent="0.2">
      <c r="A129" s="12" t="s">
        <v>197</v>
      </c>
      <c r="B129" s="169">
        <v>121</v>
      </c>
      <c r="C129" s="12" t="s">
        <v>272</v>
      </c>
      <c r="D129" s="200">
        <v>1973</v>
      </c>
      <c r="E129" s="11"/>
      <c r="F129" s="169" t="s">
        <v>20</v>
      </c>
      <c r="G129" s="35">
        <v>1</v>
      </c>
      <c r="H129" s="201">
        <v>5</v>
      </c>
      <c r="I129" s="201" t="s">
        <v>22</v>
      </c>
      <c r="J129" s="115">
        <v>9032</v>
      </c>
      <c r="K129" s="115">
        <v>679</v>
      </c>
      <c r="L129" s="157">
        <v>789</v>
      </c>
      <c r="M129" s="115"/>
      <c r="N129" s="115">
        <v>60</v>
      </c>
      <c r="O129" s="115">
        <v>115</v>
      </c>
      <c r="P129" s="115">
        <v>60</v>
      </c>
      <c r="Q129" s="115">
        <v>143</v>
      </c>
      <c r="R129" s="228">
        <f>2575.6+0.04</f>
        <v>2575.64</v>
      </c>
      <c r="S129" s="230">
        <v>1761.07</v>
      </c>
      <c r="T129" s="115">
        <f t="shared" si="46"/>
        <v>56</v>
      </c>
      <c r="U129" s="203">
        <f t="shared" si="78"/>
        <v>2413.02</v>
      </c>
      <c r="V129" s="180">
        <f t="shared" si="78"/>
        <v>1660.27</v>
      </c>
      <c r="W129" s="115">
        <v>4</v>
      </c>
      <c r="X129" s="207">
        <v>162.62</v>
      </c>
      <c r="Y129" s="207">
        <v>100.8</v>
      </c>
      <c r="Z129" s="204"/>
      <c r="AA129" s="207"/>
      <c r="AB129" s="207"/>
      <c r="AC129" s="207">
        <f t="shared" si="48"/>
        <v>0</v>
      </c>
      <c r="AD129" s="248">
        <f t="shared" si="49"/>
        <v>0</v>
      </c>
      <c r="AE129" s="275"/>
      <c r="AF129" s="248"/>
      <c r="AG129" s="207"/>
      <c r="AH129" s="207"/>
      <c r="AI129" s="207">
        <f t="shared" si="50"/>
        <v>2575.64</v>
      </c>
      <c r="AJ129" s="170"/>
      <c r="AK129" s="170"/>
      <c r="AL129" s="170">
        <v>3</v>
      </c>
      <c r="AM129" s="170"/>
      <c r="AN129" s="170"/>
      <c r="AO129" s="170">
        <v>2</v>
      </c>
      <c r="AP129" s="170">
        <v>1666</v>
      </c>
      <c r="AQ129" s="170"/>
      <c r="AR129" s="170">
        <v>374</v>
      </c>
      <c r="AS129" s="170">
        <v>199</v>
      </c>
      <c r="AT129" s="170">
        <v>54</v>
      </c>
      <c r="AU129" s="170">
        <f t="shared" si="107"/>
        <v>2655</v>
      </c>
      <c r="AV129" s="170"/>
      <c r="AW129" s="170">
        <v>2655</v>
      </c>
      <c r="AX129" s="170">
        <v>1452</v>
      </c>
      <c r="AY129" s="170">
        <v>100</v>
      </c>
      <c r="AZ129" s="170">
        <v>656</v>
      </c>
      <c r="BA129" s="170">
        <v>656</v>
      </c>
      <c r="BB129" s="170">
        <v>12</v>
      </c>
      <c r="BC129" s="170">
        <v>6</v>
      </c>
      <c r="BD129" s="170">
        <v>175</v>
      </c>
      <c r="BE129" s="170">
        <v>60</v>
      </c>
      <c r="BF129" s="170"/>
      <c r="BG129" s="170">
        <v>300</v>
      </c>
      <c r="BH129" s="170">
        <v>60</v>
      </c>
      <c r="BI129" s="170"/>
      <c r="BJ129" s="115" t="str">
        <f t="shared" si="51"/>
        <v>0</v>
      </c>
      <c r="BK129" s="115" t="str">
        <f t="shared" si="52"/>
        <v>0</v>
      </c>
      <c r="BL129" s="115" t="str">
        <f t="shared" si="53"/>
        <v>0</v>
      </c>
      <c r="BM129" s="115">
        <f t="shared" si="54"/>
        <v>1</v>
      </c>
      <c r="BN129" s="115">
        <f t="shared" si="55"/>
        <v>2575.64</v>
      </c>
      <c r="BO129" s="115">
        <f t="shared" si="56"/>
        <v>1761.07</v>
      </c>
      <c r="BP129" s="115" t="str">
        <f t="shared" si="57"/>
        <v>0</v>
      </c>
      <c r="BQ129" s="115" t="str">
        <f t="shared" si="58"/>
        <v>0</v>
      </c>
      <c r="BR129" s="115" t="str">
        <f t="shared" si="59"/>
        <v>0</v>
      </c>
      <c r="BS129" s="115"/>
      <c r="BT129" s="115"/>
      <c r="BU129" s="115">
        <f t="shared" si="113"/>
        <v>656</v>
      </c>
      <c r="BV129" s="115">
        <v>2013</v>
      </c>
      <c r="BW129" s="115"/>
      <c r="BX129" s="115"/>
      <c r="BY129" s="253">
        <v>862.24</v>
      </c>
      <c r="BZ129" s="253">
        <v>205.84</v>
      </c>
      <c r="CA129" s="354">
        <v>205.84</v>
      </c>
      <c r="CB129" s="354"/>
      <c r="CC129" s="354"/>
      <c r="CD129" s="354">
        <v>656.4</v>
      </c>
      <c r="CE129" s="354"/>
      <c r="CF129" s="354"/>
      <c r="CG129" s="354"/>
      <c r="CH129" s="355"/>
      <c r="CI129" s="356">
        <f t="shared" si="69"/>
        <v>862.24</v>
      </c>
      <c r="CJ129" s="356">
        <f t="shared" si="60"/>
        <v>205.84</v>
      </c>
      <c r="CK129" s="357">
        <v>656</v>
      </c>
      <c r="CL129" s="358">
        <f t="shared" si="70"/>
        <v>1518.24</v>
      </c>
      <c r="CM129" s="205">
        <v>2380</v>
      </c>
      <c r="CN129" s="282">
        <f t="shared" si="61"/>
        <v>1701</v>
      </c>
      <c r="CO129" s="209" t="str">
        <f t="shared" si="108"/>
        <v>0</v>
      </c>
      <c r="CP129" s="235">
        <f t="shared" si="109"/>
        <v>0</v>
      </c>
      <c r="CQ129" s="209">
        <f t="shared" si="114"/>
        <v>1</v>
      </c>
      <c r="CR129" s="235">
        <f t="shared" si="110"/>
        <v>2655</v>
      </c>
      <c r="CS129" s="235">
        <f t="shared" si="111"/>
        <v>1</v>
      </c>
      <c r="CT129" s="235">
        <f t="shared" si="111"/>
        <v>2655</v>
      </c>
      <c r="CU129" s="156">
        <v>55</v>
      </c>
      <c r="CV129" s="284" t="str">
        <f t="shared" si="62"/>
        <v>0</v>
      </c>
      <c r="CW129" s="284" t="str">
        <f t="shared" si="63"/>
        <v>0</v>
      </c>
      <c r="CX129" s="243">
        <f t="shared" si="64"/>
        <v>6.3137705579972367</v>
      </c>
      <c r="CY129" s="216" t="str">
        <f t="shared" si="65"/>
        <v>0</v>
      </c>
      <c r="CZ129" s="216" t="str">
        <f t="shared" si="66"/>
        <v>0</v>
      </c>
      <c r="DA129" s="243">
        <f t="shared" si="67"/>
        <v>6.3137705579972367</v>
      </c>
      <c r="DB129" s="306">
        <v>1</v>
      </c>
      <c r="DC129" s="306">
        <v>0</v>
      </c>
      <c r="DD129" s="306">
        <v>0</v>
      </c>
      <c r="DE129" s="306">
        <v>0</v>
      </c>
      <c r="DF129" s="306">
        <v>1</v>
      </c>
      <c r="DG129" s="306">
        <v>0</v>
      </c>
      <c r="DH129" s="306">
        <v>0</v>
      </c>
      <c r="DI129" s="306">
        <v>0</v>
      </c>
      <c r="DJ129" s="306">
        <v>0</v>
      </c>
      <c r="DK129" s="306">
        <v>60</v>
      </c>
      <c r="DL129" s="306">
        <f t="shared" si="112"/>
        <v>56</v>
      </c>
      <c r="DM129" s="306">
        <v>4</v>
      </c>
      <c r="DN129" s="306">
        <v>33</v>
      </c>
      <c r="DO129" s="306">
        <v>25</v>
      </c>
      <c r="DP129" s="306">
        <v>35</v>
      </c>
      <c r="DQ129" s="306">
        <v>25</v>
      </c>
      <c r="DR129" s="306">
        <v>25</v>
      </c>
      <c r="DS129" s="306">
        <v>35</v>
      </c>
      <c r="DT129" s="306">
        <v>25</v>
      </c>
      <c r="DU129" s="306">
        <v>0</v>
      </c>
      <c r="DV129" s="306">
        <v>2</v>
      </c>
      <c r="DW129" s="306">
        <v>4</v>
      </c>
      <c r="DX129" s="306">
        <v>2</v>
      </c>
      <c r="DY129" s="306">
        <v>2</v>
      </c>
      <c r="DZ129" s="306">
        <v>4</v>
      </c>
      <c r="EA129" s="306">
        <v>2</v>
      </c>
      <c r="EB129" s="306">
        <v>60</v>
      </c>
      <c r="EC129" s="306">
        <v>60</v>
      </c>
      <c r="ED129" s="342"/>
      <c r="EE129" s="342"/>
      <c r="EF129" s="3"/>
      <c r="EG129" s="3"/>
      <c r="EH129" s="3"/>
    </row>
    <row r="130" spans="1:138" s="210" customFormat="1" x14ac:dyDescent="0.2">
      <c r="A130" s="12" t="s">
        <v>197</v>
      </c>
      <c r="B130" s="169">
        <v>122</v>
      </c>
      <c r="C130" s="12" t="s">
        <v>273</v>
      </c>
      <c r="D130" s="200">
        <v>1973</v>
      </c>
      <c r="E130" s="11"/>
      <c r="F130" s="169" t="s">
        <v>20</v>
      </c>
      <c r="G130" s="35">
        <v>1</v>
      </c>
      <c r="H130" s="201">
        <v>5</v>
      </c>
      <c r="I130" s="201" t="s">
        <v>22</v>
      </c>
      <c r="J130" s="115">
        <v>9145</v>
      </c>
      <c r="K130" s="115">
        <v>653</v>
      </c>
      <c r="L130" s="157">
        <v>785</v>
      </c>
      <c r="M130" s="115"/>
      <c r="N130" s="115">
        <v>60</v>
      </c>
      <c r="O130" s="115">
        <v>115</v>
      </c>
      <c r="P130" s="115">
        <v>60</v>
      </c>
      <c r="Q130" s="115">
        <v>101</v>
      </c>
      <c r="R130" s="228">
        <f>2579.78-2</f>
        <v>2577.7800000000002</v>
      </c>
      <c r="S130" s="230">
        <v>1766.7</v>
      </c>
      <c r="T130" s="115">
        <f t="shared" si="46"/>
        <v>54</v>
      </c>
      <c r="U130" s="203">
        <f t="shared" si="78"/>
        <v>2386.7600000000002</v>
      </c>
      <c r="V130" s="180">
        <f t="shared" si="78"/>
        <v>1648.27</v>
      </c>
      <c r="W130" s="115">
        <v>6</v>
      </c>
      <c r="X130" s="207">
        <v>191.02</v>
      </c>
      <c r="Y130" s="207">
        <v>118.43</v>
      </c>
      <c r="Z130" s="204"/>
      <c r="AA130" s="207"/>
      <c r="AB130" s="207"/>
      <c r="AC130" s="207">
        <f t="shared" si="48"/>
        <v>0</v>
      </c>
      <c r="AD130" s="248">
        <f t="shared" si="49"/>
        <v>0</v>
      </c>
      <c r="AE130" s="275"/>
      <c r="AF130" s="248"/>
      <c r="AG130" s="207"/>
      <c r="AH130" s="207"/>
      <c r="AI130" s="207">
        <f t="shared" si="50"/>
        <v>2577.7800000000002</v>
      </c>
      <c r="AJ130" s="170"/>
      <c r="AK130" s="170"/>
      <c r="AL130" s="170">
        <v>3</v>
      </c>
      <c r="AM130" s="170"/>
      <c r="AN130" s="170"/>
      <c r="AO130" s="170">
        <v>1</v>
      </c>
      <c r="AP130" s="170">
        <v>1565</v>
      </c>
      <c r="AQ130" s="170"/>
      <c r="AR130" s="170">
        <v>1552</v>
      </c>
      <c r="AS130" s="170">
        <v>171</v>
      </c>
      <c r="AT130" s="170">
        <v>54</v>
      </c>
      <c r="AU130" s="170">
        <f t="shared" si="107"/>
        <v>2655</v>
      </c>
      <c r="AV130" s="170"/>
      <c r="AW130" s="170">
        <v>2655</v>
      </c>
      <c r="AX130" s="170">
        <v>1452</v>
      </c>
      <c r="AY130" s="170">
        <v>100</v>
      </c>
      <c r="AZ130" s="170">
        <v>653</v>
      </c>
      <c r="BA130" s="170">
        <v>653</v>
      </c>
      <c r="BB130" s="170">
        <v>12</v>
      </c>
      <c r="BC130" s="170">
        <v>6</v>
      </c>
      <c r="BD130" s="170">
        <v>175</v>
      </c>
      <c r="BE130" s="170">
        <v>60</v>
      </c>
      <c r="BF130" s="170"/>
      <c r="BG130" s="170">
        <v>300</v>
      </c>
      <c r="BH130" s="170">
        <v>60</v>
      </c>
      <c r="BI130" s="170"/>
      <c r="BJ130" s="115" t="str">
        <f t="shared" si="51"/>
        <v>0</v>
      </c>
      <c r="BK130" s="115" t="str">
        <f t="shared" si="52"/>
        <v>0</v>
      </c>
      <c r="BL130" s="115" t="str">
        <f t="shared" si="53"/>
        <v>0</v>
      </c>
      <c r="BM130" s="115">
        <f t="shared" si="54"/>
        <v>1</v>
      </c>
      <c r="BN130" s="115">
        <f t="shared" si="55"/>
        <v>2577.7800000000002</v>
      </c>
      <c r="BO130" s="115">
        <f t="shared" si="56"/>
        <v>1766.7</v>
      </c>
      <c r="BP130" s="115" t="str">
        <f t="shared" si="57"/>
        <v>0</v>
      </c>
      <c r="BQ130" s="115" t="str">
        <f t="shared" si="58"/>
        <v>0</v>
      </c>
      <c r="BR130" s="115" t="str">
        <f t="shared" si="59"/>
        <v>0</v>
      </c>
      <c r="BS130" s="115"/>
      <c r="BT130" s="115">
        <v>2</v>
      </c>
      <c r="BU130" s="115">
        <f t="shared" si="113"/>
        <v>653</v>
      </c>
      <c r="BV130" s="115">
        <v>2013</v>
      </c>
      <c r="BW130" s="115"/>
      <c r="BX130" s="115"/>
      <c r="BY130" s="253">
        <v>860.90000000000009</v>
      </c>
      <c r="BZ130" s="253">
        <v>207.7</v>
      </c>
      <c r="CA130" s="354">
        <v>207.7</v>
      </c>
      <c r="CB130" s="354"/>
      <c r="CC130" s="354"/>
      <c r="CD130" s="354">
        <v>653.20000000000005</v>
      </c>
      <c r="CE130" s="354"/>
      <c r="CF130" s="354"/>
      <c r="CG130" s="354"/>
      <c r="CH130" s="355"/>
      <c r="CI130" s="356">
        <f t="shared" si="69"/>
        <v>860.90000000000009</v>
      </c>
      <c r="CJ130" s="356">
        <f t="shared" si="60"/>
        <v>207.7</v>
      </c>
      <c r="CK130" s="357">
        <v>653</v>
      </c>
      <c r="CL130" s="358">
        <f t="shared" si="70"/>
        <v>1513.9</v>
      </c>
      <c r="CM130" s="205">
        <v>1815</v>
      </c>
      <c r="CN130" s="282">
        <f t="shared" si="61"/>
        <v>1162</v>
      </c>
      <c r="CO130" s="209" t="str">
        <f t="shared" si="108"/>
        <v>0</v>
      </c>
      <c r="CP130" s="235">
        <f t="shared" si="109"/>
        <v>0</v>
      </c>
      <c r="CQ130" s="209">
        <f t="shared" si="114"/>
        <v>1</v>
      </c>
      <c r="CR130" s="235">
        <f t="shared" si="110"/>
        <v>2655</v>
      </c>
      <c r="CS130" s="235">
        <f t="shared" si="111"/>
        <v>1</v>
      </c>
      <c r="CT130" s="235">
        <f t="shared" si="111"/>
        <v>2655</v>
      </c>
      <c r="CU130" s="156">
        <v>54</v>
      </c>
      <c r="CV130" s="284" t="str">
        <f t="shared" si="62"/>
        <v>0</v>
      </c>
      <c r="CW130" s="284" t="str">
        <f t="shared" si="63"/>
        <v>0</v>
      </c>
      <c r="CX130" s="243">
        <f t="shared" si="64"/>
        <v>7.4102522325411782</v>
      </c>
      <c r="CY130" s="216" t="str">
        <f t="shared" si="65"/>
        <v>0</v>
      </c>
      <c r="CZ130" s="216" t="str">
        <f t="shared" si="66"/>
        <v>0</v>
      </c>
      <c r="DA130" s="243">
        <f t="shared" si="67"/>
        <v>7.4102522325411782</v>
      </c>
      <c r="DB130" s="306">
        <v>1</v>
      </c>
      <c r="DC130" s="306">
        <v>0</v>
      </c>
      <c r="DD130" s="306">
        <v>0</v>
      </c>
      <c r="DE130" s="306">
        <v>0</v>
      </c>
      <c r="DF130" s="306">
        <v>1</v>
      </c>
      <c r="DG130" s="306">
        <v>0</v>
      </c>
      <c r="DH130" s="306">
        <v>0</v>
      </c>
      <c r="DI130" s="306">
        <v>0</v>
      </c>
      <c r="DJ130" s="306">
        <v>0</v>
      </c>
      <c r="DK130" s="306">
        <v>60</v>
      </c>
      <c r="DL130" s="306">
        <f t="shared" si="112"/>
        <v>56</v>
      </c>
      <c r="DM130" s="306">
        <v>4</v>
      </c>
      <c r="DN130" s="306">
        <v>33</v>
      </c>
      <c r="DO130" s="306">
        <v>28</v>
      </c>
      <c r="DP130" s="306">
        <v>32</v>
      </c>
      <c r="DQ130" s="306">
        <v>28</v>
      </c>
      <c r="DR130" s="306">
        <v>28</v>
      </c>
      <c r="DS130" s="306">
        <v>32</v>
      </c>
      <c r="DT130" s="306">
        <v>28</v>
      </c>
      <c r="DU130" s="306">
        <v>1</v>
      </c>
      <c r="DV130" s="306">
        <v>0</v>
      </c>
      <c r="DW130" s="306">
        <v>11</v>
      </c>
      <c r="DX130" s="306">
        <v>0</v>
      </c>
      <c r="DY130" s="306">
        <v>0</v>
      </c>
      <c r="DZ130" s="306">
        <v>11</v>
      </c>
      <c r="EA130" s="306">
        <v>0</v>
      </c>
      <c r="EB130" s="306">
        <v>60</v>
      </c>
      <c r="EC130" s="306">
        <v>60</v>
      </c>
      <c r="ED130" s="342"/>
      <c r="EE130" s="342"/>
      <c r="EF130" s="3"/>
      <c r="EG130" s="3"/>
      <c r="EH130" s="3"/>
    </row>
    <row r="131" spans="1:138" x14ac:dyDescent="0.2">
      <c r="A131" s="12" t="s">
        <v>197</v>
      </c>
      <c r="B131" s="169">
        <v>123</v>
      </c>
      <c r="C131" s="12" t="s">
        <v>274</v>
      </c>
      <c r="D131" s="200">
        <v>1979</v>
      </c>
      <c r="E131" s="11"/>
      <c r="F131" s="169" t="s">
        <v>21</v>
      </c>
      <c r="G131" s="35">
        <v>1</v>
      </c>
      <c r="H131" s="201">
        <v>9</v>
      </c>
      <c r="I131" s="201" t="s">
        <v>19</v>
      </c>
      <c r="J131" s="115">
        <v>29561</v>
      </c>
      <c r="K131" s="115">
        <v>1587</v>
      </c>
      <c r="L131" s="157">
        <v>1206</v>
      </c>
      <c r="M131" s="115"/>
      <c r="N131" s="115">
        <v>96</v>
      </c>
      <c r="O131" s="115">
        <v>208</v>
      </c>
      <c r="P131" s="115">
        <v>96</v>
      </c>
      <c r="Q131" s="115">
        <v>160</v>
      </c>
      <c r="R131" s="228">
        <f>4913.29-0.03+0.03+0.03</f>
        <v>4913.32</v>
      </c>
      <c r="S131" s="230">
        <v>2820.62</v>
      </c>
      <c r="T131" s="115">
        <f t="shared" si="46"/>
        <v>89</v>
      </c>
      <c r="U131" s="203">
        <f t="shared" si="78"/>
        <v>4575.74</v>
      </c>
      <c r="V131" s="180">
        <f t="shared" si="78"/>
        <v>2611.3199999999997</v>
      </c>
      <c r="W131" s="115">
        <v>7</v>
      </c>
      <c r="X131" s="207">
        <v>337.58</v>
      </c>
      <c r="Y131" s="207">
        <v>209.3</v>
      </c>
      <c r="Z131" s="204"/>
      <c r="AA131" s="207"/>
      <c r="AB131" s="207"/>
      <c r="AC131" s="207">
        <f t="shared" si="48"/>
        <v>924.2</v>
      </c>
      <c r="AD131" s="248">
        <f t="shared" si="49"/>
        <v>0</v>
      </c>
      <c r="AE131" s="275"/>
      <c r="AF131" s="248"/>
      <c r="AG131" s="207">
        <f>922.2+2</f>
        <v>924.2</v>
      </c>
      <c r="AH131" s="207"/>
      <c r="AI131" s="207">
        <f t="shared" si="50"/>
        <v>5837.5199999999995</v>
      </c>
      <c r="AJ131" s="170"/>
      <c r="AK131" s="170">
        <v>3</v>
      </c>
      <c r="AL131" s="170">
        <v>3</v>
      </c>
      <c r="AM131" s="170">
        <v>3</v>
      </c>
      <c r="AN131" s="170"/>
      <c r="AO131" s="170">
        <v>3</v>
      </c>
      <c r="AP131" s="170">
        <v>4384</v>
      </c>
      <c r="AQ131" s="170"/>
      <c r="AR131" s="170">
        <v>1029</v>
      </c>
      <c r="AS131" s="170">
        <v>90</v>
      </c>
      <c r="AT131" s="170">
        <v>105</v>
      </c>
      <c r="AU131" s="170">
        <f t="shared" si="107"/>
        <v>7574</v>
      </c>
      <c r="AV131" s="170"/>
      <c r="AW131" s="170">
        <v>7574</v>
      </c>
      <c r="AX131" s="170"/>
      <c r="AY131" s="170">
        <v>326</v>
      </c>
      <c r="AZ131" s="170">
        <v>1006</v>
      </c>
      <c r="BA131" s="170">
        <v>840</v>
      </c>
      <c r="BB131" s="170"/>
      <c r="BC131" s="170">
        <v>9</v>
      </c>
      <c r="BD131" s="170">
        <v>391</v>
      </c>
      <c r="BE131" s="170">
        <v>96</v>
      </c>
      <c r="BF131" s="170"/>
      <c r="BG131" s="170">
        <v>17100</v>
      </c>
      <c r="BH131" s="170">
        <v>4905</v>
      </c>
      <c r="BI131" s="170">
        <v>135</v>
      </c>
      <c r="BJ131" s="115">
        <f t="shared" si="51"/>
        <v>1</v>
      </c>
      <c r="BK131" s="115">
        <f t="shared" si="52"/>
        <v>4913.32</v>
      </c>
      <c r="BL131" s="115">
        <f t="shared" si="53"/>
        <v>2820.62</v>
      </c>
      <c r="BM131" s="115" t="str">
        <f t="shared" si="54"/>
        <v>0</v>
      </c>
      <c r="BN131" s="115" t="str">
        <f t="shared" si="55"/>
        <v>0</v>
      </c>
      <c r="BO131" s="115" t="str">
        <f t="shared" si="56"/>
        <v>0</v>
      </c>
      <c r="BP131" s="115" t="str">
        <f t="shared" si="57"/>
        <v>0</v>
      </c>
      <c r="BQ131" s="115" t="str">
        <f t="shared" si="58"/>
        <v>0</v>
      </c>
      <c r="BR131" s="115" t="str">
        <f t="shared" si="59"/>
        <v>0</v>
      </c>
      <c r="BS131" s="115"/>
      <c r="BT131" s="115">
        <v>3</v>
      </c>
      <c r="BU131" s="115">
        <f t="shared" si="113"/>
        <v>840</v>
      </c>
      <c r="BV131" s="115">
        <v>4403</v>
      </c>
      <c r="BW131" s="115"/>
      <c r="BX131" s="115">
        <f>AP131</f>
        <v>4384</v>
      </c>
      <c r="BY131" s="253">
        <v>2127.34</v>
      </c>
      <c r="BZ131" s="253">
        <v>1036.43</v>
      </c>
      <c r="CA131" s="354">
        <v>1029.8900000000001</v>
      </c>
      <c r="CB131" s="354">
        <f>7.86</f>
        <v>7.86</v>
      </c>
      <c r="CC131" s="354">
        <v>6.54</v>
      </c>
      <c r="CD131" s="354">
        <v>1006.3</v>
      </c>
      <c r="CE131" s="354">
        <v>16</v>
      </c>
      <c r="CF131" s="354">
        <f>0.98+1.07</f>
        <v>2.0499999999999998</v>
      </c>
      <c r="CG131" s="354">
        <v>58.7</v>
      </c>
      <c r="CH131" s="355"/>
      <c r="CI131" s="356">
        <f t="shared" si="69"/>
        <v>2127.34</v>
      </c>
      <c r="CJ131" s="356">
        <f t="shared" si="60"/>
        <v>1036.43</v>
      </c>
      <c r="CK131" s="357">
        <v>1006</v>
      </c>
      <c r="CL131" s="358">
        <f t="shared" si="70"/>
        <v>3133.34</v>
      </c>
      <c r="CM131" s="205">
        <v>3361</v>
      </c>
      <c r="CN131" s="282">
        <f t="shared" si="61"/>
        <v>1774</v>
      </c>
      <c r="CO131" s="209" t="str">
        <f t="shared" si="108"/>
        <v>0</v>
      </c>
      <c r="CP131" s="235">
        <f t="shared" si="109"/>
        <v>0</v>
      </c>
      <c r="CQ131" s="209">
        <f t="shared" si="114"/>
        <v>1</v>
      </c>
      <c r="CR131" s="235">
        <f t="shared" si="110"/>
        <v>7574</v>
      </c>
      <c r="CS131" s="235">
        <f t="shared" si="111"/>
        <v>1</v>
      </c>
      <c r="CT131" s="235">
        <f t="shared" si="111"/>
        <v>7574</v>
      </c>
      <c r="CU131" s="156">
        <v>67</v>
      </c>
      <c r="CV131" s="284" t="str">
        <f t="shared" si="62"/>
        <v>0</v>
      </c>
      <c r="CW131" s="284" t="str">
        <f t="shared" si="63"/>
        <v>0</v>
      </c>
      <c r="CX131" s="243">
        <f t="shared" si="64"/>
        <v>6.8707106396489541</v>
      </c>
      <c r="CY131" s="216" t="str">
        <f t="shared" si="65"/>
        <v>0</v>
      </c>
      <c r="CZ131" s="216" t="str">
        <f t="shared" si="66"/>
        <v>0</v>
      </c>
      <c r="DA131" s="243">
        <f t="shared" si="67"/>
        <v>5.7829352190656307</v>
      </c>
      <c r="DB131" s="306">
        <v>1</v>
      </c>
      <c r="DC131" s="306">
        <v>0</v>
      </c>
      <c r="DD131" s="306">
        <v>0</v>
      </c>
      <c r="DE131" s="306">
        <v>0</v>
      </c>
      <c r="DF131" s="306">
        <v>2</v>
      </c>
      <c r="DG131" s="306">
        <v>0</v>
      </c>
      <c r="DH131" s="306">
        <v>0</v>
      </c>
      <c r="DI131" s="306">
        <v>0</v>
      </c>
      <c r="DJ131" s="306">
        <v>0</v>
      </c>
      <c r="DK131" s="306">
        <v>96</v>
      </c>
      <c r="DL131" s="306">
        <f t="shared" si="112"/>
        <v>85</v>
      </c>
      <c r="DM131" s="306">
        <v>11</v>
      </c>
      <c r="DN131" s="306">
        <v>58</v>
      </c>
      <c r="DO131" s="306">
        <v>48</v>
      </c>
      <c r="DP131" s="306">
        <v>68</v>
      </c>
      <c r="DQ131" s="306">
        <v>76</v>
      </c>
      <c r="DR131" s="306">
        <v>48</v>
      </c>
      <c r="DS131" s="306">
        <v>68</v>
      </c>
      <c r="DT131" s="306">
        <v>76</v>
      </c>
      <c r="DU131" s="306">
        <v>6</v>
      </c>
      <c r="DV131" s="306">
        <v>5</v>
      </c>
      <c r="DW131" s="306">
        <v>5</v>
      </c>
      <c r="DX131" s="306">
        <v>9</v>
      </c>
      <c r="DY131" s="306">
        <v>5</v>
      </c>
      <c r="DZ131" s="306">
        <v>5</v>
      </c>
      <c r="EA131" s="306">
        <v>9</v>
      </c>
      <c r="EB131" s="306">
        <v>96</v>
      </c>
      <c r="EC131" s="306">
        <v>96</v>
      </c>
      <c r="ED131" s="342"/>
      <c r="EE131" s="342"/>
    </row>
    <row r="132" spans="1:138" x14ac:dyDescent="0.2">
      <c r="A132" s="14" t="s">
        <v>203</v>
      </c>
      <c r="B132" s="169">
        <v>124</v>
      </c>
      <c r="C132" s="12" t="s">
        <v>275</v>
      </c>
      <c r="D132" s="200">
        <v>1977</v>
      </c>
      <c r="E132" s="11"/>
      <c r="F132" s="169" t="s">
        <v>21</v>
      </c>
      <c r="G132" s="35">
        <v>1</v>
      </c>
      <c r="H132" s="201">
        <v>9</v>
      </c>
      <c r="I132" s="201" t="s">
        <v>19</v>
      </c>
      <c r="J132" s="115">
        <v>27830</v>
      </c>
      <c r="K132" s="115">
        <v>1122</v>
      </c>
      <c r="L132" s="157">
        <v>1200</v>
      </c>
      <c r="M132" s="115"/>
      <c r="N132" s="115">
        <v>96</v>
      </c>
      <c r="O132" s="115">
        <v>208</v>
      </c>
      <c r="P132" s="115">
        <v>96</v>
      </c>
      <c r="Q132" s="115">
        <v>184</v>
      </c>
      <c r="R132" s="228">
        <f>4953.78-0.02</f>
        <v>4953.7599999999993</v>
      </c>
      <c r="S132" s="230">
        <v>2810.09</v>
      </c>
      <c r="T132" s="115">
        <f t="shared" si="46"/>
        <v>89</v>
      </c>
      <c r="U132" s="203">
        <f t="shared" si="78"/>
        <v>4733.2699999999995</v>
      </c>
      <c r="V132" s="180">
        <f t="shared" si="78"/>
        <v>2673.3900000000003</v>
      </c>
      <c r="W132" s="115">
        <v>7</v>
      </c>
      <c r="X132" s="207">
        <v>220.49</v>
      </c>
      <c r="Y132" s="207">
        <v>136.69999999999999</v>
      </c>
      <c r="Z132" s="204"/>
      <c r="AA132" s="207"/>
      <c r="AB132" s="207"/>
      <c r="AC132" s="207">
        <f t="shared" si="48"/>
        <v>543</v>
      </c>
      <c r="AD132" s="248">
        <f t="shared" si="49"/>
        <v>0</v>
      </c>
      <c r="AE132" s="275"/>
      <c r="AF132" s="248"/>
      <c r="AG132" s="207">
        <v>543</v>
      </c>
      <c r="AH132" s="207"/>
      <c r="AI132" s="207">
        <f t="shared" si="50"/>
        <v>5496.7599999999993</v>
      </c>
      <c r="AJ132" s="170"/>
      <c r="AK132" s="170">
        <v>3</v>
      </c>
      <c r="AL132" s="170">
        <v>3</v>
      </c>
      <c r="AM132" s="170">
        <v>3</v>
      </c>
      <c r="AN132" s="170"/>
      <c r="AO132" s="170">
        <v>1</v>
      </c>
      <c r="AP132" s="170">
        <v>4384</v>
      </c>
      <c r="AQ132" s="170"/>
      <c r="AR132" s="170">
        <v>754</v>
      </c>
      <c r="AS132" s="170">
        <v>165</v>
      </c>
      <c r="AT132" s="170">
        <v>105</v>
      </c>
      <c r="AU132" s="170">
        <f t="shared" si="107"/>
        <v>7574</v>
      </c>
      <c r="AV132" s="170"/>
      <c r="AW132" s="170">
        <v>7574</v>
      </c>
      <c r="AX132" s="170"/>
      <c r="AY132" s="170">
        <v>229</v>
      </c>
      <c r="AZ132" s="170">
        <v>1016</v>
      </c>
      <c r="BA132" s="170">
        <v>736</v>
      </c>
      <c r="BB132" s="170"/>
      <c r="BC132" s="170">
        <v>9</v>
      </c>
      <c r="BD132" s="170">
        <v>310</v>
      </c>
      <c r="BE132" s="170">
        <v>96</v>
      </c>
      <c r="BF132" s="170"/>
      <c r="BG132" s="170">
        <v>17100</v>
      </c>
      <c r="BH132" s="170">
        <v>4905</v>
      </c>
      <c r="BI132" s="170">
        <v>135</v>
      </c>
      <c r="BJ132" s="115">
        <f t="shared" si="51"/>
        <v>1</v>
      </c>
      <c r="BK132" s="115">
        <f t="shared" si="52"/>
        <v>4953.7599999999993</v>
      </c>
      <c r="BL132" s="115">
        <f t="shared" si="53"/>
        <v>2810.09</v>
      </c>
      <c r="BM132" s="115" t="str">
        <f t="shared" si="54"/>
        <v>0</v>
      </c>
      <c r="BN132" s="115" t="str">
        <f t="shared" si="55"/>
        <v>0</v>
      </c>
      <c r="BO132" s="115" t="str">
        <f t="shared" si="56"/>
        <v>0</v>
      </c>
      <c r="BP132" s="115" t="str">
        <f t="shared" si="57"/>
        <v>0</v>
      </c>
      <c r="BQ132" s="115" t="str">
        <f t="shared" si="58"/>
        <v>0</v>
      </c>
      <c r="BR132" s="115" t="str">
        <f t="shared" si="59"/>
        <v>0</v>
      </c>
      <c r="BS132" s="115"/>
      <c r="BT132" s="115">
        <v>2</v>
      </c>
      <c r="BU132" s="115">
        <f t="shared" si="113"/>
        <v>736</v>
      </c>
      <c r="BV132" s="115">
        <v>4403</v>
      </c>
      <c r="BW132" s="115"/>
      <c r="BX132" s="115">
        <f>AP132</f>
        <v>4384</v>
      </c>
      <c r="BY132" s="253">
        <v>1834.04</v>
      </c>
      <c r="BZ132" s="253">
        <v>1052.58</v>
      </c>
      <c r="CA132" s="354">
        <v>1035</v>
      </c>
      <c r="CB132" s="354">
        <f>2.1*3</f>
        <v>6.3000000000000007</v>
      </c>
      <c r="CC132" s="354">
        <f>8.46+9.12</f>
        <v>17.579999999999998</v>
      </c>
      <c r="CD132" s="354">
        <v>735.98</v>
      </c>
      <c r="CE132" s="354">
        <v>8.85</v>
      </c>
      <c r="CF132" s="354"/>
      <c r="CG132" s="354">
        <f>2.36+7.66+2.45+7.84+2.46+7.56</f>
        <v>30.33</v>
      </c>
      <c r="CH132" s="355"/>
      <c r="CI132" s="356">
        <f t="shared" si="69"/>
        <v>1834.04</v>
      </c>
      <c r="CJ132" s="356">
        <f t="shared" si="60"/>
        <v>1052.58</v>
      </c>
      <c r="CK132" s="357">
        <v>1016</v>
      </c>
      <c r="CL132" s="358">
        <f t="shared" si="70"/>
        <v>2850.04</v>
      </c>
      <c r="CM132" s="205">
        <v>2205</v>
      </c>
      <c r="CN132" s="282">
        <f t="shared" si="61"/>
        <v>1083</v>
      </c>
      <c r="CO132" s="209" t="str">
        <f t="shared" si="108"/>
        <v>0</v>
      </c>
      <c r="CP132" s="235">
        <f t="shared" si="109"/>
        <v>0</v>
      </c>
      <c r="CQ132" s="209">
        <f t="shared" si="114"/>
        <v>1</v>
      </c>
      <c r="CR132" s="235">
        <f t="shared" si="110"/>
        <v>7574</v>
      </c>
      <c r="CS132" s="235">
        <f t="shared" si="111"/>
        <v>1</v>
      </c>
      <c r="CT132" s="235">
        <f t="shared" si="111"/>
        <v>7574</v>
      </c>
      <c r="CU132" s="156">
        <v>68</v>
      </c>
      <c r="CV132" s="284" t="str">
        <f t="shared" si="62"/>
        <v>0</v>
      </c>
      <c r="CW132" s="284" t="str">
        <f t="shared" si="63"/>
        <v>0</v>
      </c>
      <c r="CX132" s="243">
        <f t="shared" si="64"/>
        <v>4.450962501211202</v>
      </c>
      <c r="CY132" s="216" t="str">
        <f t="shared" si="65"/>
        <v>0</v>
      </c>
      <c r="CZ132" s="216" t="str">
        <f t="shared" si="66"/>
        <v>0</v>
      </c>
      <c r="DA132" s="243">
        <f t="shared" si="67"/>
        <v>4.011272094834049</v>
      </c>
      <c r="DB132" s="306">
        <v>1</v>
      </c>
      <c r="DC132" s="306">
        <v>0</v>
      </c>
      <c r="DD132" s="306">
        <v>0</v>
      </c>
      <c r="DE132" s="306">
        <v>0</v>
      </c>
      <c r="DF132" s="306">
        <v>2</v>
      </c>
      <c r="DG132" s="306">
        <v>0</v>
      </c>
      <c r="DH132" s="306">
        <v>0</v>
      </c>
      <c r="DI132" s="306">
        <v>0</v>
      </c>
      <c r="DJ132" s="306">
        <v>0</v>
      </c>
      <c r="DK132" s="306">
        <v>96</v>
      </c>
      <c r="DL132" s="306">
        <f t="shared" si="112"/>
        <v>92</v>
      </c>
      <c r="DM132" s="306">
        <v>4</v>
      </c>
      <c r="DN132" s="306">
        <v>65</v>
      </c>
      <c r="DO132" s="306">
        <v>50</v>
      </c>
      <c r="DP132" s="306">
        <v>68</v>
      </c>
      <c r="DQ132" s="306">
        <v>76</v>
      </c>
      <c r="DR132" s="306">
        <v>50</v>
      </c>
      <c r="DS132" s="306">
        <v>68</v>
      </c>
      <c r="DT132" s="306">
        <v>76</v>
      </c>
      <c r="DU132" s="306">
        <v>2</v>
      </c>
      <c r="DV132" s="306">
        <v>1</v>
      </c>
      <c r="DW132" s="306">
        <v>8</v>
      </c>
      <c r="DX132" s="306">
        <v>1</v>
      </c>
      <c r="DY132" s="306">
        <v>1</v>
      </c>
      <c r="DZ132" s="306">
        <v>8</v>
      </c>
      <c r="EA132" s="306">
        <v>1</v>
      </c>
      <c r="EB132" s="306">
        <v>96</v>
      </c>
      <c r="EC132" s="306">
        <v>96</v>
      </c>
      <c r="ED132" s="342"/>
      <c r="EE132" s="342"/>
    </row>
    <row r="133" spans="1:138" x14ac:dyDescent="0.2">
      <c r="A133" s="14" t="s">
        <v>203</v>
      </c>
      <c r="B133" s="169">
        <v>125</v>
      </c>
      <c r="C133" s="12" t="s">
        <v>276</v>
      </c>
      <c r="D133" s="200">
        <v>1977</v>
      </c>
      <c r="E133" s="11"/>
      <c r="F133" s="169">
        <v>84</v>
      </c>
      <c r="G133" s="35">
        <v>1</v>
      </c>
      <c r="H133" s="201">
        <v>9</v>
      </c>
      <c r="I133" s="201" t="s">
        <v>22</v>
      </c>
      <c r="J133" s="115">
        <v>14349</v>
      </c>
      <c r="K133" s="115">
        <v>620</v>
      </c>
      <c r="L133" s="157">
        <v>0</v>
      </c>
      <c r="M133" s="115">
        <v>628</v>
      </c>
      <c r="N133" s="115">
        <v>72</v>
      </c>
      <c r="O133" s="115">
        <v>142</v>
      </c>
      <c r="P133" s="115">
        <v>72</v>
      </c>
      <c r="Q133" s="115">
        <v>151</v>
      </c>
      <c r="R133" s="228">
        <v>3586.28</v>
      </c>
      <c r="S133" s="230">
        <v>2117.6999999999998</v>
      </c>
      <c r="T133" s="115">
        <f t="shared" si="46"/>
        <v>66</v>
      </c>
      <c r="U133" s="203">
        <f t="shared" si="78"/>
        <v>3288.38</v>
      </c>
      <c r="V133" s="180">
        <f t="shared" si="78"/>
        <v>1932.9999999999998</v>
      </c>
      <c r="W133" s="115">
        <v>6</v>
      </c>
      <c r="X133" s="207">
        <v>297.89999999999998</v>
      </c>
      <c r="Y133" s="207">
        <v>184.7</v>
      </c>
      <c r="Z133" s="204"/>
      <c r="AA133" s="207"/>
      <c r="AB133" s="207"/>
      <c r="AC133" s="207">
        <f t="shared" si="48"/>
        <v>0</v>
      </c>
      <c r="AD133" s="248">
        <f t="shared" si="49"/>
        <v>0</v>
      </c>
      <c r="AE133" s="275"/>
      <c r="AF133" s="248"/>
      <c r="AG133" s="207"/>
      <c r="AH133" s="207"/>
      <c r="AI133" s="207">
        <f t="shared" si="50"/>
        <v>3586.28</v>
      </c>
      <c r="AJ133" s="170"/>
      <c r="AK133" s="170">
        <v>2</v>
      </c>
      <c r="AL133" s="170">
        <v>2</v>
      </c>
      <c r="AM133" s="170">
        <v>2</v>
      </c>
      <c r="AN133" s="170"/>
      <c r="AO133" s="170">
        <v>2</v>
      </c>
      <c r="AP133" s="170">
        <v>3009</v>
      </c>
      <c r="AQ133" s="170"/>
      <c r="AR133" s="170">
        <v>754</v>
      </c>
      <c r="AS133" s="170">
        <v>196</v>
      </c>
      <c r="AT133" s="170">
        <v>40</v>
      </c>
      <c r="AU133" s="170">
        <f t="shared" si="107"/>
        <v>6837</v>
      </c>
      <c r="AV133" s="170">
        <v>6837</v>
      </c>
      <c r="AW133" s="170"/>
      <c r="AX133" s="170">
        <v>1742</v>
      </c>
      <c r="AY133" s="170">
        <v>144</v>
      </c>
      <c r="AZ133" s="170">
        <v>563</v>
      </c>
      <c r="BA133" s="170">
        <v>563</v>
      </c>
      <c r="BB133" s="170">
        <v>32</v>
      </c>
      <c r="BC133" s="170">
        <v>6</v>
      </c>
      <c r="BD133" s="170">
        <v>250</v>
      </c>
      <c r="BE133" s="170">
        <v>72</v>
      </c>
      <c r="BF133" s="170"/>
      <c r="BG133" s="170">
        <v>10710</v>
      </c>
      <c r="BH133" s="170">
        <v>3270</v>
      </c>
      <c r="BI133" s="170">
        <v>90</v>
      </c>
      <c r="BJ133" s="115" t="str">
        <f t="shared" si="51"/>
        <v>0</v>
      </c>
      <c r="BK133" s="115" t="str">
        <f t="shared" si="52"/>
        <v>0</v>
      </c>
      <c r="BL133" s="115" t="str">
        <f t="shared" si="53"/>
        <v>0</v>
      </c>
      <c r="BM133" s="115">
        <f t="shared" si="54"/>
        <v>1</v>
      </c>
      <c r="BN133" s="115">
        <f t="shared" si="55"/>
        <v>3586.28</v>
      </c>
      <c r="BO133" s="115">
        <f t="shared" si="56"/>
        <v>2117.6999999999998</v>
      </c>
      <c r="BP133" s="115" t="str">
        <f t="shared" si="57"/>
        <v>0</v>
      </c>
      <c r="BQ133" s="115" t="str">
        <f t="shared" si="58"/>
        <v>0</v>
      </c>
      <c r="BR133" s="115" t="str">
        <f t="shared" si="59"/>
        <v>0</v>
      </c>
      <c r="BS133" s="115"/>
      <c r="BT133" s="115">
        <v>1</v>
      </c>
      <c r="BU133" s="115">
        <f t="shared" si="113"/>
        <v>563</v>
      </c>
      <c r="BV133" s="115">
        <v>2672</v>
      </c>
      <c r="BW133" s="115"/>
      <c r="BX133" s="115"/>
      <c r="BY133" s="253">
        <v>1186.69</v>
      </c>
      <c r="BZ133" s="253">
        <v>570.4</v>
      </c>
      <c r="CA133" s="354">
        <f>576-2.8*2</f>
        <v>570.4</v>
      </c>
      <c r="CB133" s="354">
        <f>2.8*2+20.7</f>
        <v>26.299999999999997</v>
      </c>
      <c r="CC133" s="354"/>
      <c r="CD133" s="354">
        <f>563*0+562.69</f>
        <v>562.69000000000005</v>
      </c>
      <c r="CE133" s="354">
        <v>17</v>
      </c>
      <c r="CF133" s="354"/>
      <c r="CG133" s="354">
        <v>10.3</v>
      </c>
      <c r="CH133" s="355"/>
      <c r="CI133" s="356">
        <f t="shared" si="69"/>
        <v>1186.69</v>
      </c>
      <c r="CJ133" s="356">
        <f t="shared" si="60"/>
        <v>570.4</v>
      </c>
      <c r="CK133" s="357">
        <v>563</v>
      </c>
      <c r="CL133" s="358">
        <f t="shared" si="70"/>
        <v>1749.69</v>
      </c>
      <c r="CM133" s="205">
        <v>2451</v>
      </c>
      <c r="CN133" s="282">
        <f t="shared" si="61"/>
        <v>1831</v>
      </c>
      <c r="CO133" s="209">
        <f t="shared" si="108"/>
        <v>1</v>
      </c>
      <c r="CP133" s="235">
        <f t="shared" si="109"/>
        <v>6837</v>
      </c>
      <c r="CQ133" s="209" t="str">
        <f t="shared" si="114"/>
        <v>0</v>
      </c>
      <c r="CR133" s="235">
        <f t="shared" si="110"/>
        <v>0</v>
      </c>
      <c r="CS133" s="235">
        <f t="shared" si="111"/>
        <v>1</v>
      </c>
      <c r="CT133" s="235">
        <f t="shared" si="111"/>
        <v>6837</v>
      </c>
      <c r="CU133" s="156">
        <v>52</v>
      </c>
      <c r="CV133" s="284" t="str">
        <f t="shared" si="62"/>
        <v>0</v>
      </c>
      <c r="CW133" s="284" t="str">
        <f t="shared" si="63"/>
        <v>0</v>
      </c>
      <c r="CX133" s="243">
        <f t="shared" si="64"/>
        <v>8.3066575950567163</v>
      </c>
      <c r="CY133" s="216" t="str">
        <f t="shared" si="65"/>
        <v>0</v>
      </c>
      <c r="CZ133" s="216" t="str">
        <f t="shared" si="66"/>
        <v>0</v>
      </c>
      <c r="DA133" s="243">
        <f t="shared" si="67"/>
        <v>8.3066575950567163</v>
      </c>
      <c r="DB133" s="306">
        <v>1</v>
      </c>
      <c r="DC133" s="306">
        <v>0</v>
      </c>
      <c r="DD133" s="306">
        <v>0</v>
      </c>
      <c r="DE133" s="306">
        <v>0</v>
      </c>
      <c r="DF133" s="306">
        <v>2</v>
      </c>
      <c r="DG133" s="306">
        <v>0</v>
      </c>
      <c r="DH133" s="306">
        <v>0</v>
      </c>
      <c r="DI133" s="306">
        <v>0</v>
      </c>
      <c r="DJ133" s="306">
        <v>0</v>
      </c>
      <c r="DK133" s="306">
        <v>72</v>
      </c>
      <c r="DL133" s="306">
        <f t="shared" si="112"/>
        <v>70</v>
      </c>
      <c r="DM133" s="306">
        <v>2</v>
      </c>
      <c r="DN133" s="306">
        <v>53</v>
      </c>
      <c r="DO133" s="306">
        <v>41</v>
      </c>
      <c r="DP133" s="306">
        <v>40</v>
      </c>
      <c r="DQ133" s="306">
        <v>49</v>
      </c>
      <c r="DR133" s="306">
        <v>41</v>
      </c>
      <c r="DS133" s="306">
        <v>40</v>
      </c>
      <c r="DT133" s="306">
        <v>49</v>
      </c>
      <c r="DU133" s="306">
        <v>0</v>
      </c>
      <c r="DV133" s="306">
        <v>0</v>
      </c>
      <c r="DW133" s="306">
        <v>3</v>
      </c>
      <c r="DX133" s="306">
        <v>0</v>
      </c>
      <c r="DY133" s="306">
        <v>0</v>
      </c>
      <c r="DZ133" s="306">
        <v>3</v>
      </c>
      <c r="EA133" s="306">
        <v>0</v>
      </c>
      <c r="EB133" s="306">
        <v>72</v>
      </c>
      <c r="EC133" s="306">
        <v>72</v>
      </c>
      <c r="ED133" s="342"/>
      <c r="EE133" s="342"/>
    </row>
    <row r="134" spans="1:138" x14ac:dyDescent="0.2">
      <c r="A134" s="12" t="s">
        <v>197</v>
      </c>
      <c r="B134" s="169">
        <v>126</v>
      </c>
      <c r="C134" s="12" t="s">
        <v>277</v>
      </c>
      <c r="D134" s="200">
        <v>1987</v>
      </c>
      <c r="E134" s="11"/>
      <c r="F134" s="206" t="s">
        <v>24</v>
      </c>
      <c r="G134" s="35">
        <v>1</v>
      </c>
      <c r="H134" s="201">
        <v>9</v>
      </c>
      <c r="I134" s="201" t="s">
        <v>22</v>
      </c>
      <c r="J134" s="115">
        <v>10079</v>
      </c>
      <c r="K134" s="115">
        <v>403</v>
      </c>
      <c r="L134" s="157"/>
      <c r="M134" s="115">
        <v>373</v>
      </c>
      <c r="N134" s="115">
        <v>33</v>
      </c>
      <c r="O134" s="115">
        <v>101</v>
      </c>
      <c r="P134" s="115">
        <v>33</v>
      </c>
      <c r="Q134" s="115">
        <v>86</v>
      </c>
      <c r="R134" s="228">
        <v>2216.9</v>
      </c>
      <c r="S134" s="230">
        <v>1415.2</v>
      </c>
      <c r="T134" s="115">
        <f t="shared" si="46"/>
        <v>32</v>
      </c>
      <c r="U134" s="203">
        <f t="shared" si="78"/>
        <v>2117.4</v>
      </c>
      <c r="V134" s="180">
        <f t="shared" si="78"/>
        <v>1345.5</v>
      </c>
      <c r="W134" s="115">
        <v>1</v>
      </c>
      <c r="X134" s="207">
        <v>99.5</v>
      </c>
      <c r="Y134" s="207">
        <v>69.7</v>
      </c>
      <c r="Z134" s="204"/>
      <c r="AA134" s="207"/>
      <c r="AB134" s="207"/>
      <c r="AC134" s="207">
        <f t="shared" si="48"/>
        <v>119.6</v>
      </c>
      <c r="AD134" s="248">
        <f t="shared" si="49"/>
        <v>119.6</v>
      </c>
      <c r="AE134" s="275"/>
      <c r="AF134" s="248">
        <v>119.6</v>
      </c>
      <c r="AG134" s="207"/>
      <c r="AH134" s="207"/>
      <c r="AI134" s="207">
        <f t="shared" si="50"/>
        <v>2336.5</v>
      </c>
      <c r="AJ134" s="170"/>
      <c r="AK134" s="170">
        <v>1</v>
      </c>
      <c r="AL134" s="170">
        <v>1</v>
      </c>
      <c r="AM134" s="170">
        <v>1</v>
      </c>
      <c r="AN134" s="170"/>
      <c r="AO134" s="170">
        <v>1</v>
      </c>
      <c r="AP134" s="170">
        <v>1980</v>
      </c>
      <c r="AQ134" s="170"/>
      <c r="AR134" s="170">
        <v>754</v>
      </c>
      <c r="AS134" s="170">
        <v>86</v>
      </c>
      <c r="AT134" s="170">
        <v>30</v>
      </c>
      <c r="AU134" s="170">
        <f t="shared" si="107"/>
        <v>4593</v>
      </c>
      <c r="AV134" s="170">
        <v>4593</v>
      </c>
      <c r="AW134" s="170"/>
      <c r="AX134" s="170">
        <v>871</v>
      </c>
      <c r="AY134" s="170">
        <v>90</v>
      </c>
      <c r="AZ134" s="170">
        <v>373</v>
      </c>
      <c r="BA134" s="170">
        <v>373</v>
      </c>
      <c r="BB134" s="170">
        <v>16</v>
      </c>
      <c r="BC134" s="170">
        <v>3</v>
      </c>
      <c r="BD134" s="170">
        <v>162</v>
      </c>
      <c r="BE134" s="170">
        <v>33</v>
      </c>
      <c r="BF134" s="170"/>
      <c r="BG134" s="170">
        <v>3800</v>
      </c>
      <c r="BH134" s="170">
        <v>1635</v>
      </c>
      <c r="BI134" s="170">
        <v>45</v>
      </c>
      <c r="BJ134" s="115" t="str">
        <f t="shared" si="51"/>
        <v>0</v>
      </c>
      <c r="BK134" s="115" t="str">
        <f t="shared" si="52"/>
        <v>0</v>
      </c>
      <c r="BL134" s="115" t="str">
        <f t="shared" si="53"/>
        <v>0</v>
      </c>
      <c r="BM134" s="115">
        <f t="shared" si="54"/>
        <v>1</v>
      </c>
      <c r="BN134" s="115">
        <f t="shared" si="55"/>
        <v>2216.9</v>
      </c>
      <c r="BO134" s="115">
        <f t="shared" si="56"/>
        <v>1415.2</v>
      </c>
      <c r="BP134" s="115" t="str">
        <f t="shared" si="57"/>
        <v>0</v>
      </c>
      <c r="BQ134" s="115" t="str">
        <f t="shared" si="58"/>
        <v>0</v>
      </c>
      <c r="BR134" s="115" t="str">
        <f t="shared" si="59"/>
        <v>0</v>
      </c>
      <c r="BS134" s="115"/>
      <c r="BT134" s="115">
        <v>1</v>
      </c>
      <c r="BU134" s="115"/>
      <c r="BV134" s="115"/>
      <c r="BW134" s="115"/>
      <c r="BX134" s="115"/>
      <c r="BY134" s="253">
        <v>823.7</v>
      </c>
      <c r="BZ134" s="253">
        <v>386</v>
      </c>
      <c r="CA134" s="354">
        <f>231.5+157.4-2.9</f>
        <v>386</v>
      </c>
      <c r="CB134" s="354">
        <f>2.9+16.2</f>
        <v>19.099999999999998</v>
      </c>
      <c r="CC134" s="354"/>
      <c r="CD134" s="354">
        <f>373*0+372.9</f>
        <v>372.9</v>
      </c>
      <c r="CE134" s="354">
        <v>15.2</v>
      </c>
      <c r="CF134" s="354"/>
      <c r="CG134" s="354">
        <v>28.7</v>
      </c>
      <c r="CH134" s="355">
        <v>1.8</v>
      </c>
      <c r="CI134" s="356">
        <f t="shared" si="69"/>
        <v>823.7</v>
      </c>
      <c r="CJ134" s="356">
        <f t="shared" si="60"/>
        <v>386</v>
      </c>
      <c r="CK134" s="357">
        <v>373</v>
      </c>
      <c r="CL134" s="358">
        <f t="shared" si="70"/>
        <v>1196.7</v>
      </c>
      <c r="CM134" s="205">
        <v>1315</v>
      </c>
      <c r="CN134" s="282">
        <f t="shared" si="61"/>
        <v>912</v>
      </c>
      <c r="CO134" s="209">
        <f t="shared" si="108"/>
        <v>1</v>
      </c>
      <c r="CP134" s="235">
        <f t="shared" si="109"/>
        <v>4593</v>
      </c>
      <c r="CQ134" s="209" t="str">
        <f t="shared" si="114"/>
        <v>0</v>
      </c>
      <c r="CR134" s="235">
        <f t="shared" si="110"/>
        <v>0</v>
      </c>
      <c r="CS134" s="235">
        <f t="shared" si="111"/>
        <v>1</v>
      </c>
      <c r="CT134" s="235">
        <f t="shared" si="111"/>
        <v>4593</v>
      </c>
      <c r="CU134" s="156">
        <v>55</v>
      </c>
      <c r="CV134" s="284" t="str">
        <f t="shared" si="62"/>
        <v>0</v>
      </c>
      <c r="CW134" s="284" t="str">
        <f t="shared" si="63"/>
        <v>0</v>
      </c>
      <c r="CX134" s="243">
        <f t="shared" si="64"/>
        <v>4.4882493572105195</v>
      </c>
      <c r="CY134" s="216" t="str">
        <f t="shared" si="65"/>
        <v>0</v>
      </c>
      <c r="CZ134" s="216" t="str">
        <f t="shared" si="66"/>
        <v>0</v>
      </c>
      <c r="DA134" s="243">
        <f t="shared" si="67"/>
        <v>9.3772736999786002</v>
      </c>
      <c r="DB134" s="306">
        <v>1</v>
      </c>
      <c r="DC134" s="306">
        <v>0</v>
      </c>
      <c r="DD134" s="306">
        <v>0</v>
      </c>
      <c r="DE134" s="306">
        <v>0</v>
      </c>
      <c r="DF134" s="306">
        <v>2</v>
      </c>
      <c r="DG134" s="306">
        <v>0</v>
      </c>
      <c r="DH134" s="306">
        <v>0</v>
      </c>
      <c r="DI134" s="306">
        <v>0</v>
      </c>
      <c r="DJ134" s="306">
        <v>0</v>
      </c>
      <c r="DK134" s="306">
        <v>33</v>
      </c>
      <c r="DL134" s="306">
        <f t="shared" si="112"/>
        <v>33</v>
      </c>
      <c r="DM134" s="306">
        <v>0</v>
      </c>
      <c r="DN134" s="306">
        <v>20</v>
      </c>
      <c r="DO134" s="306">
        <v>20</v>
      </c>
      <c r="DP134" s="306">
        <v>22</v>
      </c>
      <c r="DQ134" s="306">
        <v>20</v>
      </c>
      <c r="DR134" s="306">
        <v>20</v>
      </c>
      <c r="DS134" s="306">
        <v>22</v>
      </c>
      <c r="DT134" s="306">
        <v>20</v>
      </c>
      <c r="DU134" s="306">
        <v>0</v>
      </c>
      <c r="DV134" s="306">
        <v>0</v>
      </c>
      <c r="DW134" s="306">
        <v>0</v>
      </c>
      <c r="DX134" s="306">
        <v>0</v>
      </c>
      <c r="DY134" s="306">
        <v>0</v>
      </c>
      <c r="DZ134" s="306">
        <v>0</v>
      </c>
      <c r="EA134" s="306">
        <v>0</v>
      </c>
      <c r="EB134" s="306">
        <v>33</v>
      </c>
      <c r="EC134" s="306">
        <v>33</v>
      </c>
      <c r="ED134" s="342"/>
      <c r="EE134" s="342"/>
    </row>
    <row r="135" spans="1:138" x14ac:dyDescent="0.2">
      <c r="A135" s="27" t="s">
        <v>197</v>
      </c>
      <c r="B135" s="169">
        <v>127</v>
      </c>
      <c r="C135" s="12" t="s">
        <v>278</v>
      </c>
      <c r="D135" s="200">
        <v>1978</v>
      </c>
      <c r="E135" s="11"/>
      <c r="F135" s="169">
        <v>84</v>
      </c>
      <c r="G135" s="35">
        <v>1</v>
      </c>
      <c r="H135" s="201">
        <v>9</v>
      </c>
      <c r="I135" s="201" t="s">
        <v>22</v>
      </c>
      <c r="J135" s="115">
        <v>22343</v>
      </c>
      <c r="K135" s="115">
        <v>927</v>
      </c>
      <c r="L135" s="157"/>
      <c r="M135" s="115">
        <v>879</v>
      </c>
      <c r="N135" s="115">
        <v>108</v>
      </c>
      <c r="O135" s="115">
        <v>231</v>
      </c>
      <c r="P135" s="115">
        <v>108</v>
      </c>
      <c r="Q135" s="115">
        <v>213</v>
      </c>
      <c r="R135" s="228">
        <f>5591.28-0.02-0.04</f>
        <v>5591.2199999999993</v>
      </c>
      <c r="S135" s="230">
        <v>3336.85</v>
      </c>
      <c r="T135" s="115">
        <f t="shared" si="46"/>
        <v>100</v>
      </c>
      <c r="U135" s="203">
        <f t="shared" si="78"/>
        <v>5188.8999999999996</v>
      </c>
      <c r="V135" s="180">
        <f t="shared" si="78"/>
        <v>3087.39</v>
      </c>
      <c r="W135" s="115">
        <v>8</v>
      </c>
      <c r="X135" s="207">
        <v>402.32</v>
      </c>
      <c r="Y135" s="207">
        <v>249.46</v>
      </c>
      <c r="Z135" s="204"/>
      <c r="AA135" s="207"/>
      <c r="AB135" s="207"/>
      <c r="AC135" s="207">
        <f t="shared" si="48"/>
        <v>0</v>
      </c>
      <c r="AD135" s="248">
        <f t="shared" si="49"/>
        <v>0</v>
      </c>
      <c r="AE135" s="275"/>
      <c r="AF135" s="248"/>
      <c r="AG135" s="207"/>
      <c r="AH135" s="207"/>
      <c r="AI135" s="207">
        <f t="shared" si="50"/>
        <v>5591.2199999999993</v>
      </c>
      <c r="AJ135" s="170"/>
      <c r="AK135" s="170">
        <v>3</v>
      </c>
      <c r="AL135" s="170">
        <v>3</v>
      </c>
      <c r="AM135" s="170">
        <v>3</v>
      </c>
      <c r="AN135" s="170"/>
      <c r="AO135" s="170">
        <v>3</v>
      </c>
      <c r="AP135" s="170">
        <v>5100</v>
      </c>
      <c r="AQ135" s="170"/>
      <c r="AR135" s="170">
        <v>684</v>
      </c>
      <c r="AS135" s="170">
        <v>366</v>
      </c>
      <c r="AT135" s="170">
        <v>60</v>
      </c>
      <c r="AU135" s="170">
        <f t="shared" si="107"/>
        <v>9113</v>
      </c>
      <c r="AV135" s="170"/>
      <c r="AW135" s="170">
        <v>9113</v>
      </c>
      <c r="AX135" s="170">
        <v>2613</v>
      </c>
      <c r="AY135" s="170">
        <v>227</v>
      </c>
      <c r="AZ135" s="170">
        <v>876</v>
      </c>
      <c r="BA135" s="170">
        <v>746</v>
      </c>
      <c r="BB135" s="170">
        <v>48</v>
      </c>
      <c r="BC135" s="170">
        <v>9</v>
      </c>
      <c r="BD135" s="170">
        <v>267</v>
      </c>
      <c r="BE135" s="170">
        <v>108</v>
      </c>
      <c r="BF135" s="170"/>
      <c r="BG135" s="170">
        <v>10710</v>
      </c>
      <c r="BH135" s="170">
        <v>4905</v>
      </c>
      <c r="BI135" s="170">
        <v>135</v>
      </c>
      <c r="BJ135" s="115" t="str">
        <f t="shared" si="51"/>
        <v>0</v>
      </c>
      <c r="BK135" s="115" t="str">
        <f t="shared" si="52"/>
        <v>0</v>
      </c>
      <c r="BL135" s="115" t="str">
        <f t="shared" si="53"/>
        <v>0</v>
      </c>
      <c r="BM135" s="115">
        <f t="shared" si="54"/>
        <v>1</v>
      </c>
      <c r="BN135" s="115">
        <f t="shared" si="55"/>
        <v>5591.2199999999993</v>
      </c>
      <c r="BO135" s="115">
        <f t="shared" si="56"/>
        <v>3336.85</v>
      </c>
      <c r="BP135" s="115" t="str">
        <f t="shared" si="57"/>
        <v>0</v>
      </c>
      <c r="BQ135" s="115" t="str">
        <f t="shared" si="58"/>
        <v>0</v>
      </c>
      <c r="BR135" s="115" t="str">
        <f t="shared" si="59"/>
        <v>0</v>
      </c>
      <c r="BS135" s="115"/>
      <c r="BT135" s="115">
        <v>2</v>
      </c>
      <c r="BU135" s="115">
        <f t="shared" ref="BU135:BU146" si="115">BA135</f>
        <v>746</v>
      </c>
      <c r="BV135" s="115">
        <v>3740</v>
      </c>
      <c r="BW135" s="115"/>
      <c r="BX135" s="115"/>
      <c r="BY135" s="253">
        <v>1661.39</v>
      </c>
      <c r="BZ135" s="253">
        <v>695.83</v>
      </c>
      <c r="CA135" s="354">
        <v>695.83</v>
      </c>
      <c r="CB135" s="354">
        <f>14.43+29.17</f>
        <v>43.6</v>
      </c>
      <c r="CC135" s="354"/>
      <c r="CD135" s="354">
        <v>876.22</v>
      </c>
      <c r="CE135" s="354">
        <f>8.86+9.1+6.98+2.2+2.7+2.8</f>
        <v>32.64</v>
      </c>
      <c r="CF135" s="354"/>
      <c r="CG135" s="354">
        <f>4.37+4.37+4.36</f>
        <v>13.100000000000001</v>
      </c>
      <c r="CH135" s="355"/>
      <c r="CI135" s="356">
        <f t="shared" si="69"/>
        <v>1661.39</v>
      </c>
      <c r="CJ135" s="356">
        <f t="shared" ref="CJ135:CJ187" si="116">CA135+CC135</f>
        <v>695.83</v>
      </c>
      <c r="CK135" s="357">
        <v>876</v>
      </c>
      <c r="CL135" s="358">
        <f t="shared" si="70"/>
        <v>2537.3900000000003</v>
      </c>
      <c r="CM135" s="205">
        <v>3344</v>
      </c>
      <c r="CN135" s="282">
        <f t="shared" si="61"/>
        <v>2417</v>
      </c>
      <c r="CO135" s="209" t="str">
        <f t="shared" si="108"/>
        <v>0</v>
      </c>
      <c r="CP135" s="235">
        <f t="shared" si="109"/>
        <v>0</v>
      </c>
      <c r="CQ135" s="209">
        <f t="shared" si="114"/>
        <v>1</v>
      </c>
      <c r="CR135" s="235">
        <f t="shared" si="110"/>
        <v>9113</v>
      </c>
      <c r="CS135" s="235">
        <f t="shared" si="111"/>
        <v>1</v>
      </c>
      <c r="CT135" s="235">
        <f t="shared" si="111"/>
        <v>9113</v>
      </c>
      <c r="CU135" s="156">
        <v>42</v>
      </c>
      <c r="CV135" s="284" t="str">
        <f t="shared" si="62"/>
        <v>0</v>
      </c>
      <c r="CW135" s="284" t="str">
        <f t="shared" si="63"/>
        <v>0</v>
      </c>
      <c r="CX135" s="243">
        <f t="shared" si="64"/>
        <v>7.1955673359302628</v>
      </c>
      <c r="CY135" s="216" t="str">
        <f t="shared" si="65"/>
        <v>0</v>
      </c>
      <c r="CZ135" s="216" t="str">
        <f t="shared" si="66"/>
        <v>0</v>
      </c>
      <c r="DA135" s="243">
        <f t="shared" si="67"/>
        <v>7.1955673359302628</v>
      </c>
      <c r="DB135" s="306">
        <v>1</v>
      </c>
      <c r="DC135" s="306">
        <v>0</v>
      </c>
      <c r="DD135" s="306">
        <v>0</v>
      </c>
      <c r="DE135" s="306">
        <v>0</v>
      </c>
      <c r="DF135" s="306">
        <v>2</v>
      </c>
      <c r="DG135" s="306">
        <v>0</v>
      </c>
      <c r="DH135" s="306">
        <v>0</v>
      </c>
      <c r="DI135" s="306">
        <v>0</v>
      </c>
      <c r="DJ135" s="306">
        <v>0</v>
      </c>
      <c r="DK135" s="306">
        <v>108</v>
      </c>
      <c r="DL135" s="306">
        <f t="shared" si="112"/>
        <v>100</v>
      </c>
      <c r="DM135" s="306">
        <v>8</v>
      </c>
      <c r="DN135" s="306">
        <v>74</v>
      </c>
      <c r="DO135" s="306">
        <v>62</v>
      </c>
      <c r="DP135" s="306">
        <v>57</v>
      </c>
      <c r="DQ135" s="306">
        <v>84</v>
      </c>
      <c r="DR135" s="306">
        <v>62</v>
      </c>
      <c r="DS135" s="306">
        <v>57</v>
      </c>
      <c r="DT135" s="306">
        <v>84</v>
      </c>
      <c r="DU135" s="306">
        <v>5</v>
      </c>
      <c r="DV135" s="306">
        <v>2</v>
      </c>
      <c r="DW135" s="306">
        <v>9</v>
      </c>
      <c r="DX135" s="306">
        <v>2</v>
      </c>
      <c r="DY135" s="306">
        <v>2</v>
      </c>
      <c r="DZ135" s="306">
        <v>9</v>
      </c>
      <c r="EA135" s="306">
        <v>2</v>
      </c>
      <c r="EB135" s="306">
        <v>108</v>
      </c>
      <c r="EC135" s="306">
        <v>108</v>
      </c>
      <c r="ED135" s="342"/>
      <c r="EE135" s="342"/>
    </row>
    <row r="136" spans="1:138" x14ac:dyDescent="0.2">
      <c r="A136" s="14" t="s">
        <v>203</v>
      </c>
      <c r="B136" s="169">
        <v>130</v>
      </c>
      <c r="C136" s="12" t="s">
        <v>279</v>
      </c>
      <c r="D136" s="200">
        <v>1988</v>
      </c>
      <c r="E136" s="11"/>
      <c r="F136" s="169" t="s">
        <v>21</v>
      </c>
      <c r="G136" s="35">
        <v>1</v>
      </c>
      <c r="H136" s="201">
        <v>9</v>
      </c>
      <c r="I136" s="201" t="s">
        <v>19</v>
      </c>
      <c r="J136" s="115">
        <v>44946</v>
      </c>
      <c r="K136" s="115">
        <v>2961</v>
      </c>
      <c r="L136" s="115"/>
      <c r="M136" s="115">
        <v>1325</v>
      </c>
      <c r="N136" s="115">
        <v>120</v>
      </c>
      <c r="O136" s="115">
        <v>265</v>
      </c>
      <c r="P136" s="115">
        <v>120</v>
      </c>
      <c r="Q136" s="115">
        <v>216</v>
      </c>
      <c r="R136" s="228">
        <f>6489.3+2-1</f>
        <v>6490.3</v>
      </c>
      <c r="S136" s="230">
        <v>3710</v>
      </c>
      <c r="T136" s="115">
        <f t="shared" ref="T136:T187" si="117">N136-W136-Z136</f>
        <v>116</v>
      </c>
      <c r="U136" s="203">
        <f t="shared" ref="U136:V170" si="118">R136-X136-AA136</f>
        <v>6288.5</v>
      </c>
      <c r="V136" s="180">
        <f t="shared" si="118"/>
        <v>3584.88</v>
      </c>
      <c r="W136" s="115">
        <v>4</v>
      </c>
      <c r="X136" s="207">
        <v>201.8</v>
      </c>
      <c r="Y136" s="207">
        <v>125.12</v>
      </c>
      <c r="Z136" s="204"/>
      <c r="AA136" s="207"/>
      <c r="AB136" s="207"/>
      <c r="AC136" s="207">
        <f t="shared" ref="AC136:AC187" si="119">AD136+AG136+AH136</f>
        <v>2028.35</v>
      </c>
      <c r="AD136" s="248">
        <f t="shared" ref="AD136:AD187" si="120">AE136+AF136</f>
        <v>2028.35</v>
      </c>
      <c r="AE136" s="248"/>
      <c r="AF136" s="248">
        <f>2020.05+8.3</f>
        <v>2028.35</v>
      </c>
      <c r="AG136" s="207"/>
      <c r="AH136" s="207"/>
      <c r="AI136" s="207">
        <f t="shared" ref="AI136:AI187" si="121">R136+AC136</f>
        <v>8518.65</v>
      </c>
      <c r="AJ136" s="170"/>
      <c r="AK136" s="170">
        <v>4</v>
      </c>
      <c r="AL136" s="170">
        <v>4</v>
      </c>
      <c r="AM136" s="170">
        <v>4</v>
      </c>
      <c r="AN136" s="170"/>
      <c r="AO136" s="170">
        <v>5</v>
      </c>
      <c r="AP136" s="170">
        <v>7548</v>
      </c>
      <c r="AQ136" s="170"/>
      <c r="AR136" s="170">
        <v>530</v>
      </c>
      <c r="AS136" s="170">
        <v>884</v>
      </c>
      <c r="AT136" s="170">
        <v>160</v>
      </c>
      <c r="AU136" s="170">
        <f t="shared" si="107"/>
        <v>16800</v>
      </c>
      <c r="AV136" s="170"/>
      <c r="AW136" s="170">
        <v>16800</v>
      </c>
      <c r="AX136" s="170"/>
      <c r="AY136" s="170">
        <v>495</v>
      </c>
      <c r="AZ136" s="170">
        <v>2840</v>
      </c>
      <c r="BA136" s="170">
        <v>1007</v>
      </c>
      <c r="BB136" s="170">
        <v>16</v>
      </c>
      <c r="BC136" s="170">
        <v>12</v>
      </c>
      <c r="BD136" s="170">
        <v>392</v>
      </c>
      <c r="BE136" s="170">
        <v>744</v>
      </c>
      <c r="BF136" s="170">
        <v>1</v>
      </c>
      <c r="BG136" s="170">
        <v>22800</v>
      </c>
      <c r="BH136" s="170">
        <v>6540</v>
      </c>
      <c r="BI136" s="170">
        <v>180</v>
      </c>
      <c r="BJ136" s="115">
        <f t="shared" ref="BJ136:BJ187" si="122">IF((I136="кир"),G136,"0")</f>
        <v>1</v>
      </c>
      <c r="BK136" s="115">
        <f t="shared" ref="BK136:BK187" si="123">IF((I136="кир"),R136,"0")</f>
        <v>6490.3</v>
      </c>
      <c r="BL136" s="115">
        <f t="shared" ref="BL136:BL187" si="124">IF((I136="кир"),S136,"0")</f>
        <v>3710</v>
      </c>
      <c r="BM136" s="115" t="str">
        <f t="shared" ref="BM136:BM187" si="125">IF((I136="пан"),G136,"0")</f>
        <v>0</v>
      </c>
      <c r="BN136" s="115" t="str">
        <f t="shared" ref="BN136:BN187" si="126">IF((I136="пан"),R136,"0")</f>
        <v>0</v>
      </c>
      <c r="BO136" s="115" t="str">
        <f t="shared" ref="BO136:BO187" si="127">IF((I136="пан"),S136,"0")</f>
        <v>0</v>
      </c>
      <c r="BP136" s="115" t="str">
        <f t="shared" ref="BP136:BP187" si="128">IF((I136="смеш"),G136,"0")</f>
        <v>0</v>
      </c>
      <c r="BQ136" s="115" t="str">
        <f t="shared" ref="BQ136:BQ187" si="129">IF((I136="смеш"),R136,"0")</f>
        <v>0</v>
      </c>
      <c r="BR136" s="115" t="str">
        <f t="shared" ref="BR136:BR187" si="130">IF((I136="смеш"),S136,"0")</f>
        <v>0</v>
      </c>
      <c r="BS136" s="115"/>
      <c r="BT136" s="115">
        <v>2</v>
      </c>
      <c r="BU136" s="115">
        <f t="shared" si="115"/>
        <v>1007</v>
      </c>
      <c r="BV136" s="115">
        <v>6610</v>
      </c>
      <c r="BW136" s="115"/>
      <c r="BX136" s="115">
        <f>AP136</f>
        <v>7548</v>
      </c>
      <c r="BY136" s="253">
        <v>2636.6</v>
      </c>
      <c r="BZ136" s="253">
        <v>1457</v>
      </c>
      <c r="CA136" s="354">
        <f>1470.5-(3.4*3+3.3)</f>
        <v>1457</v>
      </c>
      <c r="CB136" s="354">
        <f>(3.4*3+3.3)+44.6</f>
        <v>58.1</v>
      </c>
      <c r="CC136" s="354"/>
      <c r="CD136" s="354">
        <f>1007*0+1006.8</f>
        <v>1006.8</v>
      </c>
      <c r="CE136" s="354">
        <v>54.6</v>
      </c>
      <c r="CF136" s="354">
        <f>8.4+5.4</f>
        <v>13.8</v>
      </c>
      <c r="CG136" s="354">
        <v>46.3</v>
      </c>
      <c r="CH136" s="355"/>
      <c r="CI136" s="356">
        <f t="shared" ref="CI136:CI187" si="131">CH136+CG136+CF136+CE136+CD136+CC136+CB136+CA136</f>
        <v>2636.6</v>
      </c>
      <c r="CJ136" s="356">
        <f t="shared" si="116"/>
        <v>1457</v>
      </c>
      <c r="CK136" s="357">
        <v>2840</v>
      </c>
      <c r="CL136" s="358">
        <f t="shared" ref="CL136:CL187" si="132">CK136+CI136</f>
        <v>5476.6</v>
      </c>
      <c r="CM136" s="205">
        <v>3845</v>
      </c>
      <c r="CN136" s="282">
        <f t="shared" ref="CN136:CN187" si="133">CM136-K136</f>
        <v>884</v>
      </c>
      <c r="CO136" s="209" t="str">
        <f t="shared" si="108"/>
        <v>0</v>
      </c>
      <c r="CP136" s="235">
        <f t="shared" si="109"/>
        <v>0</v>
      </c>
      <c r="CQ136" s="209">
        <f t="shared" si="114"/>
        <v>1</v>
      </c>
      <c r="CR136" s="235">
        <f t="shared" si="110"/>
        <v>16800</v>
      </c>
      <c r="CS136" s="235">
        <f t="shared" si="111"/>
        <v>1</v>
      </c>
      <c r="CT136" s="235">
        <f t="shared" si="111"/>
        <v>16800</v>
      </c>
      <c r="CU136" s="156">
        <v>71</v>
      </c>
      <c r="CV136" s="284" t="str">
        <f t="shared" ref="CV136:CV171" si="134">IF((X136/R136*100&gt;=50), G136, "0")</f>
        <v>0</v>
      </c>
      <c r="CW136" s="284" t="str">
        <f t="shared" ref="CW136:CW171" si="135">IF((X136/R136*100&gt;=50), R136, "0")</f>
        <v>0</v>
      </c>
      <c r="CX136" s="243">
        <f t="shared" ref="CX136:CX171" si="136">X136/R136*100</f>
        <v>3.1092553502919742</v>
      </c>
      <c r="CY136" s="216" t="str">
        <f t="shared" ref="CY136:CY171" si="137">IF(((X136+AD136)/AI136*100&gt;=50), G136, "0")</f>
        <v>0</v>
      </c>
      <c r="CZ136" s="216" t="str">
        <f t="shared" ref="CZ136:CZ171" si="138">IF(((X136+AD136)/AI136*100&gt;=50), AI136, "0")</f>
        <v>0</v>
      </c>
      <c r="DA136" s="243">
        <f t="shared" ref="DA136:DA187" si="139">(X136+AD136)/AI136*100</f>
        <v>26.179617662423038</v>
      </c>
      <c r="DB136" s="306">
        <v>1</v>
      </c>
      <c r="DC136" s="306">
        <v>0</v>
      </c>
      <c r="DD136" s="306">
        <v>0</v>
      </c>
      <c r="DE136" s="306">
        <v>0</v>
      </c>
      <c r="DF136" s="306">
        <v>2</v>
      </c>
      <c r="DG136" s="306">
        <v>0</v>
      </c>
      <c r="DH136" s="306">
        <v>0</v>
      </c>
      <c r="DI136" s="306">
        <v>0</v>
      </c>
      <c r="DJ136" s="306">
        <v>0</v>
      </c>
      <c r="DK136" s="306">
        <v>120</v>
      </c>
      <c r="DL136" s="306">
        <f t="shared" si="112"/>
        <v>116</v>
      </c>
      <c r="DM136" s="306">
        <v>4</v>
      </c>
      <c r="DN136" s="306">
        <v>116</v>
      </c>
      <c r="DO136" s="306">
        <v>73</v>
      </c>
      <c r="DP136" s="306">
        <v>69</v>
      </c>
      <c r="DQ136" s="306">
        <v>114</v>
      </c>
      <c r="DR136" s="306">
        <v>73</v>
      </c>
      <c r="DS136" s="306">
        <v>68</v>
      </c>
      <c r="DT136" s="306">
        <v>115</v>
      </c>
      <c r="DU136" s="306">
        <v>4</v>
      </c>
      <c r="DV136" s="306">
        <v>0</v>
      </c>
      <c r="DW136" s="306">
        <v>11</v>
      </c>
      <c r="DX136" s="306">
        <v>0</v>
      </c>
      <c r="DY136" s="306">
        <v>0</v>
      </c>
      <c r="DZ136" s="306">
        <v>11</v>
      </c>
      <c r="EA136" s="306">
        <v>0</v>
      </c>
      <c r="EB136" s="306">
        <v>120</v>
      </c>
      <c r="EC136" s="306">
        <v>120</v>
      </c>
      <c r="ED136" s="342"/>
      <c r="EE136" s="342"/>
    </row>
    <row r="137" spans="1:138" s="211" customFormat="1" x14ac:dyDescent="0.2">
      <c r="A137" s="14" t="s">
        <v>203</v>
      </c>
      <c r="B137" s="169">
        <v>131</v>
      </c>
      <c r="C137" s="12" t="s">
        <v>280</v>
      </c>
      <c r="D137" s="200">
        <v>1948</v>
      </c>
      <c r="E137" s="11"/>
      <c r="F137" s="169" t="s">
        <v>207</v>
      </c>
      <c r="G137" s="35">
        <v>1</v>
      </c>
      <c r="H137" s="201">
        <v>5</v>
      </c>
      <c r="I137" s="201" t="s">
        <v>19</v>
      </c>
      <c r="J137" s="115">
        <v>19225</v>
      </c>
      <c r="K137" s="115">
        <v>0</v>
      </c>
      <c r="L137" s="157">
        <v>1584</v>
      </c>
      <c r="M137" s="115"/>
      <c r="N137" s="115">
        <v>37</v>
      </c>
      <c r="O137" s="115">
        <v>102</v>
      </c>
      <c r="P137" s="115">
        <v>40</v>
      </c>
      <c r="Q137" s="115">
        <v>81</v>
      </c>
      <c r="R137" s="228">
        <f>3117.33+1.4</f>
        <v>3118.73</v>
      </c>
      <c r="S137" s="230">
        <v>1982.6</v>
      </c>
      <c r="T137" s="115">
        <f t="shared" si="117"/>
        <v>32</v>
      </c>
      <c r="U137" s="203">
        <f t="shared" si="118"/>
        <v>2799.66</v>
      </c>
      <c r="V137" s="180">
        <f t="shared" si="118"/>
        <v>1784.78</v>
      </c>
      <c r="W137" s="115">
        <v>5</v>
      </c>
      <c r="X137" s="207">
        <v>319.07</v>
      </c>
      <c r="Y137" s="207">
        <v>197.82</v>
      </c>
      <c r="Z137" s="204"/>
      <c r="AA137" s="207"/>
      <c r="AB137" s="207"/>
      <c r="AC137" s="207">
        <f t="shared" si="119"/>
        <v>895.1</v>
      </c>
      <c r="AD137" s="248">
        <f t="shared" si="120"/>
        <v>171.6</v>
      </c>
      <c r="AE137" s="275"/>
      <c r="AF137" s="248">
        <f>171.6</f>
        <v>171.6</v>
      </c>
      <c r="AG137" s="207">
        <f>725.6-171.6+72.1</f>
        <v>626.1</v>
      </c>
      <c r="AH137" s="207">
        <f>79.3+18.1</f>
        <v>97.4</v>
      </c>
      <c r="AI137" s="207">
        <f t="shared" si="121"/>
        <v>4013.83</v>
      </c>
      <c r="AJ137" s="170"/>
      <c r="AK137" s="170"/>
      <c r="AL137" s="170">
        <v>3</v>
      </c>
      <c r="AM137" s="170"/>
      <c r="AN137" s="170"/>
      <c r="AO137" s="170">
        <v>1</v>
      </c>
      <c r="AP137" s="170">
        <v>2522</v>
      </c>
      <c r="AQ137" s="170"/>
      <c r="AR137" s="170">
        <v>220</v>
      </c>
      <c r="AS137" s="170">
        <v>402</v>
      </c>
      <c r="AT137" s="170">
        <v>45</v>
      </c>
      <c r="AU137" s="170">
        <f t="shared" si="107"/>
        <v>2520</v>
      </c>
      <c r="AV137" s="170"/>
      <c r="AW137" s="170">
        <v>2520</v>
      </c>
      <c r="AX137" s="170"/>
      <c r="AY137" s="170">
        <v>109</v>
      </c>
      <c r="AZ137" s="170">
        <v>1342</v>
      </c>
      <c r="BA137" s="170">
        <v>1342</v>
      </c>
      <c r="BB137" s="170">
        <v>12</v>
      </c>
      <c r="BC137" s="170">
        <v>6</v>
      </c>
      <c r="BD137" s="170">
        <v>139</v>
      </c>
      <c r="BE137" s="170">
        <v>250</v>
      </c>
      <c r="BF137" s="170"/>
      <c r="BG137" s="170">
        <v>2562</v>
      </c>
      <c r="BH137" s="170">
        <v>76</v>
      </c>
      <c r="BI137" s="170">
        <v>0</v>
      </c>
      <c r="BJ137" s="115">
        <f t="shared" si="122"/>
        <v>1</v>
      </c>
      <c r="BK137" s="115">
        <f t="shared" si="123"/>
        <v>3118.73</v>
      </c>
      <c r="BL137" s="115">
        <f t="shared" si="124"/>
        <v>1982.6</v>
      </c>
      <c r="BM137" s="115" t="str">
        <f t="shared" si="125"/>
        <v>0</v>
      </c>
      <c r="BN137" s="115" t="str">
        <f t="shared" si="126"/>
        <v>0</v>
      </c>
      <c r="BO137" s="115" t="str">
        <f t="shared" si="127"/>
        <v>0</v>
      </c>
      <c r="BP137" s="115" t="str">
        <f t="shared" si="128"/>
        <v>0</v>
      </c>
      <c r="BQ137" s="115" t="str">
        <f t="shared" si="129"/>
        <v>0</v>
      </c>
      <c r="BR137" s="115" t="str">
        <f t="shared" si="130"/>
        <v>0</v>
      </c>
      <c r="BS137" s="115"/>
      <c r="BT137" s="115">
        <v>2</v>
      </c>
      <c r="BU137" s="115">
        <f t="shared" si="115"/>
        <v>1342</v>
      </c>
      <c r="BV137" s="115">
        <v>2287</v>
      </c>
      <c r="BW137" s="115"/>
      <c r="BX137" s="115">
        <f>AP137</f>
        <v>2522</v>
      </c>
      <c r="BY137" s="253">
        <v>1641.9</v>
      </c>
      <c r="BZ137" s="253">
        <v>356.6</v>
      </c>
      <c r="CA137" s="354">
        <v>356.6</v>
      </c>
      <c r="CB137" s="354"/>
      <c r="CC137" s="354"/>
      <c r="CD137" s="354">
        <v>1285.3</v>
      </c>
      <c r="CE137" s="354"/>
      <c r="CF137" s="354"/>
      <c r="CG137" s="354"/>
      <c r="CH137" s="355"/>
      <c r="CI137" s="356">
        <f t="shared" si="131"/>
        <v>1641.9</v>
      </c>
      <c r="CJ137" s="356">
        <f t="shared" si="116"/>
        <v>356.6</v>
      </c>
      <c r="CK137" s="357">
        <v>1342</v>
      </c>
      <c r="CL137" s="358">
        <f t="shared" si="132"/>
        <v>2983.9</v>
      </c>
      <c r="CM137" s="205">
        <v>3168</v>
      </c>
      <c r="CN137" s="282">
        <f t="shared" si="133"/>
        <v>3168</v>
      </c>
      <c r="CO137" s="209" t="str">
        <f t="shared" si="108"/>
        <v>0</v>
      </c>
      <c r="CP137" s="235">
        <f t="shared" si="109"/>
        <v>0</v>
      </c>
      <c r="CQ137" s="209">
        <f t="shared" si="114"/>
        <v>1</v>
      </c>
      <c r="CR137" s="235">
        <f t="shared" si="110"/>
        <v>2520</v>
      </c>
      <c r="CS137" s="235">
        <f t="shared" si="111"/>
        <v>1</v>
      </c>
      <c r="CT137" s="235">
        <f t="shared" si="111"/>
        <v>2520</v>
      </c>
      <c r="CU137" s="156">
        <v>48</v>
      </c>
      <c r="CV137" s="284" t="str">
        <f t="shared" si="134"/>
        <v>0</v>
      </c>
      <c r="CW137" s="284" t="str">
        <f t="shared" si="135"/>
        <v>0</v>
      </c>
      <c r="CX137" s="243">
        <f t="shared" si="136"/>
        <v>10.230767010930732</v>
      </c>
      <c r="CY137" s="216" t="str">
        <f t="shared" si="137"/>
        <v>0</v>
      </c>
      <c r="CZ137" s="216" t="str">
        <f t="shared" si="138"/>
        <v>0</v>
      </c>
      <c r="DA137" s="243">
        <f t="shared" si="139"/>
        <v>12.224483847098655</v>
      </c>
      <c r="DB137" s="306">
        <v>1</v>
      </c>
      <c r="DC137" s="306">
        <v>0</v>
      </c>
      <c r="DD137" s="306">
        <v>0</v>
      </c>
      <c r="DE137" s="306">
        <v>0</v>
      </c>
      <c r="DF137" s="306">
        <v>1</v>
      </c>
      <c r="DG137" s="306">
        <v>0</v>
      </c>
      <c r="DH137" s="306">
        <v>0</v>
      </c>
      <c r="DI137" s="306">
        <v>0</v>
      </c>
      <c r="DJ137" s="306">
        <v>0</v>
      </c>
      <c r="DK137" s="306">
        <v>37</v>
      </c>
      <c r="DL137" s="306">
        <f t="shared" si="112"/>
        <v>32</v>
      </c>
      <c r="DM137" s="306">
        <v>5</v>
      </c>
      <c r="DN137" s="306">
        <v>25</v>
      </c>
      <c r="DO137" s="306">
        <v>12</v>
      </c>
      <c r="DP137" s="306">
        <v>25</v>
      </c>
      <c r="DQ137" s="306">
        <v>15</v>
      </c>
      <c r="DR137" s="306">
        <v>12</v>
      </c>
      <c r="DS137" s="306">
        <v>24</v>
      </c>
      <c r="DT137" s="306">
        <v>22</v>
      </c>
      <c r="DU137" s="306">
        <v>0</v>
      </c>
      <c r="DV137" s="306">
        <v>0</v>
      </c>
      <c r="DW137" s="306">
        <v>4</v>
      </c>
      <c r="DX137" s="306">
        <v>0</v>
      </c>
      <c r="DY137" s="306">
        <v>0</v>
      </c>
      <c r="DZ137" s="306">
        <v>4</v>
      </c>
      <c r="EA137" s="306">
        <v>0</v>
      </c>
      <c r="EB137" s="306">
        <v>37</v>
      </c>
      <c r="EC137" s="306">
        <f>37-2</f>
        <v>35</v>
      </c>
      <c r="ED137" s="342"/>
      <c r="EE137" s="342"/>
      <c r="EF137" s="3"/>
      <c r="EG137" s="3"/>
      <c r="EH137" s="3"/>
    </row>
    <row r="138" spans="1:138" x14ac:dyDescent="0.2">
      <c r="A138" s="12" t="s">
        <v>197</v>
      </c>
      <c r="B138" s="169">
        <v>133</v>
      </c>
      <c r="C138" s="12" t="s">
        <v>281</v>
      </c>
      <c r="D138" s="200">
        <v>1948</v>
      </c>
      <c r="E138" s="11"/>
      <c r="F138" s="169" t="s">
        <v>207</v>
      </c>
      <c r="G138" s="35">
        <v>1</v>
      </c>
      <c r="H138" s="201">
        <v>5</v>
      </c>
      <c r="I138" s="201" t="s">
        <v>19</v>
      </c>
      <c r="J138" s="115">
        <v>19183</v>
      </c>
      <c r="K138" s="115">
        <v>1311</v>
      </c>
      <c r="L138" s="157">
        <v>1599</v>
      </c>
      <c r="M138" s="115"/>
      <c r="N138" s="115">
        <v>30</v>
      </c>
      <c r="O138" s="115">
        <v>87</v>
      </c>
      <c r="P138" s="115">
        <v>31</v>
      </c>
      <c r="Q138" s="115">
        <v>57</v>
      </c>
      <c r="R138" s="228">
        <v>2546.9</v>
      </c>
      <c r="S138" s="230">
        <v>1688.8999999999999</v>
      </c>
      <c r="T138" s="115">
        <f t="shared" ref="T138:T145" si="140">N138-W138-Z138</f>
        <v>24</v>
      </c>
      <c r="U138" s="203">
        <f t="shared" ref="U138:V145" si="141">R138-X138-AA138</f>
        <v>2031.9</v>
      </c>
      <c r="V138" s="180">
        <f t="shared" si="141"/>
        <v>1369.6</v>
      </c>
      <c r="W138" s="115">
        <v>6</v>
      </c>
      <c r="X138" s="207">
        <v>515</v>
      </c>
      <c r="Y138" s="207">
        <v>319.3</v>
      </c>
      <c r="Z138" s="204"/>
      <c r="AA138" s="207"/>
      <c r="AB138" s="207"/>
      <c r="AC138" s="207">
        <f t="shared" ref="AC138:AC145" si="142">AD138+AG138+AH138</f>
        <v>1396.4</v>
      </c>
      <c r="AD138" s="248">
        <f t="shared" ref="AD138:AD145" si="143">AE138+AF138</f>
        <v>10.4</v>
      </c>
      <c r="AE138" s="275"/>
      <c r="AF138" s="248">
        <v>10.4</v>
      </c>
      <c r="AG138" s="207">
        <f>1384.9+1.1</f>
        <v>1386</v>
      </c>
      <c r="AH138" s="207"/>
      <c r="AI138" s="207">
        <f t="shared" ref="AI138:AI145" si="144">R138+AC138</f>
        <v>3943.3</v>
      </c>
      <c r="AJ138" s="170"/>
      <c r="AK138" s="170"/>
      <c r="AL138" s="170">
        <v>3</v>
      </c>
      <c r="AM138" s="170"/>
      <c r="AN138" s="170"/>
      <c r="AO138" s="170">
        <v>2</v>
      </c>
      <c r="AP138" s="170">
        <v>2716</v>
      </c>
      <c r="AQ138" s="170"/>
      <c r="AR138" s="170">
        <v>220</v>
      </c>
      <c r="AS138" s="170">
        <v>402</v>
      </c>
      <c r="AT138" s="170">
        <v>45</v>
      </c>
      <c r="AU138" s="170">
        <f t="shared" ref="AU138:AU145" si="145">AV138+AW138</f>
        <v>2520</v>
      </c>
      <c r="AV138" s="170"/>
      <c r="AW138" s="170">
        <v>2520</v>
      </c>
      <c r="AX138" s="170"/>
      <c r="AY138" s="170">
        <v>106</v>
      </c>
      <c r="AZ138" s="170">
        <v>1380</v>
      </c>
      <c r="BA138" s="170">
        <v>1380</v>
      </c>
      <c r="BB138" s="170">
        <v>12</v>
      </c>
      <c r="BC138" s="170">
        <v>6</v>
      </c>
      <c r="BD138" s="170">
        <v>139</v>
      </c>
      <c r="BE138" s="170">
        <v>250</v>
      </c>
      <c r="BF138" s="170">
        <v>1</v>
      </c>
      <c r="BG138" s="170">
        <v>2562</v>
      </c>
      <c r="BH138" s="170">
        <v>76</v>
      </c>
      <c r="BI138" s="170">
        <v>0</v>
      </c>
      <c r="BJ138" s="115">
        <f t="shared" ref="BJ138:BJ145" si="146">IF((I138="кир"),G138,"0")</f>
        <v>1</v>
      </c>
      <c r="BK138" s="115">
        <f t="shared" ref="BK138:BK145" si="147">IF((I138="кир"),R138,"0")</f>
        <v>2546.9</v>
      </c>
      <c r="BL138" s="115">
        <f t="shared" ref="BL138:BL145" si="148">IF((I138="кир"),S138,"0")</f>
        <v>1688.8999999999999</v>
      </c>
      <c r="BM138" s="115" t="str">
        <f t="shared" ref="BM138:BM145" si="149">IF((I138="пан"),G138,"0")</f>
        <v>0</v>
      </c>
      <c r="BN138" s="115" t="str">
        <f t="shared" ref="BN138:BN145" si="150">IF((I138="пан"),R138,"0")</f>
        <v>0</v>
      </c>
      <c r="BO138" s="115" t="str">
        <f t="shared" ref="BO138:BO145" si="151">IF((I138="пан"),S138,"0")</f>
        <v>0</v>
      </c>
      <c r="BP138" s="115" t="str">
        <f t="shared" ref="BP138:BP145" si="152">IF((I138="смеш"),G138,"0")</f>
        <v>0</v>
      </c>
      <c r="BQ138" s="115" t="str">
        <f t="shared" ref="BQ138:BQ145" si="153">IF((I138="смеш"),R138,"0")</f>
        <v>0</v>
      </c>
      <c r="BR138" s="115" t="str">
        <f t="shared" ref="BR138:BR145" si="154">IF((I138="смеш"),S138,"0")</f>
        <v>0</v>
      </c>
      <c r="BS138" s="115"/>
      <c r="BT138" s="115">
        <v>2</v>
      </c>
      <c r="BU138" s="115">
        <f>BA138</f>
        <v>1380</v>
      </c>
      <c r="BV138" s="115">
        <v>2287</v>
      </c>
      <c r="BW138" s="115"/>
      <c r="BX138" s="115">
        <f>AP138</f>
        <v>2716</v>
      </c>
      <c r="BY138" s="253">
        <v>1654.5</v>
      </c>
      <c r="BZ138" s="253">
        <v>355.3</v>
      </c>
      <c r="CA138" s="354">
        <v>355.3</v>
      </c>
      <c r="CB138" s="354"/>
      <c r="CC138" s="354"/>
      <c r="CD138" s="354">
        <f>795.3+503.9</f>
        <v>1299.1999999999998</v>
      </c>
      <c r="CE138" s="354"/>
      <c r="CF138" s="354"/>
      <c r="CG138" s="354"/>
      <c r="CH138" s="355"/>
      <c r="CI138" s="356">
        <f t="shared" si="131"/>
        <v>1654.4999999999998</v>
      </c>
      <c r="CJ138" s="356">
        <f t="shared" si="116"/>
        <v>355.3</v>
      </c>
      <c r="CK138" s="357">
        <v>1380</v>
      </c>
      <c r="CL138" s="358">
        <f t="shared" si="132"/>
        <v>3034.5</v>
      </c>
      <c r="CM138" s="205">
        <v>2279</v>
      </c>
      <c r="CN138" s="282">
        <f t="shared" ref="CN138:CN145" si="155">CM138-K138</f>
        <v>968</v>
      </c>
      <c r="CO138" s="209" t="str">
        <f t="shared" ref="CO138:CO145" si="156">IF(CP138&gt;0,G138,"0")</f>
        <v>0</v>
      </c>
      <c r="CP138" s="235">
        <f t="shared" ref="CP138:CP145" si="157">AV138</f>
        <v>0</v>
      </c>
      <c r="CQ138" s="209">
        <f t="shared" ref="CQ138:CQ145" si="158">IF(CR138&gt;0,G138,"0")</f>
        <v>1</v>
      </c>
      <c r="CR138" s="235">
        <f t="shared" ref="CR138:CR145" si="159">AW138</f>
        <v>2520</v>
      </c>
      <c r="CS138" s="235">
        <f t="shared" ref="CS138:CT145" si="160">CO138+CQ138</f>
        <v>1</v>
      </c>
      <c r="CT138" s="235">
        <f t="shared" si="160"/>
        <v>2520</v>
      </c>
      <c r="CU138" s="156">
        <v>46</v>
      </c>
      <c r="CV138" s="284" t="str">
        <f t="shared" ref="CV138:CV145" si="161">IF((X138/R138*100&gt;=50), G138, "0")</f>
        <v>0</v>
      </c>
      <c r="CW138" s="284" t="str">
        <f t="shared" ref="CW138:CW145" si="162">IF((X138/R138*100&gt;=50), R138, "0")</f>
        <v>0</v>
      </c>
      <c r="CX138" s="243">
        <f t="shared" ref="CX138:CX145" si="163">X138/R138*100</f>
        <v>20.220660410695356</v>
      </c>
      <c r="CY138" s="216" t="str">
        <f t="shared" ref="CY138:CY145" si="164">IF(((X138+AD138)/AI138*100&gt;=50), G138, "0")</f>
        <v>0</v>
      </c>
      <c r="CZ138" s="216" t="str">
        <f t="shared" ref="CZ138:CZ145" si="165">IF(((X138+AD138)/AI138*100&gt;=50), AI138, "0")</f>
        <v>0</v>
      </c>
      <c r="DA138" s="243">
        <f t="shared" ref="DA138:DA145" si="166">(X138+AD138)/AI138*100</f>
        <v>13.323865797682144</v>
      </c>
      <c r="DB138" s="306">
        <v>1</v>
      </c>
      <c r="DC138" s="306">
        <v>0</v>
      </c>
      <c r="DD138" s="306">
        <v>0</v>
      </c>
      <c r="DE138" s="306">
        <v>0</v>
      </c>
      <c r="DF138" s="306">
        <v>1</v>
      </c>
      <c r="DG138" s="306">
        <v>0</v>
      </c>
      <c r="DH138" s="306">
        <v>0</v>
      </c>
      <c r="DI138" s="306">
        <v>0</v>
      </c>
      <c r="DJ138" s="306">
        <v>0</v>
      </c>
      <c r="DK138" s="306">
        <v>30</v>
      </c>
      <c r="DL138" s="306">
        <f t="shared" ref="DL138:DL145" si="167">DK138-DM138</f>
        <v>28</v>
      </c>
      <c r="DM138" s="306">
        <v>2</v>
      </c>
      <c r="DN138" s="306">
        <v>19</v>
      </c>
      <c r="DO138" s="306">
        <v>11</v>
      </c>
      <c r="DP138" s="306">
        <v>18</v>
      </c>
      <c r="DQ138" s="306">
        <v>16</v>
      </c>
      <c r="DR138" s="306">
        <v>11</v>
      </c>
      <c r="DS138" s="306">
        <v>18</v>
      </c>
      <c r="DT138" s="306">
        <v>16</v>
      </c>
      <c r="DU138" s="306">
        <v>0</v>
      </c>
      <c r="DV138" s="306">
        <v>0</v>
      </c>
      <c r="DW138" s="306">
        <v>2</v>
      </c>
      <c r="DX138" s="306">
        <v>0</v>
      </c>
      <c r="DY138" s="306">
        <v>0</v>
      </c>
      <c r="DZ138" s="306">
        <v>2</v>
      </c>
      <c r="EA138" s="306">
        <v>0</v>
      </c>
      <c r="EB138" s="306">
        <v>30</v>
      </c>
      <c r="EC138" s="306">
        <f>30-2</f>
        <v>28</v>
      </c>
      <c r="ED138" s="342"/>
      <c r="EE138" s="342"/>
    </row>
    <row r="139" spans="1:138" x14ac:dyDescent="0.2">
      <c r="A139" s="12" t="s">
        <v>197</v>
      </c>
      <c r="B139" s="169">
        <v>134</v>
      </c>
      <c r="C139" s="12" t="s">
        <v>282</v>
      </c>
      <c r="D139" s="200">
        <v>1986</v>
      </c>
      <c r="E139" s="11"/>
      <c r="F139" s="206" t="s">
        <v>24</v>
      </c>
      <c r="G139" s="35">
        <v>1</v>
      </c>
      <c r="H139" s="201">
        <v>9</v>
      </c>
      <c r="I139" s="201" t="s">
        <v>22</v>
      </c>
      <c r="J139" s="115">
        <v>10218</v>
      </c>
      <c r="K139" s="115">
        <v>399</v>
      </c>
      <c r="L139" s="157"/>
      <c r="M139" s="115">
        <v>378</v>
      </c>
      <c r="N139" s="115">
        <v>33</v>
      </c>
      <c r="O139" s="115">
        <v>101</v>
      </c>
      <c r="P139" s="115">
        <v>33</v>
      </c>
      <c r="Q139" s="115">
        <v>64</v>
      </c>
      <c r="R139" s="228">
        <f>2236.6-0.9</f>
        <v>2235.6999999999998</v>
      </c>
      <c r="S139" s="230">
        <v>1423.8</v>
      </c>
      <c r="T139" s="115">
        <f t="shared" si="140"/>
        <v>30</v>
      </c>
      <c r="U139" s="203">
        <f t="shared" si="141"/>
        <v>2071.1</v>
      </c>
      <c r="V139" s="180">
        <f t="shared" si="141"/>
        <v>1321.75</v>
      </c>
      <c r="W139" s="115">
        <v>3</v>
      </c>
      <c r="X139" s="207">
        <v>164.6</v>
      </c>
      <c r="Y139" s="207">
        <v>102.05</v>
      </c>
      <c r="Z139" s="204"/>
      <c r="AA139" s="207"/>
      <c r="AB139" s="207"/>
      <c r="AC139" s="207">
        <f t="shared" si="142"/>
        <v>124</v>
      </c>
      <c r="AD139" s="248">
        <f t="shared" si="143"/>
        <v>124</v>
      </c>
      <c r="AE139" s="275"/>
      <c r="AF139" s="248">
        <v>124</v>
      </c>
      <c r="AG139" s="207"/>
      <c r="AH139" s="207"/>
      <c r="AI139" s="207">
        <f t="shared" si="144"/>
        <v>2359.6999999999998</v>
      </c>
      <c r="AJ139" s="170"/>
      <c r="AK139" s="170">
        <v>1</v>
      </c>
      <c r="AL139" s="170">
        <v>1</v>
      </c>
      <c r="AM139" s="170">
        <v>1</v>
      </c>
      <c r="AN139" s="170"/>
      <c r="AO139" s="170">
        <v>1</v>
      </c>
      <c r="AP139" s="170">
        <v>1860</v>
      </c>
      <c r="AQ139" s="170"/>
      <c r="AR139" s="170">
        <v>280</v>
      </c>
      <c r="AS139" s="170">
        <v>168</v>
      </c>
      <c r="AT139" s="170">
        <v>75</v>
      </c>
      <c r="AU139" s="170">
        <f t="shared" si="145"/>
        <v>3590</v>
      </c>
      <c r="AV139" s="170"/>
      <c r="AW139" s="170">
        <v>3590</v>
      </c>
      <c r="AX139" s="170">
        <v>840</v>
      </c>
      <c r="AY139" s="170">
        <v>114</v>
      </c>
      <c r="AZ139" s="170">
        <v>448</v>
      </c>
      <c r="BA139" s="170">
        <v>448</v>
      </c>
      <c r="BB139" s="170">
        <v>18</v>
      </c>
      <c r="BC139" s="170">
        <v>21</v>
      </c>
      <c r="BD139" s="170">
        <v>116</v>
      </c>
      <c r="BE139" s="170">
        <v>212</v>
      </c>
      <c r="BF139" s="170">
        <v>1</v>
      </c>
      <c r="BG139" s="170">
        <v>3800</v>
      </c>
      <c r="BH139" s="170">
        <v>1635</v>
      </c>
      <c r="BI139" s="170">
        <v>45</v>
      </c>
      <c r="BJ139" s="115" t="str">
        <f t="shared" si="146"/>
        <v>0</v>
      </c>
      <c r="BK139" s="115" t="str">
        <f t="shared" si="147"/>
        <v>0</v>
      </c>
      <c r="BL139" s="115" t="str">
        <f t="shared" si="148"/>
        <v>0</v>
      </c>
      <c r="BM139" s="115">
        <f t="shared" si="149"/>
        <v>1</v>
      </c>
      <c r="BN139" s="115">
        <f t="shared" si="150"/>
        <v>2235.6999999999998</v>
      </c>
      <c r="BO139" s="115">
        <f t="shared" si="151"/>
        <v>1423.8</v>
      </c>
      <c r="BP139" s="115" t="str">
        <f t="shared" si="152"/>
        <v>0</v>
      </c>
      <c r="BQ139" s="115" t="str">
        <f t="shared" si="153"/>
        <v>0</v>
      </c>
      <c r="BR139" s="115" t="str">
        <f t="shared" si="154"/>
        <v>0</v>
      </c>
      <c r="BS139" s="115"/>
      <c r="BT139" s="115"/>
      <c r="BU139" s="115"/>
      <c r="BV139" s="115"/>
      <c r="BW139" s="115"/>
      <c r="BX139" s="115"/>
      <c r="BY139" s="253">
        <v>810.39999999999986</v>
      </c>
      <c r="BZ139" s="253">
        <v>374.4</v>
      </c>
      <c r="CA139" s="354">
        <f>159.3+217.3-2.2</f>
        <v>374.40000000000003</v>
      </c>
      <c r="CB139" s="354">
        <f>2.2+17</f>
        <v>19.2</v>
      </c>
      <c r="CC139" s="354"/>
      <c r="CD139" s="354">
        <v>374</v>
      </c>
      <c r="CE139" s="354">
        <v>14.6</v>
      </c>
      <c r="CF139" s="354">
        <v>1.9</v>
      </c>
      <c r="CG139" s="354">
        <v>26.3</v>
      </c>
      <c r="CH139" s="355"/>
      <c r="CI139" s="356">
        <f t="shared" si="131"/>
        <v>810.40000000000009</v>
      </c>
      <c r="CJ139" s="356">
        <f t="shared" si="116"/>
        <v>374.40000000000003</v>
      </c>
      <c r="CK139" s="357">
        <v>448</v>
      </c>
      <c r="CL139" s="358">
        <f t="shared" si="132"/>
        <v>1258.4000000000001</v>
      </c>
      <c r="CM139" s="205">
        <v>1808</v>
      </c>
      <c r="CN139" s="282">
        <f t="shared" si="155"/>
        <v>1409</v>
      </c>
      <c r="CO139" s="209" t="str">
        <f t="shared" si="156"/>
        <v>0</v>
      </c>
      <c r="CP139" s="235">
        <f t="shared" si="157"/>
        <v>0</v>
      </c>
      <c r="CQ139" s="209">
        <f t="shared" si="158"/>
        <v>1</v>
      </c>
      <c r="CR139" s="235">
        <f t="shared" si="159"/>
        <v>3590</v>
      </c>
      <c r="CS139" s="235">
        <f t="shared" si="160"/>
        <v>1</v>
      </c>
      <c r="CT139" s="235">
        <f t="shared" si="160"/>
        <v>3590</v>
      </c>
      <c r="CU139" s="156">
        <v>54</v>
      </c>
      <c r="CV139" s="284" t="str">
        <f t="shared" si="161"/>
        <v>0</v>
      </c>
      <c r="CW139" s="284" t="str">
        <f t="shared" si="162"/>
        <v>0</v>
      </c>
      <c r="CX139" s="243">
        <f t="shared" si="163"/>
        <v>7.3623473632419376</v>
      </c>
      <c r="CY139" s="216" t="str">
        <f t="shared" si="164"/>
        <v>0</v>
      </c>
      <c r="CZ139" s="216" t="str">
        <f t="shared" si="165"/>
        <v>0</v>
      </c>
      <c r="DA139" s="243">
        <f t="shared" si="166"/>
        <v>12.230368267152606</v>
      </c>
      <c r="DB139" s="306">
        <v>1</v>
      </c>
      <c r="DC139" s="306">
        <v>0</v>
      </c>
      <c r="DD139" s="306">
        <v>0</v>
      </c>
      <c r="DE139" s="306">
        <v>0</v>
      </c>
      <c r="DF139" s="306">
        <v>2</v>
      </c>
      <c r="DG139" s="306">
        <v>0</v>
      </c>
      <c r="DH139" s="306">
        <v>0</v>
      </c>
      <c r="DI139" s="306">
        <v>0</v>
      </c>
      <c r="DJ139" s="306">
        <v>0</v>
      </c>
      <c r="DK139" s="306">
        <v>32</v>
      </c>
      <c r="DL139" s="306">
        <f t="shared" si="167"/>
        <v>29</v>
      </c>
      <c r="DM139" s="306">
        <v>3</v>
      </c>
      <c r="DN139" s="306">
        <v>30</v>
      </c>
      <c r="DO139" s="306">
        <v>19</v>
      </c>
      <c r="DP139" s="306">
        <v>13</v>
      </c>
      <c r="DQ139" s="306">
        <v>19</v>
      </c>
      <c r="DR139" s="306">
        <v>19</v>
      </c>
      <c r="DS139" s="306">
        <v>13</v>
      </c>
      <c r="DT139" s="306">
        <v>19</v>
      </c>
      <c r="DU139" s="306">
        <v>2</v>
      </c>
      <c r="DV139" s="306">
        <v>1</v>
      </c>
      <c r="DW139" s="306">
        <v>1</v>
      </c>
      <c r="DX139" s="306">
        <v>1</v>
      </c>
      <c r="DY139" s="306">
        <v>1</v>
      </c>
      <c r="DZ139" s="306">
        <v>1</v>
      </c>
      <c r="EA139" s="306">
        <v>1</v>
      </c>
      <c r="EB139" s="306">
        <v>32</v>
      </c>
      <c r="EC139" s="306">
        <v>32</v>
      </c>
      <c r="ED139" s="342"/>
      <c r="EE139" s="342"/>
    </row>
    <row r="140" spans="1:138" x14ac:dyDescent="0.2">
      <c r="A140" s="12" t="s">
        <v>197</v>
      </c>
      <c r="B140" s="169">
        <v>135</v>
      </c>
      <c r="C140" s="12" t="s">
        <v>283</v>
      </c>
      <c r="D140" s="200">
        <v>1992</v>
      </c>
      <c r="E140" s="11"/>
      <c r="F140" s="206" t="s">
        <v>24</v>
      </c>
      <c r="G140" s="35">
        <v>1</v>
      </c>
      <c r="H140" s="201">
        <v>9</v>
      </c>
      <c r="I140" s="201" t="s">
        <v>22</v>
      </c>
      <c r="J140" s="115">
        <v>11404</v>
      </c>
      <c r="K140" s="115">
        <v>725</v>
      </c>
      <c r="L140" s="157"/>
      <c r="M140" s="115">
        <v>384</v>
      </c>
      <c r="N140" s="115">
        <v>32</v>
      </c>
      <c r="O140" s="115">
        <v>96</v>
      </c>
      <c r="P140" s="115">
        <v>32</v>
      </c>
      <c r="Q140" s="115">
        <v>88</v>
      </c>
      <c r="R140" s="228">
        <v>2145.6999999999998</v>
      </c>
      <c r="S140" s="230">
        <v>1386.7</v>
      </c>
      <c r="T140" s="115">
        <f t="shared" si="140"/>
        <v>30</v>
      </c>
      <c r="U140" s="203">
        <f t="shared" si="141"/>
        <v>2011.6999999999998</v>
      </c>
      <c r="V140" s="180">
        <f t="shared" si="141"/>
        <v>1300</v>
      </c>
      <c r="W140" s="115">
        <v>2</v>
      </c>
      <c r="X140" s="207">
        <v>134</v>
      </c>
      <c r="Y140" s="207">
        <v>86.7</v>
      </c>
      <c r="Z140" s="204"/>
      <c r="AA140" s="207"/>
      <c r="AB140" s="207"/>
      <c r="AC140" s="207">
        <f t="shared" si="142"/>
        <v>468.4</v>
      </c>
      <c r="AD140" s="248">
        <f t="shared" si="143"/>
        <v>0</v>
      </c>
      <c r="AE140" s="275"/>
      <c r="AF140" s="248"/>
      <c r="AG140" s="207">
        <f>476.5-8.1</f>
        <v>468.4</v>
      </c>
      <c r="AH140" s="207"/>
      <c r="AI140" s="207">
        <f t="shared" si="144"/>
        <v>2614.1</v>
      </c>
      <c r="AJ140" s="170"/>
      <c r="AK140" s="170">
        <v>1</v>
      </c>
      <c r="AL140" s="170">
        <v>1</v>
      </c>
      <c r="AM140" s="170">
        <v>1</v>
      </c>
      <c r="AN140" s="170"/>
      <c r="AO140" s="170">
        <v>1</v>
      </c>
      <c r="AP140" s="170">
        <v>1860</v>
      </c>
      <c r="AQ140" s="170"/>
      <c r="AR140" s="170">
        <v>195</v>
      </c>
      <c r="AS140" s="170">
        <v>308</v>
      </c>
      <c r="AT140" s="170">
        <v>75</v>
      </c>
      <c r="AU140" s="170">
        <f t="shared" si="145"/>
        <v>4090</v>
      </c>
      <c r="AV140" s="170"/>
      <c r="AW140" s="170">
        <v>4090</v>
      </c>
      <c r="AX140" s="170">
        <v>840</v>
      </c>
      <c r="AY140" s="170">
        <v>112</v>
      </c>
      <c r="AZ140" s="170">
        <v>411</v>
      </c>
      <c r="BA140" s="170">
        <v>411</v>
      </c>
      <c r="BB140" s="170">
        <v>36</v>
      </c>
      <c r="BC140" s="170">
        <v>42</v>
      </c>
      <c r="BD140" s="170">
        <v>116</v>
      </c>
      <c r="BE140" s="170">
        <v>212</v>
      </c>
      <c r="BF140" s="170">
        <v>1</v>
      </c>
      <c r="BG140" s="170">
        <v>3800</v>
      </c>
      <c r="BH140" s="170">
        <v>1635</v>
      </c>
      <c r="BI140" s="170">
        <v>45</v>
      </c>
      <c r="BJ140" s="115" t="str">
        <f t="shared" si="146"/>
        <v>0</v>
      </c>
      <c r="BK140" s="115" t="str">
        <f t="shared" si="147"/>
        <v>0</v>
      </c>
      <c r="BL140" s="115" t="str">
        <f t="shared" si="148"/>
        <v>0</v>
      </c>
      <c r="BM140" s="115">
        <f t="shared" si="149"/>
        <v>1</v>
      </c>
      <c r="BN140" s="115">
        <f t="shared" si="150"/>
        <v>2145.6999999999998</v>
      </c>
      <c r="BO140" s="115">
        <f t="shared" si="151"/>
        <v>1386.7</v>
      </c>
      <c r="BP140" s="115" t="str">
        <f t="shared" si="152"/>
        <v>0</v>
      </c>
      <c r="BQ140" s="115" t="str">
        <f t="shared" si="153"/>
        <v>0</v>
      </c>
      <c r="BR140" s="115" t="str">
        <f t="shared" si="154"/>
        <v>0</v>
      </c>
      <c r="BS140" s="115"/>
      <c r="BT140" s="115">
        <v>1</v>
      </c>
      <c r="BU140" s="115"/>
      <c r="BV140" s="115"/>
      <c r="BW140" s="115"/>
      <c r="BX140" s="115"/>
      <c r="BY140" s="253">
        <v>753.3</v>
      </c>
      <c r="BZ140" s="253">
        <v>392.3</v>
      </c>
      <c r="CA140" s="354">
        <f>161.5+230.8</f>
        <v>392.3</v>
      </c>
      <c r="CB140" s="354">
        <f>2.6+7.5</f>
        <v>10.1</v>
      </c>
      <c r="CC140" s="354"/>
      <c r="CD140" s="354">
        <v>312.8</v>
      </c>
      <c r="CE140" s="354">
        <v>22.4</v>
      </c>
      <c r="CF140" s="354"/>
      <c r="CG140" s="354">
        <v>5.9</v>
      </c>
      <c r="CH140" s="355">
        <f>5.8+1.2+2.8</f>
        <v>9.8000000000000007</v>
      </c>
      <c r="CI140" s="356">
        <f t="shared" si="131"/>
        <v>753.30000000000007</v>
      </c>
      <c r="CJ140" s="356">
        <f t="shared" si="116"/>
        <v>392.3</v>
      </c>
      <c r="CK140" s="357">
        <v>411</v>
      </c>
      <c r="CL140" s="358">
        <f t="shared" si="132"/>
        <v>1164.3000000000002</v>
      </c>
      <c r="CM140" s="205">
        <v>1272</v>
      </c>
      <c r="CN140" s="282">
        <f t="shared" si="155"/>
        <v>547</v>
      </c>
      <c r="CO140" s="209" t="str">
        <f t="shared" si="156"/>
        <v>0</v>
      </c>
      <c r="CP140" s="235">
        <f t="shared" si="157"/>
        <v>0</v>
      </c>
      <c r="CQ140" s="209">
        <f t="shared" si="158"/>
        <v>1</v>
      </c>
      <c r="CR140" s="235">
        <f t="shared" si="159"/>
        <v>4090</v>
      </c>
      <c r="CS140" s="235">
        <f t="shared" si="160"/>
        <v>1</v>
      </c>
      <c r="CT140" s="235">
        <f t="shared" si="160"/>
        <v>4090</v>
      </c>
      <c r="CU140" s="156">
        <v>55</v>
      </c>
      <c r="CV140" s="284" t="str">
        <f t="shared" si="161"/>
        <v>0</v>
      </c>
      <c r="CW140" s="284" t="str">
        <f t="shared" si="162"/>
        <v>0</v>
      </c>
      <c r="CX140" s="243">
        <f t="shared" si="163"/>
        <v>6.2450482360068982</v>
      </c>
      <c r="CY140" s="216" t="str">
        <f t="shared" si="164"/>
        <v>0</v>
      </c>
      <c r="CZ140" s="216" t="str">
        <f t="shared" si="165"/>
        <v>0</v>
      </c>
      <c r="DA140" s="243">
        <f t="shared" si="166"/>
        <v>5.1260472055391917</v>
      </c>
      <c r="DB140" s="306">
        <v>1</v>
      </c>
      <c r="DC140" s="306">
        <v>0</v>
      </c>
      <c r="DD140" s="306">
        <v>0</v>
      </c>
      <c r="DE140" s="306">
        <v>0</v>
      </c>
      <c r="DF140" s="306">
        <v>2</v>
      </c>
      <c r="DG140" s="306">
        <v>0</v>
      </c>
      <c r="DH140" s="306">
        <v>0</v>
      </c>
      <c r="DI140" s="306">
        <v>0</v>
      </c>
      <c r="DJ140" s="306">
        <v>0</v>
      </c>
      <c r="DK140" s="306">
        <v>32</v>
      </c>
      <c r="DL140" s="306">
        <f t="shared" si="167"/>
        <v>30</v>
      </c>
      <c r="DM140" s="306">
        <v>2</v>
      </c>
      <c r="DN140" s="306">
        <v>29</v>
      </c>
      <c r="DO140" s="306">
        <v>19</v>
      </c>
      <c r="DP140" s="306">
        <v>12</v>
      </c>
      <c r="DQ140" s="306">
        <v>20</v>
      </c>
      <c r="DR140" s="306">
        <v>19</v>
      </c>
      <c r="DS140" s="306">
        <v>12</v>
      </c>
      <c r="DT140" s="306">
        <v>20</v>
      </c>
      <c r="DU140" s="306">
        <v>2</v>
      </c>
      <c r="DV140" s="306">
        <v>1</v>
      </c>
      <c r="DW140" s="306">
        <v>0</v>
      </c>
      <c r="DX140" s="306">
        <v>1</v>
      </c>
      <c r="DY140" s="306">
        <v>1</v>
      </c>
      <c r="DZ140" s="306">
        <v>0</v>
      </c>
      <c r="EA140" s="306">
        <v>1</v>
      </c>
      <c r="EB140" s="306">
        <v>32</v>
      </c>
      <c r="EC140" s="306">
        <v>32</v>
      </c>
      <c r="ED140" s="342"/>
      <c r="EE140" s="342"/>
    </row>
    <row r="141" spans="1:138" x14ac:dyDescent="0.2">
      <c r="A141" s="12" t="s">
        <v>197</v>
      </c>
      <c r="B141" s="169">
        <v>136</v>
      </c>
      <c r="C141" s="12" t="s">
        <v>284</v>
      </c>
      <c r="D141" s="200">
        <v>1996</v>
      </c>
      <c r="E141" s="11"/>
      <c r="F141" s="169" t="s">
        <v>24</v>
      </c>
      <c r="G141" s="35">
        <v>1</v>
      </c>
      <c r="H141" s="201">
        <v>9</v>
      </c>
      <c r="I141" s="201" t="s">
        <v>22</v>
      </c>
      <c r="J141" s="115">
        <v>25496</v>
      </c>
      <c r="K141" s="115">
        <v>1050</v>
      </c>
      <c r="L141" s="157"/>
      <c r="M141" s="115">
        <v>1050</v>
      </c>
      <c r="N141" s="115">
        <f>71-1+1+1</f>
        <v>72</v>
      </c>
      <c r="O141" s="115">
        <f>136-4+2+2</f>
        <v>136</v>
      </c>
      <c r="P141" s="115">
        <v>72</v>
      </c>
      <c r="Q141" s="115">
        <v>96</v>
      </c>
      <c r="R141" s="228">
        <f>5355.7-169.9+87.7+75.1+6.2+2.1+2.1+2.5</f>
        <v>5361.5000000000009</v>
      </c>
      <c r="S141" s="230">
        <v>2765.6</v>
      </c>
      <c r="T141" s="115">
        <f t="shared" si="140"/>
        <v>70</v>
      </c>
      <c r="U141" s="203">
        <f t="shared" si="141"/>
        <v>5214.6000000000013</v>
      </c>
      <c r="V141" s="180">
        <f t="shared" si="141"/>
        <v>2674.52</v>
      </c>
      <c r="W141" s="115">
        <v>2</v>
      </c>
      <c r="X141" s="207">
        <v>146.9</v>
      </c>
      <c r="Y141" s="207">
        <v>91.08</v>
      </c>
      <c r="Z141" s="204"/>
      <c r="AA141" s="207"/>
      <c r="AB141" s="207"/>
      <c r="AC141" s="207">
        <f t="shared" si="142"/>
        <v>658.4</v>
      </c>
      <c r="AD141" s="248">
        <f t="shared" si="143"/>
        <v>0</v>
      </c>
      <c r="AE141" s="275"/>
      <c r="AF141" s="248"/>
      <c r="AG141" s="207">
        <v>658.4</v>
      </c>
      <c r="AH141" s="207"/>
      <c r="AI141" s="207">
        <f t="shared" si="144"/>
        <v>6019.9000000000005</v>
      </c>
      <c r="AJ141" s="170"/>
      <c r="AK141" s="170">
        <v>2</v>
      </c>
      <c r="AL141" s="170">
        <v>2</v>
      </c>
      <c r="AM141" s="170">
        <v>2</v>
      </c>
      <c r="AN141" s="170"/>
      <c r="AO141" s="170">
        <v>2</v>
      </c>
      <c r="AP141" s="170">
        <v>5014</v>
      </c>
      <c r="AQ141" s="170"/>
      <c r="AR141" s="170">
        <v>360</v>
      </c>
      <c r="AS141" s="170">
        <v>318</v>
      </c>
      <c r="AT141" s="170">
        <v>150</v>
      </c>
      <c r="AU141" s="170">
        <f t="shared" si="145"/>
        <v>11100</v>
      </c>
      <c r="AV141" s="170">
        <v>11100</v>
      </c>
      <c r="AW141" s="170"/>
      <c r="AX141" s="170"/>
      <c r="AY141" s="170">
        <v>260</v>
      </c>
      <c r="AZ141" s="170">
        <v>1050</v>
      </c>
      <c r="BA141" s="170">
        <v>826</v>
      </c>
      <c r="BB141" s="170">
        <v>32</v>
      </c>
      <c r="BC141" s="170">
        <v>8</v>
      </c>
      <c r="BD141" s="170">
        <v>195</v>
      </c>
      <c r="BE141" s="170">
        <v>408</v>
      </c>
      <c r="BF141" s="170">
        <v>1</v>
      </c>
      <c r="BG141" s="170">
        <v>11400</v>
      </c>
      <c r="BH141" s="170">
        <v>3270</v>
      </c>
      <c r="BI141" s="170">
        <v>90</v>
      </c>
      <c r="BJ141" s="115" t="str">
        <f t="shared" si="146"/>
        <v>0</v>
      </c>
      <c r="BK141" s="115" t="str">
        <f t="shared" si="147"/>
        <v>0</v>
      </c>
      <c r="BL141" s="115" t="str">
        <f t="shared" si="148"/>
        <v>0</v>
      </c>
      <c r="BM141" s="115">
        <f t="shared" si="149"/>
        <v>1</v>
      </c>
      <c r="BN141" s="115">
        <f t="shared" si="150"/>
        <v>5361.5000000000009</v>
      </c>
      <c r="BO141" s="115">
        <f t="shared" si="151"/>
        <v>2765.6</v>
      </c>
      <c r="BP141" s="115" t="str">
        <f t="shared" si="152"/>
        <v>0</v>
      </c>
      <c r="BQ141" s="115" t="str">
        <f t="shared" si="153"/>
        <v>0</v>
      </c>
      <c r="BR141" s="115" t="str">
        <f t="shared" si="154"/>
        <v>0</v>
      </c>
      <c r="BS141" s="115"/>
      <c r="BT141" s="115">
        <v>2</v>
      </c>
      <c r="BU141" s="115"/>
      <c r="BV141" s="115"/>
      <c r="BW141" s="115"/>
      <c r="BX141" s="115"/>
      <c r="BY141" s="253">
        <v>1697.5</v>
      </c>
      <c r="BZ141" s="253">
        <v>805.5</v>
      </c>
      <c r="CA141" s="354">
        <f>205.9+605.2-2.8*2</f>
        <v>805.5</v>
      </c>
      <c r="CB141" s="354">
        <f>2.8*2+32.6</f>
        <v>38.200000000000003</v>
      </c>
      <c r="CC141" s="354"/>
      <c r="CD141" s="354">
        <v>826.4</v>
      </c>
      <c r="CE141" s="354">
        <f>8.2+13.7</f>
        <v>21.9</v>
      </c>
      <c r="CF141" s="354"/>
      <c r="CG141" s="354"/>
      <c r="CH141" s="355">
        <v>5.5</v>
      </c>
      <c r="CI141" s="356">
        <f t="shared" si="131"/>
        <v>1697.5</v>
      </c>
      <c r="CJ141" s="356">
        <f t="shared" si="116"/>
        <v>805.5</v>
      </c>
      <c r="CK141" s="357">
        <v>1050</v>
      </c>
      <c r="CL141" s="358">
        <f t="shared" si="132"/>
        <v>2747.5</v>
      </c>
      <c r="CM141" s="205">
        <v>3161</v>
      </c>
      <c r="CN141" s="282">
        <f t="shared" si="155"/>
        <v>2111</v>
      </c>
      <c r="CO141" s="209">
        <f t="shared" si="156"/>
        <v>1</v>
      </c>
      <c r="CP141" s="235">
        <f t="shared" si="157"/>
        <v>11100</v>
      </c>
      <c r="CQ141" s="209" t="str">
        <f t="shared" si="158"/>
        <v>0</v>
      </c>
      <c r="CR141" s="235">
        <f t="shared" si="159"/>
        <v>0</v>
      </c>
      <c r="CS141" s="235">
        <f t="shared" si="160"/>
        <v>1</v>
      </c>
      <c r="CT141" s="235">
        <f t="shared" si="160"/>
        <v>11100</v>
      </c>
      <c r="CU141" s="156">
        <v>51</v>
      </c>
      <c r="CV141" s="284" t="str">
        <f t="shared" si="161"/>
        <v>0</v>
      </c>
      <c r="CW141" s="284" t="str">
        <f t="shared" si="162"/>
        <v>0</v>
      </c>
      <c r="CX141" s="243">
        <f t="shared" si="163"/>
        <v>2.7399048773664081</v>
      </c>
      <c r="CY141" s="216" t="str">
        <f t="shared" si="164"/>
        <v>0</v>
      </c>
      <c r="CZ141" s="216" t="str">
        <f t="shared" si="165"/>
        <v>0</v>
      </c>
      <c r="DA141" s="243">
        <f t="shared" si="166"/>
        <v>2.4402398710942039</v>
      </c>
      <c r="DB141" s="306">
        <v>1</v>
      </c>
      <c r="DC141" s="306">
        <v>0</v>
      </c>
      <c r="DD141" s="306">
        <v>0</v>
      </c>
      <c r="DE141" s="306">
        <v>0</v>
      </c>
      <c r="DF141" s="306">
        <v>2</v>
      </c>
      <c r="DG141" s="306">
        <v>0</v>
      </c>
      <c r="DH141" s="306">
        <v>0</v>
      </c>
      <c r="DI141" s="306">
        <v>0</v>
      </c>
      <c r="DJ141" s="306">
        <v>0</v>
      </c>
      <c r="DK141" s="306">
        <v>71</v>
      </c>
      <c r="DL141" s="306">
        <f t="shared" si="167"/>
        <v>68</v>
      </c>
      <c r="DM141" s="306">
        <v>3</v>
      </c>
      <c r="DN141" s="306">
        <v>45</v>
      </c>
      <c r="DO141" s="306">
        <v>14</v>
      </c>
      <c r="DP141" s="306">
        <v>98</v>
      </c>
      <c r="DQ141" s="306">
        <v>28</v>
      </c>
      <c r="DR141" s="306">
        <v>14</v>
      </c>
      <c r="DS141" s="306">
        <v>98</v>
      </c>
      <c r="DT141" s="306">
        <v>31</v>
      </c>
      <c r="DU141" s="306">
        <v>1</v>
      </c>
      <c r="DV141" s="306">
        <v>0</v>
      </c>
      <c r="DW141" s="306">
        <v>3</v>
      </c>
      <c r="DX141" s="306">
        <v>0</v>
      </c>
      <c r="DY141" s="306">
        <v>0</v>
      </c>
      <c r="DZ141" s="306">
        <v>3</v>
      </c>
      <c r="EA141" s="306">
        <v>0</v>
      </c>
      <c r="EB141" s="306">
        <v>71</v>
      </c>
      <c r="EC141" s="306">
        <f>71-7</f>
        <v>64</v>
      </c>
      <c r="ED141" s="342"/>
      <c r="EE141" s="342"/>
    </row>
    <row r="142" spans="1:138" x14ac:dyDescent="0.2">
      <c r="A142" s="12" t="s">
        <v>197</v>
      </c>
      <c r="B142" s="169">
        <v>137</v>
      </c>
      <c r="C142" s="12" t="s">
        <v>285</v>
      </c>
      <c r="D142" s="200">
        <v>1982</v>
      </c>
      <c r="E142" s="11"/>
      <c r="F142" s="169" t="s">
        <v>21</v>
      </c>
      <c r="G142" s="35">
        <v>1</v>
      </c>
      <c r="H142" s="201">
        <v>9</v>
      </c>
      <c r="I142" s="201" t="s">
        <v>19</v>
      </c>
      <c r="J142" s="115">
        <f>17996+17757</f>
        <v>35753</v>
      </c>
      <c r="K142" s="115">
        <f>769+689</f>
        <v>1458</v>
      </c>
      <c r="L142" s="157"/>
      <c r="M142" s="115">
        <v>1402</v>
      </c>
      <c r="N142" s="115">
        <v>134</v>
      </c>
      <c r="O142" s="115">
        <v>287</v>
      </c>
      <c r="P142" s="115">
        <v>134</v>
      </c>
      <c r="Q142" s="115">
        <v>215</v>
      </c>
      <c r="R142" s="228">
        <v>7087</v>
      </c>
      <c r="S142" s="230">
        <v>4028.6</v>
      </c>
      <c r="T142" s="115">
        <f t="shared" si="140"/>
        <v>132</v>
      </c>
      <c r="U142" s="203">
        <f t="shared" si="141"/>
        <v>6978</v>
      </c>
      <c r="V142" s="180">
        <f t="shared" si="141"/>
        <v>3961.02</v>
      </c>
      <c r="W142" s="115">
        <v>2</v>
      </c>
      <c r="X142" s="207">
        <v>109</v>
      </c>
      <c r="Y142" s="207">
        <v>67.58</v>
      </c>
      <c r="Z142" s="204"/>
      <c r="AA142" s="207"/>
      <c r="AB142" s="207"/>
      <c r="AC142" s="207">
        <f t="shared" si="142"/>
        <v>356.79999999999995</v>
      </c>
      <c r="AD142" s="248">
        <f t="shared" si="143"/>
        <v>356.79999999999995</v>
      </c>
      <c r="AE142" s="275"/>
      <c r="AF142" s="248">
        <f>189+60.2+16.5+33.2+57.9</f>
        <v>356.79999999999995</v>
      </c>
      <c r="AG142" s="207"/>
      <c r="AH142" s="207"/>
      <c r="AI142" s="207">
        <f t="shared" si="144"/>
        <v>7443.8</v>
      </c>
      <c r="AJ142" s="170"/>
      <c r="AK142" s="170">
        <f>2+2</f>
        <v>4</v>
      </c>
      <c r="AL142" s="170">
        <f>2+2</f>
        <v>4</v>
      </c>
      <c r="AM142" s="170">
        <f>2+2</f>
        <v>4</v>
      </c>
      <c r="AN142" s="170"/>
      <c r="AO142" s="170">
        <f>1+1</f>
        <v>2</v>
      </c>
      <c r="AP142" s="170">
        <v>7378</v>
      </c>
      <c r="AQ142" s="170"/>
      <c r="AR142" s="170">
        <f>650+350</f>
        <v>1000</v>
      </c>
      <c r="AS142" s="170">
        <f>296+0</f>
        <v>296</v>
      </c>
      <c r="AT142" s="170">
        <f>80+80</f>
        <v>160</v>
      </c>
      <c r="AU142" s="170">
        <f t="shared" si="145"/>
        <v>18840</v>
      </c>
      <c r="AV142" s="170">
        <f>9420+9420</f>
        <v>18840</v>
      </c>
      <c r="AW142" s="170"/>
      <c r="AX142" s="170"/>
      <c r="AY142" s="170">
        <f>264+0</f>
        <v>264</v>
      </c>
      <c r="AZ142" s="170">
        <f>660+651</f>
        <v>1311</v>
      </c>
      <c r="BA142" s="170">
        <f>450+440</f>
        <v>890</v>
      </c>
      <c r="BB142" s="170"/>
      <c r="BC142" s="170">
        <v>12</v>
      </c>
      <c r="BD142" s="170">
        <v>553</v>
      </c>
      <c r="BE142" s="170">
        <v>773</v>
      </c>
      <c r="BF142" s="170">
        <f>1+1</f>
        <v>2</v>
      </c>
      <c r="BG142" s="170">
        <v>22800</v>
      </c>
      <c r="BH142" s="170">
        <v>6540</v>
      </c>
      <c r="BI142" s="170">
        <v>180</v>
      </c>
      <c r="BJ142" s="115">
        <f t="shared" si="146"/>
        <v>1</v>
      </c>
      <c r="BK142" s="115">
        <f t="shared" si="147"/>
        <v>7087</v>
      </c>
      <c r="BL142" s="115">
        <f t="shared" si="148"/>
        <v>4028.6</v>
      </c>
      <c r="BM142" s="115" t="str">
        <f t="shared" si="149"/>
        <v>0</v>
      </c>
      <c r="BN142" s="115" t="str">
        <f t="shared" si="150"/>
        <v>0</v>
      </c>
      <c r="BO142" s="115" t="str">
        <f t="shared" si="151"/>
        <v>0</v>
      </c>
      <c r="BP142" s="115" t="str">
        <f t="shared" si="152"/>
        <v>0</v>
      </c>
      <c r="BQ142" s="115" t="str">
        <f t="shared" si="153"/>
        <v>0</v>
      </c>
      <c r="BR142" s="115" t="str">
        <f t="shared" si="154"/>
        <v>0</v>
      </c>
      <c r="BS142" s="115"/>
      <c r="BT142" s="115">
        <f>1+1</f>
        <v>2</v>
      </c>
      <c r="BU142" s="115">
        <f>BA142</f>
        <v>890</v>
      </c>
      <c r="BV142" s="115">
        <v>5704</v>
      </c>
      <c r="BW142" s="115"/>
      <c r="BX142" s="115">
        <f>AP142</f>
        <v>7378</v>
      </c>
      <c r="BY142" s="253">
        <v>2559.5</v>
      </c>
      <c r="BZ142" s="253">
        <v>1394.3</v>
      </c>
      <c r="CA142" s="354">
        <f>705.9-2.7*2+699.2-2.7*2</f>
        <v>1394.3</v>
      </c>
      <c r="CB142" s="354">
        <f>2.7*2+2.7*2</f>
        <v>10.8</v>
      </c>
      <c r="CC142" s="354"/>
      <c r="CD142" s="354">
        <f>517.8+545.6</f>
        <v>1063.4000000000001</v>
      </c>
      <c r="CE142" s="354">
        <f>14.1+13.4</f>
        <v>27.5</v>
      </c>
      <c r="CF142" s="354">
        <v>6.7</v>
      </c>
      <c r="CG142" s="354">
        <f>31.6+25.2</f>
        <v>56.8</v>
      </c>
      <c r="CH142" s="355"/>
      <c r="CI142" s="356">
        <f t="shared" si="131"/>
        <v>2559.5</v>
      </c>
      <c r="CJ142" s="356">
        <f t="shared" si="116"/>
        <v>1394.3</v>
      </c>
      <c r="CK142" s="357">
        <v>1311</v>
      </c>
      <c r="CL142" s="358">
        <f t="shared" si="132"/>
        <v>3870.5</v>
      </c>
      <c r="CM142" s="205">
        <v>4830</v>
      </c>
      <c r="CN142" s="282">
        <f t="shared" si="155"/>
        <v>3372</v>
      </c>
      <c r="CO142" s="209">
        <f t="shared" si="156"/>
        <v>1</v>
      </c>
      <c r="CP142" s="235">
        <f t="shared" si="157"/>
        <v>18840</v>
      </c>
      <c r="CQ142" s="209" t="str">
        <f t="shared" si="158"/>
        <v>0</v>
      </c>
      <c r="CR142" s="235">
        <f t="shared" si="159"/>
        <v>0</v>
      </c>
      <c r="CS142" s="235">
        <f t="shared" si="160"/>
        <v>1</v>
      </c>
      <c r="CT142" s="235">
        <f t="shared" si="160"/>
        <v>18840</v>
      </c>
      <c r="CU142" s="156">
        <v>61</v>
      </c>
      <c r="CV142" s="284" t="str">
        <f t="shared" si="161"/>
        <v>0</v>
      </c>
      <c r="CW142" s="284" t="str">
        <f t="shared" si="162"/>
        <v>0</v>
      </c>
      <c r="CX142" s="243">
        <f t="shared" si="163"/>
        <v>1.5380273740651897</v>
      </c>
      <c r="CY142" s="216" t="str">
        <f t="shared" si="164"/>
        <v>0</v>
      </c>
      <c r="CZ142" s="216" t="str">
        <f t="shared" si="165"/>
        <v>0</v>
      </c>
      <c r="DA142" s="243">
        <f t="shared" si="166"/>
        <v>6.2575566243047902</v>
      </c>
      <c r="DB142" s="306">
        <v>1</v>
      </c>
      <c r="DC142" s="306">
        <v>0</v>
      </c>
      <c r="DD142" s="306">
        <v>0</v>
      </c>
      <c r="DE142" s="306">
        <v>0</v>
      </c>
      <c r="DF142" s="306">
        <v>4</v>
      </c>
      <c r="DG142" s="306">
        <v>0</v>
      </c>
      <c r="DH142" s="306">
        <v>0</v>
      </c>
      <c r="DI142" s="306">
        <v>0</v>
      </c>
      <c r="DJ142" s="306">
        <v>0</v>
      </c>
      <c r="DK142" s="306">
        <v>132</v>
      </c>
      <c r="DL142" s="306">
        <f t="shared" si="167"/>
        <v>129</v>
      </c>
      <c r="DM142" s="306">
        <v>3</v>
      </c>
      <c r="DN142" s="306">
        <v>126</v>
      </c>
      <c r="DO142" s="306">
        <v>54</v>
      </c>
      <c r="DP142" s="306">
        <v>113</v>
      </c>
      <c r="DQ142" s="306">
        <v>87</v>
      </c>
      <c r="DR142" s="306">
        <v>54</v>
      </c>
      <c r="DS142" s="306">
        <v>113</v>
      </c>
      <c r="DT142" s="306">
        <v>87</v>
      </c>
      <c r="DU142" s="306">
        <v>3</v>
      </c>
      <c r="DV142" s="306">
        <v>1</v>
      </c>
      <c r="DW142" s="306">
        <v>2</v>
      </c>
      <c r="DX142" s="306">
        <v>2</v>
      </c>
      <c r="DY142" s="306">
        <v>1</v>
      </c>
      <c r="DZ142" s="306">
        <v>2</v>
      </c>
      <c r="EA142" s="306">
        <v>2</v>
      </c>
      <c r="EB142" s="306">
        <v>132</v>
      </c>
      <c r="EC142" s="306">
        <v>132</v>
      </c>
      <c r="ED142" s="342"/>
      <c r="EE142" s="342"/>
    </row>
    <row r="143" spans="1:138" x14ac:dyDescent="0.2">
      <c r="A143" s="12" t="s">
        <v>197</v>
      </c>
      <c r="B143" s="169">
        <v>138</v>
      </c>
      <c r="C143" s="12" t="s">
        <v>286</v>
      </c>
      <c r="D143" s="200">
        <v>1982</v>
      </c>
      <c r="E143" s="11"/>
      <c r="F143" s="169" t="s">
        <v>21</v>
      </c>
      <c r="G143" s="35">
        <v>1</v>
      </c>
      <c r="H143" s="201">
        <v>9</v>
      </c>
      <c r="I143" s="201" t="s">
        <v>19</v>
      </c>
      <c r="J143" s="115">
        <v>20107</v>
      </c>
      <c r="K143" s="115">
        <v>1022</v>
      </c>
      <c r="L143" s="157"/>
      <c r="M143" s="115">
        <v>733</v>
      </c>
      <c r="N143" s="115">
        <v>63</v>
      </c>
      <c r="O143" s="115">
        <v>143</v>
      </c>
      <c r="P143" s="115">
        <v>63</v>
      </c>
      <c r="Q143" s="115">
        <v>111</v>
      </c>
      <c r="R143" s="228">
        <v>3379.5</v>
      </c>
      <c r="S143" s="230">
        <v>1979.6</v>
      </c>
      <c r="T143" s="115">
        <f t="shared" si="140"/>
        <v>60</v>
      </c>
      <c r="U143" s="203">
        <f t="shared" si="141"/>
        <v>3208.6</v>
      </c>
      <c r="V143" s="180">
        <f t="shared" si="141"/>
        <v>1873.6399999999999</v>
      </c>
      <c r="W143" s="115">
        <v>3</v>
      </c>
      <c r="X143" s="207">
        <v>170.9</v>
      </c>
      <c r="Y143" s="207">
        <v>105.96</v>
      </c>
      <c r="Z143" s="204"/>
      <c r="AA143" s="207"/>
      <c r="AB143" s="207"/>
      <c r="AC143" s="207">
        <f t="shared" si="142"/>
        <v>589.9</v>
      </c>
      <c r="AD143" s="248">
        <f t="shared" si="143"/>
        <v>0</v>
      </c>
      <c r="AE143" s="275"/>
      <c r="AF143" s="248"/>
      <c r="AG143" s="207">
        <v>589.9</v>
      </c>
      <c r="AH143" s="207"/>
      <c r="AI143" s="207">
        <f t="shared" si="144"/>
        <v>3969.4</v>
      </c>
      <c r="AJ143" s="170"/>
      <c r="AK143" s="170">
        <v>2</v>
      </c>
      <c r="AL143" s="170">
        <v>2</v>
      </c>
      <c r="AM143" s="170">
        <v>2</v>
      </c>
      <c r="AN143" s="170"/>
      <c r="AO143" s="170">
        <v>2</v>
      </c>
      <c r="AP143" s="170">
        <v>4574</v>
      </c>
      <c r="AQ143" s="170"/>
      <c r="AR143" s="170">
        <v>420</v>
      </c>
      <c r="AS143" s="170">
        <v>246</v>
      </c>
      <c r="AT143" s="170">
        <v>80</v>
      </c>
      <c r="AU143" s="170">
        <f t="shared" si="145"/>
        <v>9420</v>
      </c>
      <c r="AV143" s="170"/>
      <c r="AW143" s="170">
        <v>9420</v>
      </c>
      <c r="AX143" s="170"/>
      <c r="AY143" s="170">
        <v>216</v>
      </c>
      <c r="AZ143" s="170">
        <v>889</v>
      </c>
      <c r="BA143" s="170">
        <v>492</v>
      </c>
      <c r="BB143" s="170"/>
      <c r="BC143" s="170">
        <v>6</v>
      </c>
      <c r="BD143" s="170">
        <v>192</v>
      </c>
      <c r="BE143" s="170">
        <v>372</v>
      </c>
      <c r="BF143" s="170">
        <v>1</v>
      </c>
      <c r="BG143" s="170">
        <v>11400</v>
      </c>
      <c r="BH143" s="170">
        <v>3270</v>
      </c>
      <c r="BI143" s="170">
        <v>90</v>
      </c>
      <c r="BJ143" s="115">
        <f t="shared" si="146"/>
        <v>1</v>
      </c>
      <c r="BK143" s="115">
        <f t="shared" si="147"/>
        <v>3379.5</v>
      </c>
      <c r="BL143" s="115">
        <f t="shared" si="148"/>
        <v>1979.6</v>
      </c>
      <c r="BM143" s="115" t="str">
        <f t="shared" si="149"/>
        <v>0</v>
      </c>
      <c r="BN143" s="115" t="str">
        <f t="shared" si="150"/>
        <v>0</v>
      </c>
      <c r="BO143" s="115" t="str">
        <f t="shared" si="151"/>
        <v>0</v>
      </c>
      <c r="BP143" s="115" t="str">
        <f t="shared" si="152"/>
        <v>0</v>
      </c>
      <c r="BQ143" s="115" t="str">
        <f t="shared" si="153"/>
        <v>0</v>
      </c>
      <c r="BR143" s="115" t="str">
        <f t="shared" si="154"/>
        <v>0</v>
      </c>
      <c r="BS143" s="115"/>
      <c r="BT143" s="115">
        <v>1</v>
      </c>
      <c r="BU143" s="115">
        <f>BA143</f>
        <v>492</v>
      </c>
      <c r="BV143" s="115">
        <v>2965</v>
      </c>
      <c r="BW143" s="115"/>
      <c r="BX143" s="115">
        <f>AP143</f>
        <v>4574</v>
      </c>
      <c r="BY143" s="253">
        <v>1207.4000000000001</v>
      </c>
      <c r="BZ143" s="253">
        <v>666.5</v>
      </c>
      <c r="CA143" s="354">
        <f>671.9-2.7*2</f>
        <v>666.5</v>
      </c>
      <c r="CB143" s="354">
        <f>2.7*2</f>
        <v>5.4</v>
      </c>
      <c r="CC143" s="354"/>
      <c r="CD143" s="354">
        <v>492.6</v>
      </c>
      <c r="CE143" s="354">
        <v>17.5</v>
      </c>
      <c r="CF143" s="354"/>
      <c r="CG143" s="354">
        <v>25.400000000000002</v>
      </c>
      <c r="CH143" s="355"/>
      <c r="CI143" s="356">
        <f t="shared" si="131"/>
        <v>1207.4000000000001</v>
      </c>
      <c r="CJ143" s="356">
        <f t="shared" si="116"/>
        <v>666.5</v>
      </c>
      <c r="CK143" s="357">
        <v>889</v>
      </c>
      <c r="CL143" s="358">
        <f t="shared" si="132"/>
        <v>2096.4</v>
      </c>
      <c r="CM143" s="205">
        <v>2317</v>
      </c>
      <c r="CN143" s="282">
        <f t="shared" si="155"/>
        <v>1295</v>
      </c>
      <c r="CO143" s="209" t="str">
        <f t="shared" si="156"/>
        <v>0</v>
      </c>
      <c r="CP143" s="235">
        <f t="shared" si="157"/>
        <v>0</v>
      </c>
      <c r="CQ143" s="209">
        <f t="shared" si="158"/>
        <v>1</v>
      </c>
      <c r="CR143" s="235">
        <f t="shared" si="159"/>
        <v>9420</v>
      </c>
      <c r="CS143" s="235">
        <f t="shared" si="160"/>
        <v>1</v>
      </c>
      <c r="CT143" s="235">
        <f t="shared" si="160"/>
        <v>9420</v>
      </c>
      <c r="CU143" s="156">
        <v>58</v>
      </c>
      <c r="CV143" s="284" t="str">
        <f t="shared" si="161"/>
        <v>0</v>
      </c>
      <c r="CW143" s="284" t="str">
        <f t="shared" si="162"/>
        <v>0</v>
      </c>
      <c r="CX143" s="243">
        <f t="shared" si="163"/>
        <v>5.0569610889184791</v>
      </c>
      <c r="CY143" s="216" t="str">
        <f t="shared" si="164"/>
        <v>0</v>
      </c>
      <c r="CZ143" s="216" t="str">
        <f t="shared" si="165"/>
        <v>0</v>
      </c>
      <c r="DA143" s="243">
        <f t="shared" si="166"/>
        <v>4.3054365899128335</v>
      </c>
      <c r="DB143" s="306">
        <v>1</v>
      </c>
      <c r="DC143" s="306">
        <v>0</v>
      </c>
      <c r="DD143" s="306">
        <v>0</v>
      </c>
      <c r="DE143" s="306">
        <v>0</v>
      </c>
      <c r="DF143" s="306">
        <v>2</v>
      </c>
      <c r="DG143" s="306">
        <v>0</v>
      </c>
      <c r="DH143" s="306">
        <v>0</v>
      </c>
      <c r="DI143" s="306">
        <v>0</v>
      </c>
      <c r="DJ143" s="306">
        <v>0</v>
      </c>
      <c r="DK143" s="306">
        <v>64</v>
      </c>
      <c r="DL143" s="306">
        <f t="shared" si="167"/>
        <v>61</v>
      </c>
      <c r="DM143" s="306">
        <v>3</v>
      </c>
      <c r="DN143" s="306">
        <v>59</v>
      </c>
      <c r="DO143" s="306">
        <v>28</v>
      </c>
      <c r="DP143" s="306">
        <v>50</v>
      </c>
      <c r="DQ143" s="306">
        <v>45</v>
      </c>
      <c r="DR143" s="306">
        <v>28</v>
      </c>
      <c r="DS143" s="306">
        <v>50</v>
      </c>
      <c r="DT143" s="306">
        <v>45</v>
      </c>
      <c r="DU143" s="306">
        <v>3</v>
      </c>
      <c r="DV143" s="306">
        <v>1</v>
      </c>
      <c r="DW143" s="306">
        <v>0</v>
      </c>
      <c r="DX143" s="306">
        <v>2</v>
      </c>
      <c r="DY143" s="306">
        <v>1</v>
      </c>
      <c r="DZ143" s="306">
        <v>0</v>
      </c>
      <c r="EA143" s="306">
        <v>2</v>
      </c>
      <c r="EB143" s="306">
        <v>64</v>
      </c>
      <c r="EC143" s="306">
        <v>64</v>
      </c>
      <c r="ED143" s="342"/>
      <c r="EE143" s="342"/>
    </row>
    <row r="144" spans="1:138" x14ac:dyDescent="0.2">
      <c r="A144" s="12" t="s">
        <v>197</v>
      </c>
      <c r="B144" s="169">
        <v>139</v>
      </c>
      <c r="C144" s="12" t="s">
        <v>287</v>
      </c>
      <c r="D144" s="212">
        <v>1996</v>
      </c>
      <c r="E144" s="11"/>
      <c r="F144" s="169" t="s">
        <v>24</v>
      </c>
      <c r="G144" s="35">
        <v>1</v>
      </c>
      <c r="H144" s="201">
        <v>9</v>
      </c>
      <c r="I144" s="201" t="s">
        <v>22</v>
      </c>
      <c r="J144" s="115">
        <f>21845+11244+4469</f>
        <v>37558</v>
      </c>
      <c r="K144" s="115">
        <f>898+607+367</f>
        <v>1872</v>
      </c>
      <c r="L144" s="115"/>
      <c r="M144" s="115">
        <f>898+607+367</f>
        <v>1872</v>
      </c>
      <c r="N144" s="115">
        <v>95</v>
      </c>
      <c r="O144" s="115">
        <v>220</v>
      </c>
      <c r="P144" s="115">
        <v>95</v>
      </c>
      <c r="Q144" s="115">
        <v>132</v>
      </c>
      <c r="R144" s="228">
        <f>8477.92-1-7-5.8+4+2+1.8</f>
        <v>8471.92</v>
      </c>
      <c r="S144" s="230">
        <v>4584.5999999999995</v>
      </c>
      <c r="T144" s="115">
        <f t="shared" si="140"/>
        <v>89</v>
      </c>
      <c r="U144" s="203">
        <f t="shared" si="141"/>
        <v>7884.72</v>
      </c>
      <c r="V144" s="180">
        <f t="shared" si="141"/>
        <v>4220.5399999999991</v>
      </c>
      <c r="W144" s="115">
        <v>6</v>
      </c>
      <c r="X144" s="207">
        <v>587.20000000000005</v>
      </c>
      <c r="Y144" s="207">
        <v>364.06</v>
      </c>
      <c r="Z144" s="204"/>
      <c r="AA144" s="207"/>
      <c r="AB144" s="207"/>
      <c r="AC144" s="207">
        <f t="shared" si="142"/>
        <v>1319.6</v>
      </c>
      <c r="AD144" s="248">
        <f t="shared" si="143"/>
        <v>0</v>
      </c>
      <c r="AE144" s="275"/>
      <c r="AF144" s="275"/>
      <c r="AG144" s="207">
        <f>573.3+746.3</f>
        <v>1319.6</v>
      </c>
      <c r="AH144" s="207"/>
      <c r="AI144" s="207">
        <f t="shared" si="144"/>
        <v>9791.52</v>
      </c>
      <c r="AJ144" s="170"/>
      <c r="AK144" s="170">
        <f>2+2+1</f>
        <v>5</v>
      </c>
      <c r="AL144" s="170">
        <f>2+2+1</f>
        <v>5</v>
      </c>
      <c r="AM144" s="170">
        <f>2+2+1</f>
        <v>5</v>
      </c>
      <c r="AN144" s="170"/>
      <c r="AO144" s="170">
        <f>2+2+1</f>
        <v>5</v>
      </c>
      <c r="AP144" s="170">
        <f>5014+4326+887</f>
        <v>10227</v>
      </c>
      <c r="AQ144" s="170"/>
      <c r="AR144" s="170">
        <f>360+200+280</f>
        <v>840</v>
      </c>
      <c r="AS144" s="170">
        <f>318+257+194</f>
        <v>769</v>
      </c>
      <c r="AT144" s="170">
        <f>150+84+24</f>
        <v>258</v>
      </c>
      <c r="AU144" s="170">
        <f t="shared" si="145"/>
        <v>15847</v>
      </c>
      <c r="AV144" s="170">
        <f>11100+2511+2236</f>
        <v>15847</v>
      </c>
      <c r="AW144" s="170"/>
      <c r="AX144" s="170">
        <f>2464+649</f>
        <v>3113</v>
      </c>
      <c r="AY144" s="170">
        <f>260+188+144</f>
        <v>592</v>
      </c>
      <c r="AZ144" s="170">
        <f>898+607+367</f>
        <v>1872</v>
      </c>
      <c r="BA144" s="170">
        <f>701+422+269</f>
        <v>1392</v>
      </c>
      <c r="BB144" s="170">
        <f>18+24+10</f>
        <v>52</v>
      </c>
      <c r="BC144" s="170">
        <f>10+10</f>
        <v>20</v>
      </c>
      <c r="BD144" s="170">
        <f>288+60</f>
        <v>348</v>
      </c>
      <c r="BE144" s="170">
        <v>544</v>
      </c>
      <c r="BF144" s="170">
        <v>3</v>
      </c>
      <c r="BG144" s="170">
        <f>11400+10134+3167</f>
        <v>24701</v>
      </c>
      <c r="BH144" s="170">
        <f>3270+2906+908</f>
        <v>7084</v>
      </c>
      <c r="BI144" s="170">
        <f>90+80+55</f>
        <v>225</v>
      </c>
      <c r="BJ144" s="115" t="str">
        <f t="shared" si="146"/>
        <v>0</v>
      </c>
      <c r="BK144" s="115" t="str">
        <f t="shared" si="147"/>
        <v>0</v>
      </c>
      <c r="BL144" s="115" t="str">
        <f t="shared" si="148"/>
        <v>0</v>
      </c>
      <c r="BM144" s="115">
        <f t="shared" si="149"/>
        <v>1</v>
      </c>
      <c r="BN144" s="115">
        <f t="shared" si="150"/>
        <v>8471.92</v>
      </c>
      <c r="BO144" s="115">
        <f t="shared" si="151"/>
        <v>4584.5999999999995</v>
      </c>
      <c r="BP144" s="115" t="str">
        <f t="shared" si="152"/>
        <v>0</v>
      </c>
      <c r="BQ144" s="115" t="str">
        <f t="shared" si="153"/>
        <v>0</v>
      </c>
      <c r="BR144" s="115" t="str">
        <f t="shared" si="154"/>
        <v>0</v>
      </c>
      <c r="BS144" s="115"/>
      <c r="BT144" s="115">
        <v>5</v>
      </c>
      <c r="BU144" s="115"/>
      <c r="BV144" s="115"/>
      <c r="BW144" s="115"/>
      <c r="BX144" s="115"/>
      <c r="BY144" s="253">
        <v>2741.4</v>
      </c>
      <c r="BZ144" s="253">
        <v>1291.4000000000001</v>
      </c>
      <c r="CA144" s="354">
        <f>511.8+148+73.6+558</f>
        <v>1291.4000000000001</v>
      </c>
      <c r="CB144" s="354">
        <f>18+16.2+23.8</f>
        <v>58</v>
      </c>
      <c r="CC144" s="354"/>
      <c r="CD144" s="354">
        <f>422.1+269.1+385.1+315.7</f>
        <v>1392.0000000000002</v>
      </c>
      <c r="CE144" s="354"/>
      <c r="CF144" s="354"/>
      <c r="CG144" s="354"/>
      <c r="CH144" s="355"/>
      <c r="CI144" s="356">
        <f t="shared" si="131"/>
        <v>2741.4000000000005</v>
      </c>
      <c r="CJ144" s="356">
        <f t="shared" si="116"/>
        <v>1291.4000000000001</v>
      </c>
      <c r="CK144" s="357">
        <v>1872</v>
      </c>
      <c r="CL144" s="358">
        <f t="shared" si="132"/>
        <v>4613.4000000000005</v>
      </c>
      <c r="CM144" s="205">
        <v>2571</v>
      </c>
      <c r="CN144" s="282">
        <f t="shared" si="155"/>
        <v>699</v>
      </c>
      <c r="CO144" s="209">
        <f t="shared" si="156"/>
        <v>1</v>
      </c>
      <c r="CP144" s="235">
        <f t="shared" si="157"/>
        <v>15847</v>
      </c>
      <c r="CQ144" s="209" t="str">
        <f t="shared" si="158"/>
        <v>0</v>
      </c>
      <c r="CR144" s="235">
        <f t="shared" si="159"/>
        <v>0</v>
      </c>
      <c r="CS144" s="235">
        <f t="shared" si="160"/>
        <v>1</v>
      </c>
      <c r="CT144" s="235">
        <f t="shared" si="160"/>
        <v>15847</v>
      </c>
      <c r="CU144" s="156">
        <v>49</v>
      </c>
      <c r="CV144" s="284" t="str">
        <f t="shared" si="161"/>
        <v>0</v>
      </c>
      <c r="CW144" s="284" t="str">
        <f t="shared" si="162"/>
        <v>0</v>
      </c>
      <c r="CX144" s="243">
        <f t="shared" si="163"/>
        <v>6.9311324941689731</v>
      </c>
      <c r="CY144" s="216" t="str">
        <f t="shared" si="164"/>
        <v>0</v>
      </c>
      <c r="CZ144" s="216" t="str">
        <f t="shared" si="165"/>
        <v>0</v>
      </c>
      <c r="DA144" s="243">
        <f t="shared" si="166"/>
        <v>5.9970259980064382</v>
      </c>
      <c r="DB144" s="306">
        <v>1</v>
      </c>
      <c r="DC144" s="306">
        <v>0</v>
      </c>
      <c r="DD144" s="306">
        <v>0</v>
      </c>
      <c r="DE144" s="306">
        <v>0</v>
      </c>
      <c r="DF144" s="306">
        <v>6</v>
      </c>
      <c r="DG144" s="306">
        <v>0</v>
      </c>
      <c r="DH144" s="306">
        <v>0</v>
      </c>
      <c r="DI144" s="306">
        <v>0</v>
      </c>
      <c r="DJ144" s="306">
        <v>0</v>
      </c>
      <c r="DK144" s="306">
        <v>96</v>
      </c>
      <c r="DL144" s="306">
        <f t="shared" si="167"/>
        <v>89</v>
      </c>
      <c r="DM144" s="306">
        <v>7</v>
      </c>
      <c r="DN144" s="306">
        <v>57</v>
      </c>
      <c r="DO144" s="306">
        <v>23</v>
      </c>
      <c r="DP144" s="306">
        <v>116</v>
      </c>
      <c r="DQ144" s="306">
        <v>51</v>
      </c>
      <c r="DR144" s="306">
        <v>23</v>
      </c>
      <c r="DS144" s="306">
        <v>117</v>
      </c>
      <c r="DT144" s="306">
        <v>62</v>
      </c>
      <c r="DU144" s="306">
        <v>4</v>
      </c>
      <c r="DV144" s="306">
        <v>2</v>
      </c>
      <c r="DW144" s="306">
        <v>2</v>
      </c>
      <c r="DX144" s="306">
        <v>4</v>
      </c>
      <c r="DY144" s="306">
        <v>2</v>
      </c>
      <c r="DZ144" s="306">
        <v>1</v>
      </c>
      <c r="EA144" s="306">
        <v>5</v>
      </c>
      <c r="EB144" s="306">
        <v>96</v>
      </c>
      <c r="EC144" s="306">
        <v>96</v>
      </c>
      <c r="ED144" s="342"/>
      <c r="EE144" s="342"/>
    </row>
    <row r="145" spans="1:135" x14ac:dyDescent="0.2">
      <c r="A145" s="14" t="s">
        <v>203</v>
      </c>
      <c r="B145" s="169">
        <v>140</v>
      </c>
      <c r="C145" s="12" t="s">
        <v>288</v>
      </c>
      <c r="D145" s="200">
        <v>1986</v>
      </c>
      <c r="E145" s="11"/>
      <c r="F145" s="206" t="s">
        <v>24</v>
      </c>
      <c r="G145" s="35">
        <v>1</v>
      </c>
      <c r="H145" s="201">
        <v>9</v>
      </c>
      <c r="I145" s="201" t="s">
        <v>22</v>
      </c>
      <c r="J145" s="115">
        <v>10400</v>
      </c>
      <c r="K145" s="115">
        <v>396</v>
      </c>
      <c r="L145" s="157"/>
      <c r="M145" s="115">
        <v>405</v>
      </c>
      <c r="N145" s="115">
        <v>35</v>
      </c>
      <c r="O145" s="115">
        <v>106</v>
      </c>
      <c r="P145" s="115">
        <v>35</v>
      </c>
      <c r="Q145" s="115">
        <v>71</v>
      </c>
      <c r="R145" s="228">
        <f>2385.6+2.4</f>
        <v>2388</v>
      </c>
      <c r="S145" s="230">
        <v>1509.6</v>
      </c>
      <c r="T145" s="115">
        <f t="shared" si="140"/>
        <v>31</v>
      </c>
      <c r="U145" s="203">
        <f t="shared" si="141"/>
        <v>2139.6</v>
      </c>
      <c r="V145" s="180">
        <f t="shared" si="141"/>
        <v>1355.59</v>
      </c>
      <c r="W145" s="115">
        <v>4</v>
      </c>
      <c r="X145" s="207">
        <v>248.4</v>
      </c>
      <c r="Y145" s="207">
        <v>154.01</v>
      </c>
      <c r="Z145" s="204"/>
      <c r="AA145" s="207"/>
      <c r="AB145" s="207"/>
      <c r="AC145" s="207">
        <f t="shared" si="142"/>
        <v>0</v>
      </c>
      <c r="AD145" s="248">
        <f t="shared" si="143"/>
        <v>0</v>
      </c>
      <c r="AE145" s="275"/>
      <c r="AF145" s="275"/>
      <c r="AG145" s="207"/>
      <c r="AH145" s="207"/>
      <c r="AI145" s="207">
        <f t="shared" si="144"/>
        <v>2388</v>
      </c>
      <c r="AJ145" s="170"/>
      <c r="AK145" s="170">
        <v>1</v>
      </c>
      <c r="AL145" s="170">
        <v>1</v>
      </c>
      <c r="AM145" s="170">
        <v>1</v>
      </c>
      <c r="AN145" s="170"/>
      <c r="AO145" s="170">
        <v>1</v>
      </c>
      <c r="AP145" s="170">
        <v>2740</v>
      </c>
      <c r="AQ145" s="170"/>
      <c r="AR145" s="170">
        <v>310</v>
      </c>
      <c r="AS145" s="170">
        <v>168</v>
      </c>
      <c r="AT145" s="170">
        <v>75</v>
      </c>
      <c r="AU145" s="170">
        <f t="shared" si="145"/>
        <v>3090</v>
      </c>
      <c r="AV145" s="170"/>
      <c r="AW145" s="170">
        <v>3090</v>
      </c>
      <c r="AX145" s="170">
        <v>970</v>
      </c>
      <c r="AY145" s="170">
        <v>112</v>
      </c>
      <c r="AZ145" s="170">
        <v>378</v>
      </c>
      <c r="BA145" s="170">
        <v>378</v>
      </c>
      <c r="BB145" s="170">
        <v>18</v>
      </c>
      <c r="BC145" s="170">
        <v>21</v>
      </c>
      <c r="BD145" s="170">
        <v>116</v>
      </c>
      <c r="BE145" s="170">
        <v>212</v>
      </c>
      <c r="BF145" s="170">
        <v>1</v>
      </c>
      <c r="BG145" s="170">
        <v>3800</v>
      </c>
      <c r="BH145" s="170">
        <v>1635</v>
      </c>
      <c r="BI145" s="170">
        <v>45</v>
      </c>
      <c r="BJ145" s="115" t="str">
        <f t="shared" si="146"/>
        <v>0</v>
      </c>
      <c r="BK145" s="115" t="str">
        <f t="shared" si="147"/>
        <v>0</v>
      </c>
      <c r="BL145" s="115" t="str">
        <f t="shared" si="148"/>
        <v>0</v>
      </c>
      <c r="BM145" s="115">
        <f t="shared" si="149"/>
        <v>1</v>
      </c>
      <c r="BN145" s="115">
        <f t="shared" si="150"/>
        <v>2388</v>
      </c>
      <c r="BO145" s="115">
        <f t="shared" si="151"/>
        <v>1509.6</v>
      </c>
      <c r="BP145" s="115" t="str">
        <f t="shared" si="152"/>
        <v>0</v>
      </c>
      <c r="BQ145" s="115" t="str">
        <f t="shared" si="153"/>
        <v>0</v>
      </c>
      <c r="BR145" s="115" t="str">
        <f t="shared" si="154"/>
        <v>0</v>
      </c>
      <c r="BS145" s="115"/>
      <c r="BT145" s="115">
        <v>2</v>
      </c>
      <c r="BU145" s="115"/>
      <c r="BV145" s="115"/>
      <c r="BW145" s="115"/>
      <c r="BX145" s="115"/>
      <c r="BY145" s="253">
        <v>818.4</v>
      </c>
      <c r="BZ145" s="253">
        <v>388.4</v>
      </c>
      <c r="CA145" s="354">
        <f>158+230.4</f>
        <v>388.4</v>
      </c>
      <c r="CB145" s="354">
        <f>3.3+16.9</f>
        <v>20.2</v>
      </c>
      <c r="CC145" s="354"/>
      <c r="CD145" s="354">
        <f>378*0+378.2</f>
        <v>378.2</v>
      </c>
      <c r="CE145" s="354">
        <v>27.099999999999998</v>
      </c>
      <c r="CF145" s="354"/>
      <c r="CG145" s="354">
        <v>4.5</v>
      </c>
      <c r="CH145" s="355"/>
      <c r="CI145" s="356">
        <f t="shared" si="131"/>
        <v>818.4</v>
      </c>
      <c r="CJ145" s="356">
        <f t="shared" si="116"/>
        <v>388.4</v>
      </c>
      <c r="CK145" s="357">
        <v>378</v>
      </c>
      <c r="CL145" s="358">
        <f t="shared" si="132"/>
        <v>1196.4000000000001</v>
      </c>
      <c r="CM145" s="205">
        <v>920</v>
      </c>
      <c r="CN145" s="282">
        <f t="shared" si="155"/>
        <v>524</v>
      </c>
      <c r="CO145" s="209" t="str">
        <f t="shared" si="156"/>
        <v>0</v>
      </c>
      <c r="CP145" s="235">
        <f t="shared" si="157"/>
        <v>0</v>
      </c>
      <c r="CQ145" s="209">
        <f t="shared" si="158"/>
        <v>1</v>
      </c>
      <c r="CR145" s="235">
        <f t="shared" si="159"/>
        <v>3090</v>
      </c>
      <c r="CS145" s="235">
        <f t="shared" si="160"/>
        <v>1</v>
      </c>
      <c r="CT145" s="235">
        <f t="shared" si="160"/>
        <v>3090</v>
      </c>
      <c r="CU145" s="156">
        <v>54</v>
      </c>
      <c r="CV145" s="284" t="str">
        <f t="shared" si="161"/>
        <v>0</v>
      </c>
      <c r="CW145" s="284" t="str">
        <f t="shared" si="162"/>
        <v>0</v>
      </c>
      <c r="CX145" s="243">
        <f t="shared" si="163"/>
        <v>10.402010050251256</v>
      </c>
      <c r="CY145" s="216" t="str">
        <f t="shared" si="164"/>
        <v>0</v>
      </c>
      <c r="CZ145" s="216" t="str">
        <f t="shared" si="165"/>
        <v>0</v>
      </c>
      <c r="DA145" s="243">
        <f t="shared" si="166"/>
        <v>10.402010050251256</v>
      </c>
      <c r="DB145" s="306">
        <v>1</v>
      </c>
      <c r="DC145" s="306">
        <v>0</v>
      </c>
      <c r="DD145" s="306">
        <v>0</v>
      </c>
      <c r="DE145" s="306">
        <v>0</v>
      </c>
      <c r="DF145" s="306">
        <v>2</v>
      </c>
      <c r="DG145" s="306">
        <v>0</v>
      </c>
      <c r="DH145" s="306">
        <v>0</v>
      </c>
      <c r="DI145" s="306">
        <v>0</v>
      </c>
      <c r="DJ145" s="306">
        <v>0</v>
      </c>
      <c r="DK145" s="306">
        <v>35</v>
      </c>
      <c r="DL145" s="306">
        <f t="shared" si="167"/>
        <v>32</v>
      </c>
      <c r="DM145" s="306">
        <v>3</v>
      </c>
      <c r="DN145" s="306">
        <v>31</v>
      </c>
      <c r="DO145" s="306">
        <v>15</v>
      </c>
      <c r="DP145" s="306">
        <v>20</v>
      </c>
      <c r="DQ145" s="306">
        <v>15</v>
      </c>
      <c r="DR145" s="306">
        <v>15</v>
      </c>
      <c r="DS145" s="306">
        <v>20</v>
      </c>
      <c r="DT145" s="306">
        <v>15</v>
      </c>
      <c r="DU145" s="306">
        <v>2</v>
      </c>
      <c r="DV145" s="306">
        <v>2</v>
      </c>
      <c r="DW145" s="306">
        <v>3</v>
      </c>
      <c r="DX145" s="306">
        <v>2</v>
      </c>
      <c r="DY145" s="306">
        <v>2</v>
      </c>
      <c r="DZ145" s="306">
        <v>3</v>
      </c>
      <c r="EA145" s="306">
        <v>2</v>
      </c>
      <c r="EB145" s="306">
        <v>35</v>
      </c>
      <c r="EC145" s="306">
        <v>35</v>
      </c>
      <c r="ED145" s="342"/>
      <c r="EE145" s="342"/>
    </row>
    <row r="146" spans="1:135" x14ac:dyDescent="0.2">
      <c r="A146" s="14" t="s">
        <v>203</v>
      </c>
      <c r="B146" s="169">
        <v>132</v>
      </c>
      <c r="C146" s="12" t="s">
        <v>289</v>
      </c>
      <c r="D146" s="200">
        <v>1971</v>
      </c>
      <c r="E146" s="11"/>
      <c r="F146" s="169" t="s">
        <v>20</v>
      </c>
      <c r="G146" s="35">
        <v>1</v>
      </c>
      <c r="H146" s="201">
        <v>5</v>
      </c>
      <c r="I146" s="201" t="s">
        <v>22</v>
      </c>
      <c r="J146" s="115">
        <v>8980</v>
      </c>
      <c r="K146" s="115">
        <v>665</v>
      </c>
      <c r="L146" s="157">
        <v>782</v>
      </c>
      <c r="M146" s="115"/>
      <c r="N146" s="115">
        <v>59</v>
      </c>
      <c r="O146" s="115">
        <v>112</v>
      </c>
      <c r="P146" s="115">
        <v>59</v>
      </c>
      <c r="Q146" s="115">
        <v>100</v>
      </c>
      <c r="R146" s="228">
        <f>2524.68+0.04</f>
        <v>2524.7199999999998</v>
      </c>
      <c r="S146" s="230">
        <v>1718.12</v>
      </c>
      <c r="T146" s="115">
        <f t="shared" si="117"/>
        <v>45</v>
      </c>
      <c r="U146" s="203">
        <f t="shared" si="118"/>
        <v>1973.7099999999998</v>
      </c>
      <c r="V146" s="180">
        <f t="shared" si="118"/>
        <v>1372.4499999999998</v>
      </c>
      <c r="W146" s="115">
        <v>14</v>
      </c>
      <c r="X146" s="207">
        <v>551.01</v>
      </c>
      <c r="Y146" s="207">
        <v>345.67</v>
      </c>
      <c r="Z146" s="204"/>
      <c r="AA146" s="207"/>
      <c r="AB146" s="207"/>
      <c r="AC146" s="207">
        <f t="shared" si="119"/>
        <v>58</v>
      </c>
      <c r="AD146" s="248">
        <f t="shared" si="120"/>
        <v>58</v>
      </c>
      <c r="AE146" s="275"/>
      <c r="AF146" s="248">
        <v>58</v>
      </c>
      <c r="AG146" s="207"/>
      <c r="AH146" s="207"/>
      <c r="AI146" s="207">
        <f t="shared" si="121"/>
        <v>2582.7199999999998</v>
      </c>
      <c r="AJ146" s="170"/>
      <c r="AK146" s="170"/>
      <c r="AL146" s="170">
        <v>3</v>
      </c>
      <c r="AM146" s="170"/>
      <c r="AN146" s="170"/>
      <c r="AO146" s="170">
        <v>1</v>
      </c>
      <c r="AP146" s="170">
        <v>2400</v>
      </c>
      <c r="AQ146" s="170"/>
      <c r="AR146" s="170">
        <v>350</v>
      </c>
      <c r="AS146" s="170">
        <v>264</v>
      </c>
      <c r="AT146" s="170">
        <v>45</v>
      </c>
      <c r="AU146" s="170">
        <f t="shared" si="107"/>
        <v>2550</v>
      </c>
      <c r="AV146" s="170"/>
      <c r="AW146" s="170">
        <v>2550</v>
      </c>
      <c r="AX146" s="170">
        <v>1050</v>
      </c>
      <c r="AY146" s="170">
        <v>128</v>
      </c>
      <c r="AZ146" s="170">
        <v>651</v>
      </c>
      <c r="BA146" s="170">
        <v>651</v>
      </c>
      <c r="BB146" s="170">
        <v>16</v>
      </c>
      <c r="BC146" s="170">
        <v>8</v>
      </c>
      <c r="BD146" s="170">
        <v>175</v>
      </c>
      <c r="BE146" s="170">
        <v>295</v>
      </c>
      <c r="BF146" s="170"/>
      <c r="BG146" s="170">
        <v>3000</v>
      </c>
      <c r="BH146" s="170">
        <v>60</v>
      </c>
      <c r="BI146" s="170"/>
      <c r="BJ146" s="115" t="str">
        <f t="shared" si="122"/>
        <v>0</v>
      </c>
      <c r="BK146" s="115" t="str">
        <f t="shared" si="123"/>
        <v>0</v>
      </c>
      <c r="BL146" s="115" t="str">
        <f t="shared" si="124"/>
        <v>0</v>
      </c>
      <c r="BM146" s="115">
        <f t="shared" si="125"/>
        <v>1</v>
      </c>
      <c r="BN146" s="115">
        <f t="shared" si="126"/>
        <v>2524.7199999999998</v>
      </c>
      <c r="BO146" s="115">
        <f t="shared" si="127"/>
        <v>1718.12</v>
      </c>
      <c r="BP146" s="115" t="str">
        <f t="shared" si="128"/>
        <v>0</v>
      </c>
      <c r="BQ146" s="115" t="str">
        <f t="shared" si="129"/>
        <v>0</v>
      </c>
      <c r="BR146" s="115" t="str">
        <f t="shared" si="130"/>
        <v>0</v>
      </c>
      <c r="BS146" s="115"/>
      <c r="BT146" s="115"/>
      <c r="BU146" s="115">
        <f t="shared" si="115"/>
        <v>651</v>
      </c>
      <c r="BV146" s="115">
        <v>1882</v>
      </c>
      <c r="BW146" s="115"/>
      <c r="BX146" s="115"/>
      <c r="BY146" s="253">
        <v>855.81</v>
      </c>
      <c r="BZ146" s="253">
        <v>205.11</v>
      </c>
      <c r="CA146" s="354">
        <v>205.11</v>
      </c>
      <c r="CB146" s="354"/>
      <c r="CC146" s="354"/>
      <c r="CD146" s="354">
        <f>651*0+650.7</f>
        <v>650.70000000000005</v>
      </c>
      <c r="CE146" s="354"/>
      <c r="CF146" s="354"/>
      <c r="CG146" s="354"/>
      <c r="CH146" s="355"/>
      <c r="CI146" s="356">
        <f t="shared" si="131"/>
        <v>855.81000000000006</v>
      </c>
      <c r="CJ146" s="356">
        <f t="shared" si="116"/>
        <v>205.11</v>
      </c>
      <c r="CK146" s="357">
        <v>651</v>
      </c>
      <c r="CL146" s="358">
        <f t="shared" si="132"/>
        <v>1506.81</v>
      </c>
      <c r="CM146" s="205">
        <v>2362</v>
      </c>
      <c r="CN146" s="282">
        <f t="shared" si="133"/>
        <v>1697</v>
      </c>
      <c r="CO146" s="209" t="str">
        <f t="shared" si="108"/>
        <v>0</v>
      </c>
      <c r="CP146" s="235">
        <f t="shared" si="109"/>
        <v>0</v>
      </c>
      <c r="CQ146" s="209">
        <f t="shared" si="114"/>
        <v>1</v>
      </c>
      <c r="CR146" s="235">
        <f t="shared" si="110"/>
        <v>2550</v>
      </c>
      <c r="CS146" s="235">
        <f t="shared" si="111"/>
        <v>1</v>
      </c>
      <c r="CT146" s="235">
        <f t="shared" si="111"/>
        <v>2550</v>
      </c>
      <c r="CU146" s="156">
        <v>50</v>
      </c>
      <c r="CV146" s="284" t="str">
        <f t="shared" si="134"/>
        <v>0</v>
      </c>
      <c r="CW146" s="284" t="str">
        <f t="shared" si="135"/>
        <v>0</v>
      </c>
      <c r="CX146" s="243">
        <f t="shared" si="136"/>
        <v>21.824598371304543</v>
      </c>
      <c r="CY146" s="216" t="str">
        <f t="shared" si="137"/>
        <v>0</v>
      </c>
      <c r="CZ146" s="216" t="str">
        <f t="shared" si="138"/>
        <v>0</v>
      </c>
      <c r="DA146" s="243">
        <f t="shared" si="139"/>
        <v>23.580179036055014</v>
      </c>
      <c r="DB146" s="306">
        <v>1</v>
      </c>
      <c r="DC146" s="306">
        <v>0</v>
      </c>
      <c r="DD146" s="306">
        <v>0</v>
      </c>
      <c r="DE146" s="306">
        <v>0</v>
      </c>
      <c r="DF146" s="306">
        <v>1</v>
      </c>
      <c r="DG146" s="306">
        <v>0</v>
      </c>
      <c r="DH146" s="306">
        <v>0</v>
      </c>
      <c r="DI146" s="306">
        <v>0</v>
      </c>
      <c r="DJ146" s="306">
        <v>0</v>
      </c>
      <c r="DK146" s="306">
        <v>60</v>
      </c>
      <c r="DL146" s="306">
        <f t="shared" si="112"/>
        <v>47</v>
      </c>
      <c r="DM146" s="306">
        <v>13</v>
      </c>
      <c r="DN146" s="306">
        <v>46</v>
      </c>
      <c r="DO146" s="306">
        <v>23</v>
      </c>
      <c r="DP146" s="306">
        <v>37</v>
      </c>
      <c r="DQ146" s="306">
        <v>23</v>
      </c>
      <c r="DR146" s="306">
        <v>23</v>
      </c>
      <c r="DS146" s="306">
        <v>37</v>
      </c>
      <c r="DT146" s="306">
        <v>23</v>
      </c>
      <c r="DU146" s="306">
        <v>13</v>
      </c>
      <c r="DV146" s="306">
        <v>5</v>
      </c>
      <c r="DW146" s="306">
        <v>10</v>
      </c>
      <c r="DX146" s="306">
        <v>5</v>
      </c>
      <c r="DY146" s="306">
        <v>5</v>
      </c>
      <c r="DZ146" s="306">
        <v>10</v>
      </c>
      <c r="EA146" s="306">
        <v>5</v>
      </c>
      <c r="EB146" s="306">
        <v>60</v>
      </c>
      <c r="EC146" s="306">
        <v>60</v>
      </c>
      <c r="ED146" s="342"/>
      <c r="EE146" s="342"/>
    </row>
    <row r="147" spans="1:135" x14ac:dyDescent="0.2">
      <c r="A147" s="12" t="s">
        <v>197</v>
      </c>
      <c r="B147" s="169">
        <v>141</v>
      </c>
      <c r="C147" s="12" t="s">
        <v>290</v>
      </c>
      <c r="D147" s="200">
        <v>1957</v>
      </c>
      <c r="E147" s="11"/>
      <c r="F147" s="169" t="s">
        <v>207</v>
      </c>
      <c r="G147" s="35">
        <v>1</v>
      </c>
      <c r="H147" s="201">
        <v>5</v>
      </c>
      <c r="I147" s="201" t="s">
        <v>19</v>
      </c>
      <c r="J147" s="115">
        <v>28220</v>
      </c>
      <c r="K147" s="115">
        <v>1697</v>
      </c>
      <c r="L147" s="157">
        <v>2045</v>
      </c>
      <c r="M147" s="115"/>
      <c r="N147" s="115">
        <v>76</v>
      </c>
      <c r="O147" s="115">
        <v>181</v>
      </c>
      <c r="P147" s="115">
        <v>76</v>
      </c>
      <c r="Q147" s="115">
        <v>143</v>
      </c>
      <c r="R147" s="228">
        <f>5130.87+0.03-8.8</f>
        <v>5122.0999999999995</v>
      </c>
      <c r="S147" s="230">
        <v>2932.68</v>
      </c>
      <c r="T147" s="115">
        <f t="shared" si="117"/>
        <v>72</v>
      </c>
      <c r="U147" s="203">
        <f t="shared" si="118"/>
        <v>4856.9699999999993</v>
      </c>
      <c r="V147" s="180">
        <f t="shared" si="118"/>
        <v>2768.2999999999997</v>
      </c>
      <c r="W147" s="115">
        <v>4</v>
      </c>
      <c r="X147" s="207">
        <v>265.13</v>
      </c>
      <c r="Y147" s="207">
        <v>164.38</v>
      </c>
      <c r="Z147" s="204"/>
      <c r="AA147" s="207"/>
      <c r="AB147" s="207"/>
      <c r="AC147" s="207">
        <f t="shared" si="119"/>
        <v>853.7</v>
      </c>
      <c r="AD147" s="248">
        <f t="shared" si="120"/>
        <v>853.7</v>
      </c>
      <c r="AE147" s="275"/>
      <c r="AF147" s="248">
        <v>853.7</v>
      </c>
      <c r="AG147" s="207"/>
      <c r="AH147" s="207"/>
      <c r="AI147" s="207">
        <f t="shared" si="121"/>
        <v>5975.7999999999993</v>
      </c>
      <c r="AJ147" s="170"/>
      <c r="AK147" s="170"/>
      <c r="AL147" s="170">
        <v>4</v>
      </c>
      <c r="AM147" s="170"/>
      <c r="AN147" s="170"/>
      <c r="AO147" s="170">
        <v>1</v>
      </c>
      <c r="AP147" s="170">
        <v>4000</v>
      </c>
      <c r="AQ147" s="170"/>
      <c r="AR147" s="170">
        <v>472</v>
      </c>
      <c r="AS147" s="170">
        <v>259</v>
      </c>
      <c r="AT147" s="170">
        <v>128</v>
      </c>
      <c r="AU147" s="170">
        <f t="shared" si="107"/>
        <v>5279</v>
      </c>
      <c r="AV147" s="170"/>
      <c r="AW147" s="170">
        <v>5279</v>
      </c>
      <c r="AX147" s="170"/>
      <c r="AY147" s="170">
        <v>92</v>
      </c>
      <c r="AZ147" s="170">
        <v>1670</v>
      </c>
      <c r="BA147" s="170">
        <v>1697</v>
      </c>
      <c r="BB147" s="170">
        <v>16</v>
      </c>
      <c r="BC147" s="170">
        <v>8</v>
      </c>
      <c r="BD147" s="170">
        <v>260</v>
      </c>
      <c r="BE147" s="170">
        <v>76</v>
      </c>
      <c r="BF147" s="170"/>
      <c r="BG147" s="170">
        <v>6800</v>
      </c>
      <c r="BH147" s="170">
        <v>120</v>
      </c>
      <c r="BI147" s="170"/>
      <c r="BJ147" s="115">
        <f t="shared" si="122"/>
        <v>1</v>
      </c>
      <c r="BK147" s="115">
        <f t="shared" si="123"/>
        <v>5122.0999999999995</v>
      </c>
      <c r="BL147" s="115">
        <f t="shared" si="124"/>
        <v>2932.68</v>
      </c>
      <c r="BM147" s="115" t="str">
        <f t="shared" si="125"/>
        <v>0</v>
      </c>
      <c r="BN147" s="115" t="str">
        <f t="shared" si="126"/>
        <v>0</v>
      </c>
      <c r="BO147" s="115" t="str">
        <f t="shared" si="127"/>
        <v>0</v>
      </c>
      <c r="BP147" s="115" t="str">
        <f t="shared" si="128"/>
        <v>0</v>
      </c>
      <c r="BQ147" s="115" t="str">
        <f t="shared" si="129"/>
        <v>0</v>
      </c>
      <c r="BR147" s="115" t="str">
        <f t="shared" si="130"/>
        <v>0</v>
      </c>
      <c r="BS147" s="115"/>
      <c r="BT147" s="115">
        <v>2</v>
      </c>
      <c r="BU147" s="115">
        <f>BA147</f>
        <v>1697</v>
      </c>
      <c r="BV147" s="115">
        <v>5272</v>
      </c>
      <c r="BW147" s="115"/>
      <c r="BX147" s="115">
        <f>AP147</f>
        <v>4000</v>
      </c>
      <c r="BY147" s="253">
        <v>2247.8200000000002</v>
      </c>
      <c r="BZ147" s="253">
        <v>562.70000000000005</v>
      </c>
      <c r="CA147" s="354">
        <v>562.70000000000005</v>
      </c>
      <c r="CB147" s="354"/>
      <c r="CC147" s="354"/>
      <c r="CD147" s="354">
        <v>1669.8</v>
      </c>
      <c r="CE147" s="354">
        <v>15.32</v>
      </c>
      <c r="CF147" s="354"/>
      <c r="CG147" s="354"/>
      <c r="CH147" s="355"/>
      <c r="CI147" s="356">
        <f t="shared" si="131"/>
        <v>2247.8199999999997</v>
      </c>
      <c r="CJ147" s="356">
        <f t="shared" si="116"/>
        <v>562.70000000000005</v>
      </c>
      <c r="CK147" s="357">
        <v>1670</v>
      </c>
      <c r="CL147" s="358">
        <f t="shared" si="132"/>
        <v>3917.8199999999997</v>
      </c>
      <c r="CM147" s="205">
        <v>4710</v>
      </c>
      <c r="CN147" s="282">
        <f t="shared" si="133"/>
        <v>3013</v>
      </c>
      <c r="CO147" s="209" t="str">
        <f t="shared" si="108"/>
        <v>0</v>
      </c>
      <c r="CP147" s="235">
        <f t="shared" si="109"/>
        <v>0</v>
      </c>
      <c r="CQ147" s="209">
        <f t="shared" si="114"/>
        <v>1</v>
      </c>
      <c r="CR147" s="235">
        <f t="shared" si="110"/>
        <v>5279</v>
      </c>
      <c r="CS147" s="235">
        <f t="shared" si="111"/>
        <v>1</v>
      </c>
      <c r="CT147" s="235">
        <f t="shared" si="111"/>
        <v>5279</v>
      </c>
      <c r="CU147" s="156">
        <v>48</v>
      </c>
      <c r="CV147" s="284" t="str">
        <f t="shared" si="134"/>
        <v>0</v>
      </c>
      <c r="CW147" s="284" t="str">
        <f t="shared" si="135"/>
        <v>0</v>
      </c>
      <c r="CX147" s="243">
        <f t="shared" si="136"/>
        <v>5.1761972628414128</v>
      </c>
      <c r="CY147" s="216" t="str">
        <f t="shared" si="137"/>
        <v>0</v>
      </c>
      <c r="CZ147" s="216" t="str">
        <f t="shared" si="138"/>
        <v>0</v>
      </c>
      <c r="DA147" s="243">
        <f t="shared" si="139"/>
        <v>18.722681481977311</v>
      </c>
      <c r="DB147" s="306">
        <v>1</v>
      </c>
      <c r="DC147" s="306">
        <v>0</v>
      </c>
      <c r="DD147" s="306">
        <v>0</v>
      </c>
      <c r="DE147" s="306">
        <v>0</v>
      </c>
      <c r="DF147" s="306">
        <v>1</v>
      </c>
      <c r="DG147" s="306">
        <v>0</v>
      </c>
      <c r="DH147" s="306">
        <v>0</v>
      </c>
      <c r="DI147" s="306">
        <v>0</v>
      </c>
      <c r="DJ147" s="306">
        <v>0</v>
      </c>
      <c r="DK147" s="306">
        <v>76</v>
      </c>
      <c r="DL147" s="306">
        <f t="shared" si="112"/>
        <v>75</v>
      </c>
      <c r="DM147" s="306">
        <v>1</v>
      </c>
      <c r="DN147" s="306">
        <v>50</v>
      </c>
      <c r="DO147" s="306">
        <v>32</v>
      </c>
      <c r="DP147" s="306">
        <v>41</v>
      </c>
      <c r="DQ147" s="306">
        <v>32</v>
      </c>
      <c r="DR147" s="306">
        <v>32</v>
      </c>
      <c r="DS147" s="306">
        <v>41</v>
      </c>
      <c r="DT147" s="306">
        <v>32</v>
      </c>
      <c r="DU147" s="306">
        <v>0</v>
      </c>
      <c r="DV147" s="306">
        <v>1</v>
      </c>
      <c r="DW147" s="306">
        <v>2</v>
      </c>
      <c r="DX147" s="306">
        <v>1</v>
      </c>
      <c r="DY147" s="306">
        <v>1</v>
      </c>
      <c r="DZ147" s="306">
        <v>2</v>
      </c>
      <c r="EA147" s="306">
        <v>1</v>
      </c>
      <c r="EB147" s="306">
        <v>76</v>
      </c>
      <c r="EC147" s="306">
        <f>76-2</f>
        <v>74</v>
      </c>
      <c r="ED147" s="342"/>
      <c r="EE147" s="342"/>
    </row>
    <row r="148" spans="1:135" x14ac:dyDescent="0.2">
      <c r="A148" s="12" t="s">
        <v>197</v>
      </c>
      <c r="B148" s="169">
        <v>142</v>
      </c>
      <c r="C148" s="12" t="s">
        <v>291</v>
      </c>
      <c r="D148" s="200">
        <v>1961</v>
      </c>
      <c r="E148" s="11"/>
      <c r="F148" s="169" t="s">
        <v>13</v>
      </c>
      <c r="G148" s="35">
        <v>1</v>
      </c>
      <c r="H148" s="201">
        <v>5</v>
      </c>
      <c r="I148" s="201" t="s">
        <v>19</v>
      </c>
      <c r="J148" s="115">
        <v>20116</v>
      </c>
      <c r="K148" s="115">
        <v>1413</v>
      </c>
      <c r="L148" s="157">
        <v>1638</v>
      </c>
      <c r="M148" s="115"/>
      <c r="N148" s="115">
        <f>110-1</f>
        <v>109</v>
      </c>
      <c r="O148" s="115">
        <f>212-2</f>
        <v>210</v>
      </c>
      <c r="P148" s="115">
        <v>109</v>
      </c>
      <c r="Q148" s="115">
        <v>182</v>
      </c>
      <c r="R148" s="228">
        <f>4674.22-41.9</f>
        <v>4632.3200000000006</v>
      </c>
      <c r="S148" s="230">
        <v>2848.53</v>
      </c>
      <c r="T148" s="115">
        <f t="shared" si="117"/>
        <v>96</v>
      </c>
      <c r="U148" s="203">
        <f t="shared" si="118"/>
        <v>4084.0600000000004</v>
      </c>
      <c r="V148" s="180">
        <f t="shared" si="118"/>
        <v>2508.61</v>
      </c>
      <c r="W148" s="115">
        <v>13</v>
      </c>
      <c r="X148" s="207">
        <v>548.26</v>
      </c>
      <c r="Y148" s="207">
        <v>339.92</v>
      </c>
      <c r="Z148" s="204"/>
      <c r="AA148" s="207"/>
      <c r="AB148" s="207"/>
      <c r="AC148" s="207">
        <f t="shared" si="119"/>
        <v>416.59999999999997</v>
      </c>
      <c r="AD148" s="248">
        <f t="shared" si="120"/>
        <v>0</v>
      </c>
      <c r="AE148" s="275"/>
      <c r="AF148" s="248">
        <f>29.9-29.9</f>
        <v>0</v>
      </c>
      <c r="AG148" s="207">
        <f>386.7+29.9</f>
        <v>416.59999999999997</v>
      </c>
      <c r="AH148" s="207"/>
      <c r="AI148" s="207">
        <f t="shared" si="121"/>
        <v>5048.920000000001</v>
      </c>
      <c r="AJ148" s="170"/>
      <c r="AK148" s="170"/>
      <c r="AL148" s="170">
        <v>6</v>
      </c>
      <c r="AM148" s="170"/>
      <c r="AN148" s="170">
        <v>1</v>
      </c>
      <c r="AO148" s="170">
        <v>1</v>
      </c>
      <c r="AP148" s="170">
        <v>3809</v>
      </c>
      <c r="AQ148" s="170"/>
      <c r="AR148" s="170">
        <v>374</v>
      </c>
      <c r="AS148" s="170">
        <v>393</v>
      </c>
      <c r="AT148" s="170">
        <v>108</v>
      </c>
      <c r="AU148" s="170">
        <f t="shared" si="107"/>
        <v>5183</v>
      </c>
      <c r="AV148" s="170"/>
      <c r="AW148" s="170">
        <f>5340-30-30-37-30-30</f>
        <v>5183</v>
      </c>
      <c r="AX148" s="170"/>
      <c r="AY148" s="170">
        <v>315</v>
      </c>
      <c r="AZ148" s="170">
        <v>1359</v>
      </c>
      <c r="BA148" s="170">
        <v>1413</v>
      </c>
      <c r="BB148" s="170">
        <v>24</v>
      </c>
      <c r="BC148" s="170">
        <v>12</v>
      </c>
      <c r="BD148" s="170">
        <f>120-3-3-4-3-3</f>
        <v>104</v>
      </c>
      <c r="BE148" s="170">
        <f>119-5</f>
        <v>114</v>
      </c>
      <c r="BF148" s="170">
        <v>1</v>
      </c>
      <c r="BG148" s="200">
        <f>600-5*(600/119)</f>
        <v>574.7899159663865</v>
      </c>
      <c r="BH148" s="170">
        <v>120</v>
      </c>
      <c r="BI148" s="170"/>
      <c r="BJ148" s="115">
        <f t="shared" si="122"/>
        <v>1</v>
      </c>
      <c r="BK148" s="115">
        <f t="shared" si="123"/>
        <v>4632.3200000000006</v>
      </c>
      <c r="BL148" s="115">
        <f t="shared" si="124"/>
        <v>2848.53</v>
      </c>
      <c r="BM148" s="115" t="str">
        <f t="shared" si="125"/>
        <v>0</v>
      </c>
      <c r="BN148" s="115" t="str">
        <f t="shared" si="126"/>
        <v>0</v>
      </c>
      <c r="BO148" s="115" t="str">
        <f t="shared" si="127"/>
        <v>0</v>
      </c>
      <c r="BP148" s="115" t="str">
        <f t="shared" si="128"/>
        <v>0</v>
      </c>
      <c r="BQ148" s="115" t="str">
        <f t="shared" si="129"/>
        <v>0</v>
      </c>
      <c r="BR148" s="115" t="str">
        <f t="shared" si="130"/>
        <v>0</v>
      </c>
      <c r="BS148" s="115"/>
      <c r="BT148" s="115">
        <v>2</v>
      </c>
      <c r="BU148" s="115">
        <f>BA148</f>
        <v>1413</v>
      </c>
      <c r="BV148" s="115">
        <v>4692</v>
      </c>
      <c r="BW148" s="115">
        <v>18</v>
      </c>
      <c r="BX148" s="115">
        <f>AP148</f>
        <v>3809</v>
      </c>
      <c r="BY148" s="253">
        <v>1808</v>
      </c>
      <c r="BZ148" s="253">
        <v>366.7</v>
      </c>
      <c r="CA148" s="354">
        <f>183.1+183.6</f>
        <v>366.7</v>
      </c>
      <c r="CB148" s="354"/>
      <c r="CC148" s="354"/>
      <c r="CD148" s="354">
        <f>699.8+702</f>
        <v>1401.8</v>
      </c>
      <c r="CE148" s="354">
        <v>8.3000000000000007</v>
      </c>
      <c r="CF148" s="354"/>
      <c r="CG148" s="354"/>
      <c r="CH148" s="355">
        <f>14.6+7.6+6.6+2.4</f>
        <v>31.199999999999996</v>
      </c>
      <c r="CI148" s="356">
        <f t="shared" si="131"/>
        <v>1808</v>
      </c>
      <c r="CJ148" s="356">
        <f t="shared" si="116"/>
        <v>366.7</v>
      </c>
      <c r="CK148" s="357">
        <v>1359</v>
      </c>
      <c r="CL148" s="358">
        <f t="shared" si="132"/>
        <v>3167</v>
      </c>
      <c r="CM148" s="205">
        <v>2954</v>
      </c>
      <c r="CN148" s="282">
        <f t="shared" si="133"/>
        <v>1541</v>
      </c>
      <c r="CO148" s="209" t="str">
        <f t="shared" si="108"/>
        <v>0</v>
      </c>
      <c r="CP148" s="235">
        <f t="shared" si="109"/>
        <v>0</v>
      </c>
      <c r="CQ148" s="209">
        <f t="shared" si="114"/>
        <v>1</v>
      </c>
      <c r="CR148" s="235">
        <f t="shared" si="110"/>
        <v>5183</v>
      </c>
      <c r="CS148" s="235">
        <f t="shared" si="111"/>
        <v>1</v>
      </c>
      <c r="CT148" s="235">
        <f t="shared" si="111"/>
        <v>5183</v>
      </c>
      <c r="CU148" s="156">
        <v>40</v>
      </c>
      <c r="CV148" s="284" t="str">
        <f t="shared" si="134"/>
        <v>0</v>
      </c>
      <c r="CW148" s="284" t="str">
        <f t="shared" si="135"/>
        <v>0</v>
      </c>
      <c r="CX148" s="243">
        <f t="shared" si="136"/>
        <v>11.835538132080684</v>
      </c>
      <c r="CY148" s="216" t="str">
        <f t="shared" si="137"/>
        <v>0</v>
      </c>
      <c r="CZ148" s="216" t="str">
        <f t="shared" si="138"/>
        <v>0</v>
      </c>
      <c r="DA148" s="243">
        <f t="shared" si="139"/>
        <v>10.858955974743111</v>
      </c>
      <c r="DB148" s="306">
        <v>1</v>
      </c>
      <c r="DC148" s="306">
        <v>0</v>
      </c>
      <c r="DD148" s="306">
        <v>0</v>
      </c>
      <c r="DE148" s="306">
        <v>0</v>
      </c>
      <c r="DF148" s="306">
        <v>2</v>
      </c>
      <c r="DG148" s="306">
        <v>0</v>
      </c>
      <c r="DH148" s="306">
        <v>0</v>
      </c>
      <c r="DI148" s="306">
        <v>0</v>
      </c>
      <c r="DJ148" s="306">
        <v>0</v>
      </c>
      <c r="DK148" s="306">
        <v>110</v>
      </c>
      <c r="DL148" s="306">
        <f t="shared" si="112"/>
        <v>97</v>
      </c>
      <c r="DM148" s="306">
        <v>13</v>
      </c>
      <c r="DN148" s="306">
        <v>68</v>
      </c>
      <c r="DO148" s="306">
        <v>43</v>
      </c>
      <c r="DP148" s="306">
        <v>76</v>
      </c>
      <c r="DQ148" s="306">
        <v>43</v>
      </c>
      <c r="DR148" s="306">
        <v>43</v>
      </c>
      <c r="DS148" s="306">
        <v>76</v>
      </c>
      <c r="DT148" s="306">
        <v>43</v>
      </c>
      <c r="DU148" s="306">
        <v>6</v>
      </c>
      <c r="DV148" s="306">
        <v>6</v>
      </c>
      <c r="DW148" s="306">
        <v>5</v>
      </c>
      <c r="DX148" s="306">
        <v>6</v>
      </c>
      <c r="DY148" s="306">
        <v>6</v>
      </c>
      <c r="DZ148" s="306">
        <v>5</v>
      </c>
      <c r="EA148" s="306">
        <v>6</v>
      </c>
      <c r="EB148" s="306">
        <v>110</v>
      </c>
      <c r="EC148" s="306">
        <v>110</v>
      </c>
      <c r="ED148" s="342"/>
      <c r="EE148" s="342"/>
    </row>
    <row r="149" spans="1:135" x14ac:dyDescent="0.2">
      <c r="A149" s="12" t="s">
        <v>197</v>
      </c>
      <c r="B149" s="169">
        <v>143</v>
      </c>
      <c r="C149" s="12" t="s">
        <v>292</v>
      </c>
      <c r="D149" s="169">
        <v>1981</v>
      </c>
      <c r="E149" s="11"/>
      <c r="F149" s="169">
        <v>84</v>
      </c>
      <c r="G149" s="35">
        <v>1</v>
      </c>
      <c r="H149" s="201">
        <v>9</v>
      </c>
      <c r="I149" s="201" t="s">
        <v>22</v>
      </c>
      <c r="J149" s="115">
        <f>23646+15304</f>
        <v>38950</v>
      </c>
      <c r="K149" s="115">
        <f>990+657</f>
        <v>1647</v>
      </c>
      <c r="L149" s="157"/>
      <c r="M149" s="115">
        <f>924+604</f>
        <v>1528</v>
      </c>
      <c r="N149" s="115">
        <v>179</v>
      </c>
      <c r="O149" s="115">
        <v>408</v>
      </c>
      <c r="P149" s="115">
        <v>179</v>
      </c>
      <c r="Q149" s="115">
        <v>374</v>
      </c>
      <c r="R149" s="228">
        <v>9666.7000000000007</v>
      </c>
      <c r="S149" s="230">
        <v>5782.2999999999993</v>
      </c>
      <c r="T149" s="115">
        <f t="shared" si="117"/>
        <v>165</v>
      </c>
      <c r="U149" s="203">
        <f t="shared" si="118"/>
        <v>8912</v>
      </c>
      <c r="V149" s="180">
        <f t="shared" si="118"/>
        <v>5314.3899999999994</v>
      </c>
      <c r="W149" s="115">
        <v>14</v>
      </c>
      <c r="X149" s="207">
        <v>754.7</v>
      </c>
      <c r="Y149" s="207">
        <v>467.91</v>
      </c>
      <c r="Z149" s="204"/>
      <c r="AA149" s="207"/>
      <c r="AB149" s="207"/>
      <c r="AC149" s="207">
        <f t="shared" si="119"/>
        <v>18.600000000000001</v>
      </c>
      <c r="AD149" s="248">
        <f t="shared" si="120"/>
        <v>18.600000000000001</v>
      </c>
      <c r="AE149" s="275"/>
      <c r="AF149" s="275">
        <f>10.5+8.1</f>
        <v>18.600000000000001</v>
      </c>
      <c r="AG149" s="207"/>
      <c r="AH149" s="207"/>
      <c r="AI149" s="207">
        <f t="shared" si="121"/>
        <v>9685.3000000000011</v>
      </c>
      <c r="AJ149" s="170"/>
      <c r="AK149" s="170">
        <f>3+2</f>
        <v>5</v>
      </c>
      <c r="AL149" s="170">
        <f>3+2</f>
        <v>5</v>
      </c>
      <c r="AM149" s="170">
        <f>3+2</f>
        <v>5</v>
      </c>
      <c r="AN149" s="170"/>
      <c r="AO149" s="170">
        <f>4+3</f>
        <v>7</v>
      </c>
      <c r="AP149" s="170">
        <f>6300+4360</f>
        <v>10660</v>
      </c>
      <c r="AQ149" s="170">
        <v>27</v>
      </c>
      <c r="AR149" s="170">
        <f>686+600</f>
        <v>1286</v>
      </c>
      <c r="AS149" s="170">
        <f>350+250</f>
        <v>600</v>
      </c>
      <c r="AT149" s="170">
        <f>108+72</f>
        <v>180</v>
      </c>
      <c r="AU149" s="170">
        <f t="shared" si="107"/>
        <v>20230</v>
      </c>
      <c r="AV149" s="170"/>
      <c r="AW149" s="170">
        <v>20230</v>
      </c>
      <c r="AX149" s="170">
        <f>2520+1680</f>
        <v>4200</v>
      </c>
      <c r="AY149" s="170">
        <f>305+201</f>
        <v>506</v>
      </c>
      <c r="AZ149" s="170">
        <f>924+604</f>
        <v>1528</v>
      </c>
      <c r="BA149" s="170">
        <f>816+487</f>
        <v>1303</v>
      </c>
      <c r="BB149" s="170">
        <f>54+36</f>
        <v>90</v>
      </c>
      <c r="BC149" s="170">
        <f>6+4</f>
        <v>10</v>
      </c>
      <c r="BD149" s="170">
        <f>428+321</f>
        <v>749</v>
      </c>
      <c r="BE149" s="170">
        <f>680+510</f>
        <v>1190</v>
      </c>
      <c r="BF149" s="170">
        <v>2</v>
      </c>
      <c r="BG149" s="170">
        <v>17850</v>
      </c>
      <c r="BH149" s="170">
        <v>8175</v>
      </c>
      <c r="BI149" s="170">
        <v>225</v>
      </c>
      <c r="BJ149" s="115" t="str">
        <f t="shared" si="122"/>
        <v>0</v>
      </c>
      <c r="BK149" s="115" t="str">
        <f t="shared" si="123"/>
        <v>0</v>
      </c>
      <c r="BL149" s="115" t="str">
        <f t="shared" si="124"/>
        <v>0</v>
      </c>
      <c r="BM149" s="115">
        <f t="shared" si="125"/>
        <v>1</v>
      </c>
      <c r="BN149" s="115">
        <f t="shared" si="126"/>
        <v>9666.7000000000007</v>
      </c>
      <c r="BO149" s="115">
        <f t="shared" si="127"/>
        <v>5782.2999999999993</v>
      </c>
      <c r="BP149" s="115" t="str">
        <f t="shared" si="128"/>
        <v>0</v>
      </c>
      <c r="BQ149" s="115" t="str">
        <f t="shared" si="129"/>
        <v>0</v>
      </c>
      <c r="BR149" s="115" t="str">
        <f t="shared" si="130"/>
        <v>0</v>
      </c>
      <c r="BS149" s="115"/>
      <c r="BT149" s="115">
        <f>1+1</f>
        <v>2</v>
      </c>
      <c r="BU149" s="115">
        <f>BA149</f>
        <v>1303</v>
      </c>
      <c r="BV149" s="115">
        <v>8438</v>
      </c>
      <c r="BW149" s="115"/>
      <c r="BX149" s="115"/>
      <c r="BY149" s="253">
        <v>2774.3999999999996</v>
      </c>
      <c r="BZ149" s="253">
        <v>1371.7</v>
      </c>
      <c r="CA149" s="354">
        <f>785+560.2-2.6*2</f>
        <v>1340</v>
      </c>
      <c r="CB149" s="354">
        <f>8.1+2.6*2+21.6+(10.7+10.6+10.8)</f>
        <v>67</v>
      </c>
      <c r="CC149" s="354">
        <f>7.6+9.1+7.6+7.4</f>
        <v>31.699999999999996</v>
      </c>
      <c r="CD149" s="354">
        <f>816.8-(10.7+10.6+10.8)+487.3</f>
        <v>1272</v>
      </c>
      <c r="CE149" s="354">
        <f>13.1+2.6+2.7+2.3</f>
        <v>20.7</v>
      </c>
      <c r="CF149" s="354">
        <v>18.600000000000001</v>
      </c>
      <c r="CG149" s="354">
        <f>9.7+5+4.7+5</f>
        <v>24.4</v>
      </c>
      <c r="CH149" s="355"/>
      <c r="CI149" s="356">
        <f t="shared" si="131"/>
        <v>2774.4</v>
      </c>
      <c r="CJ149" s="356">
        <f t="shared" si="116"/>
        <v>1371.7</v>
      </c>
      <c r="CK149" s="357">
        <v>1528</v>
      </c>
      <c r="CL149" s="358">
        <f t="shared" si="132"/>
        <v>4302.3999999999996</v>
      </c>
      <c r="CM149" s="205">
        <f>1689+2276</f>
        <v>3965</v>
      </c>
      <c r="CN149" s="282">
        <f t="shared" si="133"/>
        <v>2318</v>
      </c>
      <c r="CO149" s="209" t="str">
        <f t="shared" si="108"/>
        <v>0</v>
      </c>
      <c r="CP149" s="235">
        <f t="shared" si="109"/>
        <v>0</v>
      </c>
      <c r="CQ149" s="209">
        <f t="shared" si="114"/>
        <v>1</v>
      </c>
      <c r="CR149" s="235">
        <f t="shared" si="110"/>
        <v>20230</v>
      </c>
      <c r="CS149" s="235">
        <f t="shared" ref="CS149:CT184" si="168">CO149+CQ149</f>
        <v>1</v>
      </c>
      <c r="CT149" s="235">
        <f t="shared" si="168"/>
        <v>20230</v>
      </c>
      <c r="CU149" s="156">
        <v>43</v>
      </c>
      <c r="CV149" s="284" t="str">
        <f t="shared" si="134"/>
        <v>0</v>
      </c>
      <c r="CW149" s="284" t="str">
        <f t="shared" si="135"/>
        <v>0</v>
      </c>
      <c r="CX149" s="243">
        <f t="shared" si="136"/>
        <v>7.8072144578811802</v>
      </c>
      <c r="CY149" s="216" t="str">
        <f t="shared" si="137"/>
        <v>0</v>
      </c>
      <c r="CZ149" s="216" t="str">
        <f t="shared" si="138"/>
        <v>0</v>
      </c>
      <c r="DA149" s="243">
        <f t="shared" si="139"/>
        <v>7.9842648136867211</v>
      </c>
      <c r="DB149" s="306">
        <v>1</v>
      </c>
      <c r="DC149" s="306">
        <v>0</v>
      </c>
      <c r="DD149" s="306">
        <v>0</v>
      </c>
      <c r="DE149" s="306">
        <v>0</v>
      </c>
      <c r="DF149" s="306">
        <v>4</v>
      </c>
      <c r="DG149" s="306">
        <v>0</v>
      </c>
      <c r="DH149" s="306">
        <v>0</v>
      </c>
      <c r="DI149" s="306">
        <v>0</v>
      </c>
      <c r="DJ149" s="306">
        <v>0</v>
      </c>
      <c r="DK149" s="306">
        <v>179</v>
      </c>
      <c r="DL149" s="306">
        <f t="shared" si="112"/>
        <v>167</v>
      </c>
      <c r="DM149" s="306">
        <v>12</v>
      </c>
      <c r="DN149" s="306">
        <v>161</v>
      </c>
      <c r="DO149" s="306">
        <v>89</v>
      </c>
      <c r="DP149" s="306">
        <v>120</v>
      </c>
      <c r="DQ149" s="306">
        <v>128</v>
      </c>
      <c r="DR149" s="306">
        <v>99</v>
      </c>
      <c r="DS149" s="306">
        <v>107</v>
      </c>
      <c r="DT149" s="306">
        <v>141</v>
      </c>
      <c r="DU149" s="306">
        <v>10</v>
      </c>
      <c r="DV149" s="306">
        <v>6</v>
      </c>
      <c r="DW149" s="306">
        <v>4</v>
      </c>
      <c r="DX149" s="306">
        <v>9</v>
      </c>
      <c r="DY149" s="306">
        <v>6</v>
      </c>
      <c r="DZ149" s="306">
        <v>4</v>
      </c>
      <c r="EA149" s="306">
        <v>9</v>
      </c>
      <c r="EB149" s="306">
        <v>179</v>
      </c>
      <c r="EC149" s="306">
        <v>179</v>
      </c>
      <c r="ED149" s="342"/>
      <c r="EE149" s="342"/>
    </row>
    <row r="150" spans="1:135" x14ac:dyDescent="0.2">
      <c r="A150" s="27" t="s">
        <v>197</v>
      </c>
      <c r="B150" s="169">
        <v>178</v>
      </c>
      <c r="C150" s="12" t="s">
        <v>293</v>
      </c>
      <c r="D150" s="170">
        <v>1988</v>
      </c>
      <c r="E150" s="11"/>
      <c r="F150" s="206" t="s">
        <v>24</v>
      </c>
      <c r="G150" s="35">
        <v>1</v>
      </c>
      <c r="H150" s="201">
        <v>9</v>
      </c>
      <c r="I150" s="201" t="s">
        <v>22</v>
      </c>
      <c r="J150" s="115">
        <f>38478+29519</f>
        <v>67997</v>
      </c>
      <c r="K150" s="115">
        <f>1541+1226</f>
        <v>2767</v>
      </c>
      <c r="L150" s="157"/>
      <c r="M150" s="115">
        <f>1413+1077</f>
        <v>2490</v>
      </c>
      <c r="N150" s="115">
        <v>239</v>
      </c>
      <c r="O150" s="115">
        <v>643</v>
      </c>
      <c r="P150" s="115">
        <v>240</v>
      </c>
      <c r="Q150" s="115">
        <v>545</v>
      </c>
      <c r="R150" s="228">
        <v>15449.17</v>
      </c>
      <c r="S150" s="230">
        <v>9547.0000000000018</v>
      </c>
      <c r="T150" s="115">
        <f>N150-W150-Z150</f>
        <v>224</v>
      </c>
      <c r="U150" s="202">
        <f t="shared" ref="U150:V153" si="169">R150-X150-AA150</f>
        <v>14472.87</v>
      </c>
      <c r="V150" s="180">
        <f t="shared" si="169"/>
        <v>8941.6900000000023</v>
      </c>
      <c r="W150" s="115">
        <v>15</v>
      </c>
      <c r="X150" s="207">
        <v>976.3</v>
      </c>
      <c r="Y150" s="207">
        <v>605.30999999999995</v>
      </c>
      <c r="Z150" s="204"/>
      <c r="AA150" s="207"/>
      <c r="AB150" s="207"/>
      <c r="AC150" s="207">
        <f>AD150+AG150+AH150</f>
        <v>288</v>
      </c>
      <c r="AD150" s="248">
        <f>AE150+AF150</f>
        <v>103.5</v>
      </c>
      <c r="AE150" s="275"/>
      <c r="AF150" s="275">
        <f>99.1-99.1+103.5</f>
        <v>103.5</v>
      </c>
      <c r="AG150" s="207">
        <v>184.5</v>
      </c>
      <c r="AH150" s="207"/>
      <c r="AI150" s="207">
        <f>R150+AC150</f>
        <v>15737.17</v>
      </c>
      <c r="AJ150" s="170"/>
      <c r="AK150" s="170">
        <f>4+3</f>
        <v>7</v>
      </c>
      <c r="AL150" s="170">
        <f>4+3</f>
        <v>7</v>
      </c>
      <c r="AM150" s="170">
        <f>4+3</f>
        <v>7</v>
      </c>
      <c r="AN150" s="170"/>
      <c r="AO150" s="170">
        <f>4+3</f>
        <v>7</v>
      </c>
      <c r="AP150" s="170">
        <f>11403</f>
        <v>11403</v>
      </c>
      <c r="AQ150" s="170"/>
      <c r="AR150" s="170">
        <f>940</f>
        <v>940</v>
      </c>
      <c r="AS150" s="170">
        <f>830</f>
        <v>830</v>
      </c>
      <c r="AT150" s="170">
        <f>525</f>
        <v>525</v>
      </c>
      <c r="AU150" s="170">
        <f>AV150+AW150</f>
        <v>28450</v>
      </c>
      <c r="AV150" s="170"/>
      <c r="AW150" s="170">
        <f>28450</f>
        <v>28450</v>
      </c>
      <c r="AX150" s="170">
        <f>5880</f>
        <v>5880</v>
      </c>
      <c r="AY150" s="170">
        <f>556</f>
        <v>556</v>
      </c>
      <c r="AZ150" s="170">
        <f>1414+1079</f>
        <v>2493</v>
      </c>
      <c r="BA150" s="170">
        <f>1178+882</f>
        <v>2060</v>
      </c>
      <c r="BB150" s="170">
        <f>118</f>
        <v>118</v>
      </c>
      <c r="BC150" s="170">
        <f>148</f>
        <v>148</v>
      </c>
      <c r="BD150" s="170">
        <f>827-4</f>
        <v>823</v>
      </c>
      <c r="BE150" s="170">
        <f>1627-1</f>
        <v>1626</v>
      </c>
      <c r="BF150" s="170">
        <f>2</f>
        <v>2</v>
      </c>
      <c r="BG150" s="170">
        <v>26600</v>
      </c>
      <c r="BH150" s="170">
        <v>11445</v>
      </c>
      <c r="BI150" s="170">
        <v>315</v>
      </c>
      <c r="BJ150" s="115" t="str">
        <f>IF((I150="кир"),G150,"0")</f>
        <v>0</v>
      </c>
      <c r="BK150" s="115" t="str">
        <f>IF((I150="кир"),R150,"0")</f>
        <v>0</v>
      </c>
      <c r="BL150" s="115" t="str">
        <f>IF((I150="кир"),S150,"0")</f>
        <v>0</v>
      </c>
      <c r="BM150" s="115">
        <f>IF((I150="пан"),G150,"0")</f>
        <v>1</v>
      </c>
      <c r="BN150" s="115">
        <f>IF((I150="пан"),R150,"0")</f>
        <v>15449.17</v>
      </c>
      <c r="BO150" s="115">
        <f>IF((I150="пан"),S150,"0")</f>
        <v>9547.0000000000018</v>
      </c>
      <c r="BP150" s="115" t="str">
        <f>IF((I150="смеш"),G150,"0")</f>
        <v>0</v>
      </c>
      <c r="BQ150" s="115" t="str">
        <f>IF((I150="смеш"),R150,"0")</f>
        <v>0</v>
      </c>
      <c r="BR150" s="115" t="str">
        <f>IF((I150="смеш"),S150,"0")</f>
        <v>0</v>
      </c>
      <c r="BS150" s="115"/>
      <c r="BT150" s="115">
        <f>2+2</f>
        <v>4</v>
      </c>
      <c r="BU150" s="115"/>
      <c r="BV150" s="115"/>
      <c r="BW150" s="115">
        <f>3+10</f>
        <v>13</v>
      </c>
      <c r="BX150" s="115"/>
      <c r="BY150" s="253">
        <v>5207.5</v>
      </c>
      <c r="BZ150" s="253">
        <v>2824.1</v>
      </c>
      <c r="CA150" s="354">
        <f>622-(2.6+2.7+2.6+2.7)+934.1+170.3-(2.7+2.7+2.7)+548.2+534.5</f>
        <v>2790.4</v>
      </c>
      <c r="CB150" s="354">
        <f>(2.6+2.7+2.6+2.7)+(2.7+2.7+2.7)+48.2</f>
        <v>66.900000000000006</v>
      </c>
      <c r="CC150" s="354">
        <f>16.9+16.8</f>
        <v>33.700000000000003</v>
      </c>
      <c r="CD150" s="354">
        <f>882.3+1244.9</f>
        <v>2127.1999999999998</v>
      </c>
      <c r="CE150" s="354">
        <f>49+40.7</f>
        <v>89.7</v>
      </c>
      <c r="CF150" s="354">
        <v>4.9000000000000004</v>
      </c>
      <c r="CG150" s="354">
        <f>77.4+17.3</f>
        <v>94.7</v>
      </c>
      <c r="CH150" s="355"/>
      <c r="CI150" s="356">
        <f t="shared" si="131"/>
        <v>5207.5</v>
      </c>
      <c r="CJ150" s="356">
        <f t="shared" si="116"/>
        <v>2824.1</v>
      </c>
      <c r="CK150" s="357">
        <v>2493</v>
      </c>
      <c r="CL150" s="358">
        <f t="shared" si="132"/>
        <v>7700.5</v>
      </c>
      <c r="CM150" s="205">
        <f>2458+2294</f>
        <v>4752</v>
      </c>
      <c r="CN150" s="282">
        <f>CM150-K150</f>
        <v>1985</v>
      </c>
      <c r="CO150" s="209" t="str">
        <f>IF(CP150&gt;0,G150,"0")</f>
        <v>0</v>
      </c>
      <c r="CP150" s="235">
        <f>AV150</f>
        <v>0</v>
      </c>
      <c r="CQ150" s="209">
        <f>IF(CR150&gt;0,G150,"0")</f>
        <v>1</v>
      </c>
      <c r="CR150" s="235">
        <f>AW150</f>
        <v>28450</v>
      </c>
      <c r="CS150" s="235">
        <f t="shared" ref="CS150:CT153" si="170">CO150+CQ150</f>
        <v>1</v>
      </c>
      <c r="CT150" s="235">
        <f t="shared" si="170"/>
        <v>28450</v>
      </c>
      <c r="CU150" s="156">
        <v>59</v>
      </c>
      <c r="CV150" s="284" t="str">
        <f>IF((X150/R150*100&gt;=50), G150, "0")</f>
        <v>0</v>
      </c>
      <c r="CW150" s="284" t="str">
        <f>IF((X150/R150*100&gt;=50), R150, "0")</f>
        <v>0</v>
      </c>
      <c r="CX150" s="243">
        <f>X150/R150*100</f>
        <v>6.3194333417264481</v>
      </c>
      <c r="CY150" s="216" t="str">
        <f>IF(((X150+AD150)/AI150*100&gt;=50), G150, "0")</f>
        <v>0</v>
      </c>
      <c r="CZ150" s="216" t="str">
        <f>IF(((X150+AD150)/AI150*100&gt;=50), AI150, "0")</f>
        <v>0</v>
      </c>
      <c r="DA150" s="243">
        <f>(X150+AD150)/AI150*100</f>
        <v>6.8614623849141871</v>
      </c>
      <c r="DB150" s="306">
        <v>1</v>
      </c>
      <c r="DC150" s="306">
        <v>0</v>
      </c>
      <c r="DD150" s="306">
        <v>0</v>
      </c>
      <c r="DE150" s="306">
        <v>0</v>
      </c>
      <c r="DF150" s="306">
        <v>4</v>
      </c>
      <c r="DG150" s="306">
        <v>0</v>
      </c>
      <c r="DH150" s="306">
        <v>0</v>
      </c>
      <c r="DI150" s="306">
        <v>0</v>
      </c>
      <c r="DJ150" s="306">
        <v>0</v>
      </c>
      <c r="DK150" s="306">
        <v>239</v>
      </c>
      <c r="DL150" s="306">
        <f>DK150-DM150</f>
        <v>224</v>
      </c>
      <c r="DM150" s="306">
        <v>15</v>
      </c>
      <c r="DN150" s="306">
        <v>222</v>
      </c>
      <c r="DO150" s="306">
        <v>143</v>
      </c>
      <c r="DP150" s="306">
        <v>174</v>
      </c>
      <c r="DQ150" s="306">
        <v>198</v>
      </c>
      <c r="DR150" s="306">
        <v>143</v>
      </c>
      <c r="DS150" s="306">
        <v>174</v>
      </c>
      <c r="DT150" s="306">
        <v>198</v>
      </c>
      <c r="DU150" s="306">
        <v>14</v>
      </c>
      <c r="DV150" s="306">
        <v>4</v>
      </c>
      <c r="DW150" s="306">
        <v>12</v>
      </c>
      <c r="DX150" s="306">
        <v>4</v>
      </c>
      <c r="DY150" s="306">
        <v>4</v>
      </c>
      <c r="DZ150" s="306">
        <v>12</v>
      </c>
      <c r="EA150" s="306">
        <v>4</v>
      </c>
      <c r="EB150" s="306">
        <v>239</v>
      </c>
      <c r="EC150" s="306">
        <v>239</v>
      </c>
      <c r="ED150" s="342"/>
      <c r="EE150" s="342"/>
    </row>
    <row r="151" spans="1:135" x14ac:dyDescent="0.2">
      <c r="A151" s="14" t="s">
        <v>203</v>
      </c>
      <c r="B151" s="169">
        <v>179</v>
      </c>
      <c r="C151" s="12" t="s">
        <v>294</v>
      </c>
      <c r="D151" s="170">
        <v>1983</v>
      </c>
      <c r="E151" s="11"/>
      <c r="F151" s="169">
        <v>84</v>
      </c>
      <c r="G151" s="35">
        <v>1</v>
      </c>
      <c r="H151" s="201">
        <v>9</v>
      </c>
      <c r="I151" s="201" t="s">
        <v>22</v>
      </c>
      <c r="J151" s="115">
        <v>22693</v>
      </c>
      <c r="K151" s="115">
        <v>959</v>
      </c>
      <c r="L151" s="157"/>
      <c r="M151" s="115">
        <v>883</v>
      </c>
      <c r="N151" s="115">
        <v>105</v>
      </c>
      <c r="O151" s="115">
        <v>227</v>
      </c>
      <c r="P151" s="115">
        <v>105</v>
      </c>
      <c r="Q151" s="115">
        <v>234</v>
      </c>
      <c r="R151" s="228">
        <v>5567.7</v>
      </c>
      <c r="S151" s="230">
        <v>3295.1</v>
      </c>
      <c r="T151" s="115">
        <f>N151-W151-Z151</f>
        <v>100</v>
      </c>
      <c r="U151" s="203">
        <f t="shared" si="169"/>
        <v>5319.8</v>
      </c>
      <c r="V151" s="180">
        <f t="shared" si="169"/>
        <v>3141.41</v>
      </c>
      <c r="W151" s="115">
        <v>5</v>
      </c>
      <c r="X151" s="207">
        <v>247.9</v>
      </c>
      <c r="Y151" s="207">
        <v>153.69</v>
      </c>
      <c r="Z151" s="204"/>
      <c r="AA151" s="207"/>
      <c r="AB151" s="207"/>
      <c r="AC151" s="207">
        <f>AD151+AG151+AH151</f>
        <v>153.4</v>
      </c>
      <c r="AD151" s="248">
        <f>AE151+AF151</f>
        <v>39.900000000000006</v>
      </c>
      <c r="AE151" s="275"/>
      <c r="AF151" s="275">
        <f>36.2+3.7</f>
        <v>39.900000000000006</v>
      </c>
      <c r="AG151" s="207">
        <v>113.5</v>
      </c>
      <c r="AH151" s="207"/>
      <c r="AI151" s="207">
        <f>R151+AC151</f>
        <v>5721.0999999999995</v>
      </c>
      <c r="AJ151" s="170"/>
      <c r="AK151" s="170">
        <v>3</v>
      </c>
      <c r="AL151" s="170">
        <v>3</v>
      </c>
      <c r="AM151" s="170">
        <v>3</v>
      </c>
      <c r="AN151" s="170"/>
      <c r="AO151" s="170">
        <v>4</v>
      </c>
      <c r="AP151" s="170">
        <v>7956</v>
      </c>
      <c r="AQ151" s="170"/>
      <c r="AR151" s="170">
        <v>520</v>
      </c>
      <c r="AS151" s="170">
        <v>348</v>
      </c>
      <c r="AT151" s="170">
        <v>108</v>
      </c>
      <c r="AU151" s="170">
        <f>AV151+AW151</f>
        <v>12730</v>
      </c>
      <c r="AV151" s="170"/>
      <c r="AW151" s="170">
        <v>12730</v>
      </c>
      <c r="AX151" s="170">
        <v>2520</v>
      </c>
      <c r="AY151" s="170">
        <v>295</v>
      </c>
      <c r="AZ151" s="170">
        <v>883</v>
      </c>
      <c r="BA151" s="170">
        <v>883</v>
      </c>
      <c r="BB151" s="170">
        <v>54</v>
      </c>
      <c r="BC151" s="170">
        <v>6</v>
      </c>
      <c r="BD151" s="170">
        <f>321-3</f>
        <v>318</v>
      </c>
      <c r="BE151" s="170">
        <f>510-1</f>
        <v>509</v>
      </c>
      <c r="BF151" s="170">
        <v>1</v>
      </c>
      <c r="BG151" s="170">
        <v>10710</v>
      </c>
      <c r="BH151" s="170">
        <v>4905</v>
      </c>
      <c r="BI151" s="170">
        <v>135</v>
      </c>
      <c r="BJ151" s="115" t="str">
        <f>IF((I151="кир"),G151,"0")</f>
        <v>0</v>
      </c>
      <c r="BK151" s="115" t="str">
        <f>IF((I151="кир"),R151,"0")</f>
        <v>0</v>
      </c>
      <c r="BL151" s="115" t="str">
        <f>IF((I151="кир"),S151,"0")</f>
        <v>0</v>
      </c>
      <c r="BM151" s="115">
        <f>IF((I151="пан"),G151,"0")</f>
        <v>1</v>
      </c>
      <c r="BN151" s="115">
        <f>IF((I151="пан"),R151,"0")</f>
        <v>5567.7</v>
      </c>
      <c r="BO151" s="115">
        <f>IF((I151="пан"),S151,"0")</f>
        <v>3295.1</v>
      </c>
      <c r="BP151" s="115" t="str">
        <f>IF((I151="смеш"),G151,"0")</f>
        <v>0</v>
      </c>
      <c r="BQ151" s="115" t="str">
        <f>IF((I151="смеш"),R151,"0")</f>
        <v>0</v>
      </c>
      <c r="BR151" s="115" t="str">
        <f>IF((I151="смеш"),S151,"0")</f>
        <v>0</v>
      </c>
      <c r="BS151" s="115"/>
      <c r="BT151" s="115">
        <v>2</v>
      </c>
      <c r="BU151" s="115">
        <f>BA151</f>
        <v>883</v>
      </c>
      <c r="BV151" s="115">
        <v>4964</v>
      </c>
      <c r="BW151" s="115"/>
      <c r="BX151" s="115"/>
      <c r="BY151" s="253">
        <v>1605.5</v>
      </c>
      <c r="BZ151" s="253">
        <v>812.7</v>
      </c>
      <c r="CA151" s="354">
        <f>806.7-3.6*3</f>
        <v>795.90000000000009</v>
      </c>
      <c r="CB151" s="354">
        <f>3.6*3+32.3</f>
        <v>43.099999999999994</v>
      </c>
      <c r="CC151" s="354">
        <v>16.8</v>
      </c>
      <c r="CD151" s="354">
        <v>717.8</v>
      </c>
      <c r="CE151" s="354">
        <v>17.5</v>
      </c>
      <c r="CF151" s="354"/>
      <c r="CG151" s="354">
        <v>14.4</v>
      </c>
      <c r="CH151" s="355"/>
      <c r="CI151" s="356">
        <f t="shared" si="131"/>
        <v>1605.5</v>
      </c>
      <c r="CJ151" s="356">
        <f t="shared" si="116"/>
        <v>812.7</v>
      </c>
      <c r="CK151" s="357">
        <v>883</v>
      </c>
      <c r="CL151" s="358">
        <f t="shared" si="132"/>
        <v>2488.5</v>
      </c>
      <c r="CM151" s="205">
        <v>2497</v>
      </c>
      <c r="CN151" s="282">
        <f>CM151-K151</f>
        <v>1538</v>
      </c>
      <c r="CO151" s="209" t="str">
        <f>IF(CP151&gt;0,G151,"0")</f>
        <v>0</v>
      </c>
      <c r="CP151" s="235">
        <f>AV151</f>
        <v>0</v>
      </c>
      <c r="CQ151" s="209">
        <f>IF(CR151&gt;0,G151,"0")</f>
        <v>1</v>
      </c>
      <c r="CR151" s="235">
        <f>AW151</f>
        <v>12730</v>
      </c>
      <c r="CS151" s="235">
        <f t="shared" si="170"/>
        <v>1</v>
      </c>
      <c r="CT151" s="235">
        <f t="shared" si="170"/>
        <v>12730</v>
      </c>
      <c r="CU151" s="156">
        <v>77</v>
      </c>
      <c r="CV151" s="284" t="str">
        <f>IF((X151/R151*100&gt;=50), G151, "0")</f>
        <v>0</v>
      </c>
      <c r="CW151" s="284" t="str">
        <f>IF((X151/R151*100&gt;=50), R151, "0")</f>
        <v>0</v>
      </c>
      <c r="CX151" s="243">
        <f>X151/R151*100</f>
        <v>4.4524669073405541</v>
      </c>
      <c r="CY151" s="216" t="str">
        <f>IF(((X151+AD151)/AI151*100&gt;=50), G151, "0")</f>
        <v>0</v>
      </c>
      <c r="CZ151" s="216" t="str">
        <f>IF(((X151+AD151)/AI151*100&gt;=50), AI151, "0")</f>
        <v>0</v>
      </c>
      <c r="DA151" s="243">
        <f>(X151+AD151)/AI151*100</f>
        <v>5.0305011274055698</v>
      </c>
      <c r="DB151" s="306">
        <v>1</v>
      </c>
      <c r="DC151" s="306">
        <v>0</v>
      </c>
      <c r="DD151" s="306">
        <v>0</v>
      </c>
      <c r="DE151" s="306">
        <v>0</v>
      </c>
      <c r="DF151" s="306">
        <v>2</v>
      </c>
      <c r="DG151" s="306">
        <v>0</v>
      </c>
      <c r="DH151" s="306">
        <v>0</v>
      </c>
      <c r="DI151" s="306">
        <v>0</v>
      </c>
      <c r="DJ151" s="306">
        <v>0</v>
      </c>
      <c r="DK151" s="306">
        <v>105</v>
      </c>
      <c r="DL151" s="306">
        <f>DK151-DM151</f>
        <v>98</v>
      </c>
      <c r="DM151" s="306">
        <v>7</v>
      </c>
      <c r="DN151" s="306">
        <v>96</v>
      </c>
      <c r="DO151" s="306">
        <v>52</v>
      </c>
      <c r="DP151" s="306">
        <v>71</v>
      </c>
      <c r="DQ151" s="306">
        <v>71</v>
      </c>
      <c r="DR151" s="306">
        <v>52</v>
      </c>
      <c r="DS151" s="306">
        <v>71</v>
      </c>
      <c r="DT151" s="306">
        <v>71</v>
      </c>
      <c r="DU151" s="306">
        <v>6</v>
      </c>
      <c r="DV151" s="306">
        <v>1</v>
      </c>
      <c r="DW151" s="306">
        <v>6</v>
      </c>
      <c r="DX151" s="306">
        <v>2</v>
      </c>
      <c r="DY151" s="306">
        <v>1</v>
      </c>
      <c r="DZ151" s="306">
        <v>6</v>
      </c>
      <c r="EA151" s="306">
        <v>2</v>
      </c>
      <c r="EB151" s="306">
        <v>105</v>
      </c>
      <c r="EC151" s="306">
        <v>105</v>
      </c>
      <c r="ED151" s="342"/>
      <c r="EE151" s="342"/>
    </row>
    <row r="152" spans="1:135" x14ac:dyDescent="0.2">
      <c r="A152" s="27" t="s">
        <v>197</v>
      </c>
      <c r="B152" s="169">
        <v>180</v>
      </c>
      <c r="C152" s="12" t="s">
        <v>295</v>
      </c>
      <c r="D152" s="169">
        <v>1989</v>
      </c>
      <c r="E152" s="11"/>
      <c r="F152" s="206" t="s">
        <v>24</v>
      </c>
      <c r="G152" s="35">
        <v>1</v>
      </c>
      <c r="H152" s="201">
        <v>9</v>
      </c>
      <c r="I152" s="201" t="s">
        <v>173</v>
      </c>
      <c r="J152" s="115">
        <f>19364+19550+13600</f>
        <v>52514</v>
      </c>
      <c r="K152" s="115">
        <f>774+794+539</f>
        <v>2107</v>
      </c>
      <c r="L152" s="157"/>
      <c r="M152" s="115">
        <f>709+714+518</f>
        <v>1941</v>
      </c>
      <c r="N152" s="115">
        <v>190</v>
      </c>
      <c r="O152" s="115">
        <v>452</v>
      </c>
      <c r="P152" s="115">
        <v>192</v>
      </c>
      <c r="Q152" s="115">
        <v>385</v>
      </c>
      <c r="R152" s="228">
        <f>11476.6+2.2</f>
        <v>11478.800000000001</v>
      </c>
      <c r="S152" s="230">
        <v>6855.6</v>
      </c>
      <c r="T152" s="115">
        <f>N152-W152-Z152</f>
        <v>174</v>
      </c>
      <c r="U152" s="202">
        <f t="shared" si="169"/>
        <v>10494.990000000002</v>
      </c>
      <c r="V152" s="180">
        <f t="shared" si="169"/>
        <v>6324.5</v>
      </c>
      <c r="W152" s="115">
        <v>16</v>
      </c>
      <c r="X152" s="207">
        <v>983.81</v>
      </c>
      <c r="Y152" s="207">
        <v>531.1</v>
      </c>
      <c r="Z152" s="204"/>
      <c r="AA152" s="207"/>
      <c r="AB152" s="207"/>
      <c r="AC152" s="207">
        <f>AD152+AG152+AH152</f>
        <v>237.7</v>
      </c>
      <c r="AD152" s="248">
        <f>AE152+AF152</f>
        <v>237.7</v>
      </c>
      <c r="AE152" s="248"/>
      <c r="AF152" s="275">
        <f>237.7-205+205</f>
        <v>237.7</v>
      </c>
      <c r="AG152" s="207"/>
      <c r="AH152" s="207"/>
      <c r="AI152" s="207">
        <f>R152+AC152</f>
        <v>11716.500000000002</v>
      </c>
      <c r="AJ152" s="170"/>
      <c r="AK152" s="170">
        <v>5</v>
      </c>
      <c r="AL152" s="170">
        <v>5</v>
      </c>
      <c r="AM152" s="170">
        <v>5</v>
      </c>
      <c r="AN152" s="170"/>
      <c r="AO152" s="170">
        <v>5</v>
      </c>
      <c r="AP152" s="170">
        <f>1860+1860+1382</f>
        <v>5102</v>
      </c>
      <c r="AQ152" s="170"/>
      <c r="AR152" s="170">
        <f>327+328+120</f>
        <v>775</v>
      </c>
      <c r="AS152" s="170">
        <f>280+280+148</f>
        <v>708</v>
      </c>
      <c r="AT152" s="170">
        <f>150+150+75</f>
        <v>375</v>
      </c>
      <c r="AU152" s="170">
        <f>AV152+AW152</f>
        <v>20050</v>
      </c>
      <c r="AV152" s="170"/>
      <c r="AW152" s="170">
        <f>10025+10025</f>
        <v>20050</v>
      </c>
      <c r="AX152" s="170">
        <f>1680+1680</f>
        <v>3360</v>
      </c>
      <c r="AY152" s="170">
        <f>195+195+140</f>
        <v>530</v>
      </c>
      <c r="AZ152" s="170">
        <f>709+713+518</f>
        <v>1940</v>
      </c>
      <c r="BA152" s="170">
        <f>595+590+390</f>
        <v>1575</v>
      </c>
      <c r="BB152" s="170">
        <f>17+17+17</f>
        <v>51</v>
      </c>
      <c r="BC152" s="170">
        <f>20+20+24</f>
        <v>64</v>
      </c>
      <c r="BD152" s="170">
        <f>129+128+141</f>
        <v>398</v>
      </c>
      <c r="BE152" s="170">
        <f>232+232+264</f>
        <v>728</v>
      </c>
      <c r="BF152" s="170">
        <v>3</v>
      </c>
      <c r="BG152" s="170">
        <v>19000</v>
      </c>
      <c r="BH152" s="170">
        <v>8175</v>
      </c>
      <c r="BI152" s="170">
        <v>225</v>
      </c>
      <c r="BJ152" s="115" t="str">
        <f>IF((I152="кир"),G152,"0")</f>
        <v>0</v>
      </c>
      <c r="BK152" s="115" t="str">
        <f>IF((I152="кир"),R152,"0")</f>
        <v>0</v>
      </c>
      <c r="BL152" s="115" t="str">
        <f>IF((I152="кир"),S152,"0")</f>
        <v>0</v>
      </c>
      <c r="BM152" s="115" t="str">
        <f>IF((I152="пан"),G152,"0")</f>
        <v>0</v>
      </c>
      <c r="BN152" s="115" t="str">
        <f>IF((I152="пан"),R152,"0")</f>
        <v>0</v>
      </c>
      <c r="BO152" s="115" t="str">
        <f>IF((I152="пан"),S152,"0")</f>
        <v>0</v>
      </c>
      <c r="BP152" s="115">
        <f>IF((I152="смеш"),G152,"0")</f>
        <v>1</v>
      </c>
      <c r="BQ152" s="115">
        <f>IF((I152="смеш"),R152,"0")</f>
        <v>11478.800000000001</v>
      </c>
      <c r="BR152" s="115">
        <f>IF((I152="смеш"),S152,"0")</f>
        <v>6855.6</v>
      </c>
      <c r="BS152" s="115"/>
      <c r="BT152" s="115">
        <f>2+1+1</f>
        <v>4</v>
      </c>
      <c r="BU152" s="115"/>
      <c r="BV152" s="115"/>
      <c r="BW152" s="115"/>
      <c r="BX152" s="115">
        <v>1382</v>
      </c>
      <c r="BY152" s="253">
        <v>3907.8</v>
      </c>
      <c r="BZ152" s="253">
        <v>2142.4</v>
      </c>
      <c r="CA152" s="354">
        <f>368.6-2.7+163.8+316.5-2.8*2+459.9+443.2+333-3.1*2</f>
        <v>2070.5</v>
      </c>
      <c r="CB152" s="354">
        <f>32.7+2.7+17+2.8*2+3.1*2+13.9+11.9+13.9</f>
        <v>103.90000000000002</v>
      </c>
      <c r="CC152" s="354">
        <f>17.6+2.4+5.4+2.8+3.1+2.7+2.8+3+3.1+2.8+2.7+3.3+3+2.8+2.8+2.9+2.8+3+2.9</f>
        <v>71.899999999999991</v>
      </c>
      <c r="CD152" s="354">
        <f>595.3+389.7+590</f>
        <v>1575</v>
      </c>
      <c r="CE152" s="354">
        <f>40.6+16.8</f>
        <v>57.400000000000006</v>
      </c>
      <c r="CF152" s="354"/>
      <c r="CG152" s="354">
        <f>10.8+10.1+8.2</f>
        <v>29.099999999999998</v>
      </c>
      <c r="CH152" s="355"/>
      <c r="CI152" s="356">
        <f t="shared" si="131"/>
        <v>3907.8</v>
      </c>
      <c r="CJ152" s="356">
        <f t="shared" si="116"/>
        <v>2142.4</v>
      </c>
      <c r="CK152" s="357">
        <v>1940</v>
      </c>
      <c r="CL152" s="358">
        <f t="shared" si="132"/>
        <v>5847.8</v>
      </c>
      <c r="CM152" s="205">
        <v>3807</v>
      </c>
      <c r="CN152" s="282">
        <f>CM152-K152</f>
        <v>1700</v>
      </c>
      <c r="CO152" s="209" t="str">
        <f>IF(CP152&gt;0,G152,"0")</f>
        <v>0</v>
      </c>
      <c r="CP152" s="235">
        <f>AV152</f>
        <v>0</v>
      </c>
      <c r="CQ152" s="209">
        <f>IF(CR152&gt;0,G152,"0")</f>
        <v>1</v>
      </c>
      <c r="CR152" s="235">
        <f>AW152</f>
        <v>20050</v>
      </c>
      <c r="CS152" s="235">
        <f t="shared" si="170"/>
        <v>1</v>
      </c>
      <c r="CT152" s="235">
        <f t="shared" si="170"/>
        <v>20050</v>
      </c>
      <c r="CU152" s="156">
        <v>45</v>
      </c>
      <c r="CV152" s="284" t="str">
        <f>IF((X152/R152*100&gt;=50), G152, "0")</f>
        <v>0</v>
      </c>
      <c r="CW152" s="284" t="str">
        <f>IF((X152/R152*100&gt;=50), R152, "0")</f>
        <v>0</v>
      </c>
      <c r="CX152" s="243">
        <f>X152/R152*100</f>
        <v>8.5706694079520496</v>
      </c>
      <c r="CY152" s="216" t="str">
        <f>IF(((X152+AD152)/AI152*100&gt;=50), G152, "0")</f>
        <v>0</v>
      </c>
      <c r="CZ152" s="216" t="str">
        <f>IF(((X152+AD152)/AI152*100&gt;=50), AI152, "0")</f>
        <v>0</v>
      </c>
      <c r="DA152" s="243">
        <f>(X152+AD152)/AI152*100</f>
        <v>10.425553706311611</v>
      </c>
      <c r="DB152" s="306">
        <v>1</v>
      </c>
      <c r="DC152" s="306">
        <v>0</v>
      </c>
      <c r="DD152" s="306">
        <v>0</v>
      </c>
      <c r="DE152" s="306">
        <v>0</v>
      </c>
      <c r="DF152" s="306">
        <v>4</v>
      </c>
      <c r="DG152" s="306">
        <v>0</v>
      </c>
      <c r="DH152" s="306">
        <v>0</v>
      </c>
      <c r="DI152" s="306">
        <v>0</v>
      </c>
      <c r="DJ152" s="306">
        <v>0</v>
      </c>
      <c r="DK152" s="306">
        <v>190</v>
      </c>
      <c r="DL152" s="306">
        <f>DK152-DM152</f>
        <v>179</v>
      </c>
      <c r="DM152" s="306">
        <v>11</v>
      </c>
      <c r="DN152" s="306">
        <v>174</v>
      </c>
      <c r="DO152" s="306">
        <v>108</v>
      </c>
      <c r="DP152" s="306">
        <v>105</v>
      </c>
      <c r="DQ152" s="306">
        <v>139</v>
      </c>
      <c r="DR152" s="306">
        <v>108</v>
      </c>
      <c r="DS152" s="306">
        <v>105</v>
      </c>
      <c r="DT152" s="306">
        <v>139</v>
      </c>
      <c r="DU152" s="306">
        <v>10</v>
      </c>
      <c r="DV152" s="306">
        <v>5</v>
      </c>
      <c r="DW152" s="306">
        <v>0</v>
      </c>
      <c r="DX152" s="306">
        <v>7</v>
      </c>
      <c r="DY152" s="306">
        <v>5</v>
      </c>
      <c r="DZ152" s="306">
        <v>0</v>
      </c>
      <c r="EA152" s="306">
        <v>7</v>
      </c>
      <c r="EB152" s="306">
        <v>190</v>
      </c>
      <c r="EC152" s="306">
        <v>190</v>
      </c>
      <c r="ED152" s="342"/>
      <c r="EE152" s="342"/>
    </row>
    <row r="153" spans="1:135" x14ac:dyDescent="0.2">
      <c r="A153" s="14" t="s">
        <v>203</v>
      </c>
      <c r="B153" s="169">
        <v>181</v>
      </c>
      <c r="C153" s="12" t="s">
        <v>296</v>
      </c>
      <c r="D153" s="170">
        <v>1983</v>
      </c>
      <c r="E153" s="11"/>
      <c r="F153" s="169">
        <v>84</v>
      </c>
      <c r="G153" s="35">
        <v>1</v>
      </c>
      <c r="H153" s="201">
        <v>9</v>
      </c>
      <c r="I153" s="201" t="s">
        <v>22</v>
      </c>
      <c r="J153" s="115">
        <v>14569</v>
      </c>
      <c r="K153" s="115">
        <v>620</v>
      </c>
      <c r="L153" s="157"/>
      <c r="M153" s="115">
        <v>569</v>
      </c>
      <c r="N153" s="115">
        <v>72</v>
      </c>
      <c r="O153" s="115">
        <v>142</v>
      </c>
      <c r="P153" s="115">
        <v>72</v>
      </c>
      <c r="Q153" s="115">
        <v>130</v>
      </c>
      <c r="R153" s="228">
        <v>3647.16</v>
      </c>
      <c r="S153" s="230">
        <v>2143.1</v>
      </c>
      <c r="T153" s="115">
        <f>N153-W153-Z153</f>
        <v>71</v>
      </c>
      <c r="U153" s="203">
        <f t="shared" si="169"/>
        <v>3610.8599999999997</v>
      </c>
      <c r="V153" s="180">
        <f t="shared" si="169"/>
        <v>2120.5899999999997</v>
      </c>
      <c r="W153" s="115">
        <v>1</v>
      </c>
      <c r="X153" s="207">
        <v>36.299999999999997</v>
      </c>
      <c r="Y153" s="207">
        <v>22.51</v>
      </c>
      <c r="Z153" s="204"/>
      <c r="AA153" s="207"/>
      <c r="AB153" s="207"/>
      <c r="AC153" s="207">
        <f>AD153+AG153+AH153</f>
        <v>0</v>
      </c>
      <c r="AD153" s="248">
        <f>AE153+AF153</f>
        <v>0</v>
      </c>
      <c r="AE153" s="275"/>
      <c r="AF153" s="275"/>
      <c r="AG153" s="207"/>
      <c r="AH153" s="207"/>
      <c r="AI153" s="207">
        <f>R153+AC153</f>
        <v>3647.16</v>
      </c>
      <c r="AJ153" s="170"/>
      <c r="AK153" s="170">
        <v>2</v>
      </c>
      <c r="AL153" s="170">
        <v>2</v>
      </c>
      <c r="AM153" s="170">
        <v>2</v>
      </c>
      <c r="AN153" s="170"/>
      <c r="AO153" s="170">
        <v>3</v>
      </c>
      <c r="AP153" s="170">
        <v>4059</v>
      </c>
      <c r="AQ153" s="170"/>
      <c r="AR153" s="170">
        <v>395</v>
      </c>
      <c r="AS153" s="170">
        <v>236</v>
      </c>
      <c r="AT153" s="170">
        <v>72</v>
      </c>
      <c r="AU153" s="170">
        <f>AV153+AW153</f>
        <v>8450</v>
      </c>
      <c r="AV153" s="170"/>
      <c r="AW153" s="170">
        <v>8450</v>
      </c>
      <c r="AX153" s="170">
        <v>1680</v>
      </c>
      <c r="AY153" s="170">
        <v>185</v>
      </c>
      <c r="AZ153" s="170">
        <v>569</v>
      </c>
      <c r="BA153" s="170">
        <v>459</v>
      </c>
      <c r="BB153" s="170">
        <v>32</v>
      </c>
      <c r="BC153" s="170">
        <v>41</v>
      </c>
      <c r="BD153" s="170">
        <v>244</v>
      </c>
      <c r="BE153" s="170">
        <v>454</v>
      </c>
      <c r="BF153" s="170">
        <v>1</v>
      </c>
      <c r="BG153" s="170">
        <v>7140</v>
      </c>
      <c r="BH153" s="170">
        <v>3270</v>
      </c>
      <c r="BI153" s="170">
        <v>90</v>
      </c>
      <c r="BJ153" s="115" t="str">
        <f>IF((I153="кир"),G153,"0")</f>
        <v>0</v>
      </c>
      <c r="BK153" s="115" t="str">
        <f>IF((I153="кир"),R153,"0")</f>
        <v>0</v>
      </c>
      <c r="BL153" s="115" t="str">
        <f>IF((I153="кир"),S153,"0")</f>
        <v>0</v>
      </c>
      <c r="BM153" s="115">
        <f>IF((I153="пан"),G153,"0")</f>
        <v>1</v>
      </c>
      <c r="BN153" s="115">
        <f>IF((I153="пан"),R153,"0")</f>
        <v>3647.16</v>
      </c>
      <c r="BO153" s="115">
        <f>IF((I153="пан"),S153,"0")</f>
        <v>2143.1</v>
      </c>
      <c r="BP153" s="115" t="str">
        <f>IF((I153="смеш"),G153,"0")</f>
        <v>0</v>
      </c>
      <c r="BQ153" s="115" t="str">
        <f>IF((I153="смеш"),R153,"0")</f>
        <v>0</v>
      </c>
      <c r="BR153" s="115" t="str">
        <f>IF((I153="смеш"),S153,"0")</f>
        <v>0</v>
      </c>
      <c r="BS153" s="115"/>
      <c r="BT153" s="115">
        <v>1</v>
      </c>
      <c r="BU153" s="115">
        <f>BA153</f>
        <v>459</v>
      </c>
      <c r="BV153" s="115">
        <v>3236</v>
      </c>
      <c r="BW153" s="115"/>
      <c r="BX153" s="115"/>
      <c r="BY153" s="253">
        <v>1054.8</v>
      </c>
      <c r="BZ153" s="253">
        <v>543.20000000000005</v>
      </c>
      <c r="CA153" s="354">
        <f>540.4-2.8*2</f>
        <v>534.79999999999995</v>
      </c>
      <c r="CB153" s="354">
        <f>2.8*2+20.2</f>
        <v>25.799999999999997</v>
      </c>
      <c r="CC153" s="354">
        <v>8.4</v>
      </c>
      <c r="CD153" s="354">
        <v>459.4</v>
      </c>
      <c r="CE153" s="354">
        <v>15.8</v>
      </c>
      <c r="CF153" s="354"/>
      <c r="CG153" s="354">
        <v>10.6</v>
      </c>
      <c r="CH153" s="355"/>
      <c r="CI153" s="356">
        <f t="shared" si="131"/>
        <v>1054.7999999999997</v>
      </c>
      <c r="CJ153" s="356">
        <f t="shared" si="116"/>
        <v>543.19999999999993</v>
      </c>
      <c r="CK153" s="357">
        <v>569</v>
      </c>
      <c r="CL153" s="358">
        <f t="shared" si="132"/>
        <v>1623.7999999999997</v>
      </c>
      <c r="CM153" s="205">
        <v>1621</v>
      </c>
      <c r="CN153" s="282">
        <f>CM153-K153</f>
        <v>1001</v>
      </c>
      <c r="CO153" s="209" t="str">
        <f>IF(CP153&gt;0,G153,"0")</f>
        <v>0</v>
      </c>
      <c r="CP153" s="235">
        <f>AV153</f>
        <v>0</v>
      </c>
      <c r="CQ153" s="209">
        <f>IF(CR153&gt;0,G153,"0")</f>
        <v>1</v>
      </c>
      <c r="CR153" s="235">
        <f>AW153</f>
        <v>8450</v>
      </c>
      <c r="CS153" s="235">
        <f t="shared" si="170"/>
        <v>1</v>
      </c>
      <c r="CT153" s="235">
        <f t="shared" si="170"/>
        <v>8450</v>
      </c>
      <c r="CU153" s="156">
        <v>46</v>
      </c>
      <c r="CV153" s="284" t="str">
        <f>IF((X153/R153*100&gt;=50), G153, "0")</f>
        <v>0</v>
      </c>
      <c r="CW153" s="284" t="str">
        <f>IF((X153/R153*100&gt;=50), R153, "0")</f>
        <v>0</v>
      </c>
      <c r="CX153" s="243">
        <f>X153/R153*100</f>
        <v>0.9952949692363372</v>
      </c>
      <c r="CY153" s="216" t="str">
        <f>IF(((X153+AD153)/AI153*100&gt;=50), G153, "0")</f>
        <v>0</v>
      </c>
      <c r="CZ153" s="216" t="str">
        <f>IF(((X153+AD153)/AI153*100&gt;=50), AI153, "0")</f>
        <v>0</v>
      </c>
      <c r="DA153" s="243">
        <f>(X153+AD153)/AI153*100</f>
        <v>0.9952949692363372</v>
      </c>
      <c r="DB153" s="306">
        <v>1</v>
      </c>
      <c r="DC153" s="306">
        <v>0</v>
      </c>
      <c r="DD153" s="306">
        <v>0</v>
      </c>
      <c r="DE153" s="306">
        <v>1</v>
      </c>
      <c r="DF153" s="306">
        <v>2</v>
      </c>
      <c r="DG153" s="306">
        <v>0</v>
      </c>
      <c r="DH153" s="306">
        <v>0</v>
      </c>
      <c r="DI153" s="306">
        <v>1</v>
      </c>
      <c r="DJ153" s="306">
        <v>0</v>
      </c>
      <c r="DK153" s="306">
        <v>72</v>
      </c>
      <c r="DL153" s="306">
        <f>DK153-DM153</f>
        <v>71</v>
      </c>
      <c r="DM153" s="306">
        <v>1</v>
      </c>
      <c r="DN153" s="306">
        <v>71</v>
      </c>
      <c r="DO153" s="306">
        <v>35</v>
      </c>
      <c r="DP153" s="306">
        <v>45</v>
      </c>
      <c r="DQ153" s="306">
        <v>43</v>
      </c>
      <c r="DR153" s="306">
        <v>34</v>
      </c>
      <c r="DS153" s="306">
        <v>46</v>
      </c>
      <c r="DT153" s="306">
        <v>42</v>
      </c>
      <c r="DU153" s="306">
        <v>0</v>
      </c>
      <c r="DV153" s="306">
        <v>0</v>
      </c>
      <c r="DW153" s="306">
        <v>2</v>
      </c>
      <c r="DX153" s="306">
        <v>0</v>
      </c>
      <c r="DY153" s="306">
        <v>0</v>
      </c>
      <c r="DZ153" s="306">
        <v>2</v>
      </c>
      <c r="EA153" s="306">
        <v>0</v>
      </c>
      <c r="EB153" s="306">
        <v>72</v>
      </c>
      <c r="EC153" s="306">
        <v>72</v>
      </c>
      <c r="ED153" s="342"/>
      <c r="EE153" s="342"/>
    </row>
    <row r="154" spans="1:135" x14ac:dyDescent="0.2">
      <c r="A154" s="14" t="s">
        <v>203</v>
      </c>
      <c r="B154" s="169">
        <v>144</v>
      </c>
      <c r="C154" s="213" t="s">
        <v>297</v>
      </c>
      <c r="D154" s="169">
        <v>1989</v>
      </c>
      <c r="E154" s="11"/>
      <c r="F154" s="206" t="s">
        <v>24</v>
      </c>
      <c r="G154" s="35">
        <v>1</v>
      </c>
      <c r="H154" s="201">
        <v>9</v>
      </c>
      <c r="I154" s="201" t="s">
        <v>173</v>
      </c>
      <c r="J154" s="115">
        <f>39691+9926+10151+11098</f>
        <v>70866</v>
      </c>
      <c r="K154" s="115">
        <f>1546+411+439+681</f>
        <v>3077</v>
      </c>
      <c r="L154" s="157"/>
      <c r="M154" s="115">
        <f>1451+367+373+350</f>
        <v>2541</v>
      </c>
      <c r="N154" s="115">
        <v>236</v>
      </c>
      <c r="O154" s="115">
        <v>613</v>
      </c>
      <c r="P154" s="115">
        <v>236</v>
      </c>
      <c r="Q154" s="115">
        <v>539</v>
      </c>
      <c r="R154" s="228">
        <f>15006.85+2-1+1+1+0.7+0.7+0.66+2.1</f>
        <v>15014.010000000002</v>
      </c>
      <c r="S154" s="230">
        <v>9202</v>
      </c>
      <c r="T154" s="115">
        <f t="shared" si="117"/>
        <v>228</v>
      </c>
      <c r="U154" s="202">
        <f t="shared" si="118"/>
        <v>14525.210000000003</v>
      </c>
      <c r="V154" s="180">
        <f t="shared" si="118"/>
        <v>8898.94</v>
      </c>
      <c r="W154" s="115">
        <v>8</v>
      </c>
      <c r="X154" s="207">
        <v>488.8</v>
      </c>
      <c r="Y154" s="207">
        <v>303.06</v>
      </c>
      <c r="Z154" s="204"/>
      <c r="AA154" s="207"/>
      <c r="AB154" s="207"/>
      <c r="AC154" s="207">
        <f t="shared" si="119"/>
        <v>781</v>
      </c>
      <c r="AD154" s="248">
        <f t="shared" si="120"/>
        <v>234.2</v>
      </c>
      <c r="AE154" s="275"/>
      <c r="AF154" s="275">
        <v>234.2</v>
      </c>
      <c r="AG154" s="207">
        <v>546.79999999999995</v>
      </c>
      <c r="AH154" s="207"/>
      <c r="AI154" s="207">
        <f t="shared" si="121"/>
        <v>15795.010000000002</v>
      </c>
      <c r="AJ154" s="170"/>
      <c r="AK154" s="170">
        <f>4+3+0+0+0</f>
        <v>7</v>
      </c>
      <c r="AL154" s="170">
        <f>4+3+0+0+0</f>
        <v>7</v>
      </c>
      <c r="AM154" s="170">
        <f>4+3+0+0+0</f>
        <v>7</v>
      </c>
      <c r="AN154" s="170"/>
      <c r="AO154" s="170">
        <f>4+3+0+0+0</f>
        <v>7</v>
      </c>
      <c r="AP154" s="170">
        <f>6733.3+1683+1683+2530</f>
        <v>12629.3</v>
      </c>
      <c r="AQ154" s="170"/>
      <c r="AR154" s="170">
        <f>636.67+159+159+120</f>
        <v>1074.67</v>
      </c>
      <c r="AS154" s="170">
        <f>525.33+131+131+148</f>
        <v>935.33</v>
      </c>
      <c r="AT154" s="170">
        <f>300+75+75+75</f>
        <v>525</v>
      </c>
      <c r="AU154" s="170">
        <f t="shared" si="107"/>
        <v>28449.7</v>
      </c>
      <c r="AV154" s="170"/>
      <c r="AW154" s="170">
        <f>18966.7+4741+4742</f>
        <v>28449.7</v>
      </c>
      <c r="AX154" s="170">
        <f>5060/6*4+843+843</f>
        <v>5059.3333333333339</v>
      </c>
      <c r="AY154" s="170">
        <f>647/6*4+107+108+218</f>
        <v>864.33333333333326</v>
      </c>
      <c r="AZ154" s="170">
        <f>1451+367+373+402</f>
        <v>2593</v>
      </c>
      <c r="BA154" s="170">
        <f>1451+367+373+402</f>
        <v>2593</v>
      </c>
      <c r="BB154" s="170">
        <f>108/6*4+18+18+18</f>
        <v>126</v>
      </c>
      <c r="BC154" s="170">
        <f>126/6*4+21+21+2</f>
        <v>128</v>
      </c>
      <c r="BD154" s="170">
        <f>696/6*4+116+116+116</f>
        <v>812</v>
      </c>
      <c r="BE154" s="170">
        <f>1272/6*4+212+212+212</f>
        <v>1484</v>
      </c>
      <c r="BF154" s="170">
        <f>1+2</f>
        <v>3</v>
      </c>
      <c r="BG154" s="170">
        <v>26600</v>
      </c>
      <c r="BH154" s="170">
        <v>11445</v>
      </c>
      <c r="BI154" s="170">
        <v>315</v>
      </c>
      <c r="BJ154" s="115" t="str">
        <f t="shared" si="122"/>
        <v>0</v>
      </c>
      <c r="BK154" s="115" t="str">
        <f t="shared" si="123"/>
        <v>0</v>
      </c>
      <c r="BL154" s="115" t="str">
        <f t="shared" si="124"/>
        <v>0</v>
      </c>
      <c r="BM154" s="115" t="str">
        <f t="shared" si="125"/>
        <v>0</v>
      </c>
      <c r="BN154" s="115" t="str">
        <f t="shared" si="126"/>
        <v>0</v>
      </c>
      <c r="BO154" s="115" t="str">
        <f t="shared" si="127"/>
        <v>0</v>
      </c>
      <c r="BP154" s="115">
        <f t="shared" si="128"/>
        <v>1</v>
      </c>
      <c r="BQ154" s="115">
        <f t="shared" si="129"/>
        <v>15014.010000000002</v>
      </c>
      <c r="BR154" s="115">
        <f t="shared" si="130"/>
        <v>9202</v>
      </c>
      <c r="BS154" s="115"/>
      <c r="BT154" s="115">
        <f>1+3</f>
        <v>4</v>
      </c>
      <c r="BU154" s="115"/>
      <c r="BV154" s="115"/>
      <c r="BW154" s="115">
        <v>2</v>
      </c>
      <c r="BX154" s="115">
        <v>2530</v>
      </c>
      <c r="BY154" s="253">
        <v>5277.5</v>
      </c>
      <c r="BZ154" s="253">
        <v>2966.2</v>
      </c>
      <c r="CA154" s="354">
        <f>634+931.8+389.9+193+240.6+28.6+127.8+211.3-4.3+164.6-2.7</f>
        <v>2914.6</v>
      </c>
      <c r="CB154" s="354">
        <f>10.8+51.6+15.3+2.7</f>
        <v>80.400000000000006</v>
      </c>
      <c r="CC154" s="354">
        <v>51.6</v>
      </c>
      <c r="CD154" s="354">
        <f>1178.6+259.7+319.6+315.7</f>
        <v>2073.6</v>
      </c>
      <c r="CE154" s="354">
        <f>35.5+14.6+12+17.2</f>
        <v>79.3</v>
      </c>
      <c r="CF154" s="354">
        <f>4.3+1.7</f>
        <v>6</v>
      </c>
      <c r="CG154" s="354">
        <f>18.4+26.5+24.3</f>
        <v>69.2</v>
      </c>
      <c r="CH154" s="355">
        <v>2.8</v>
      </c>
      <c r="CI154" s="356">
        <f t="shared" si="131"/>
        <v>5277.5</v>
      </c>
      <c r="CJ154" s="356">
        <f t="shared" si="116"/>
        <v>2966.2</v>
      </c>
      <c r="CK154" s="357">
        <v>2593</v>
      </c>
      <c r="CL154" s="358">
        <f t="shared" si="132"/>
        <v>7870.5</v>
      </c>
      <c r="CM154" s="205">
        <f>2509+2465</f>
        <v>4974</v>
      </c>
      <c r="CN154" s="282">
        <f t="shared" si="133"/>
        <v>1897</v>
      </c>
      <c r="CO154" s="209" t="str">
        <f t="shared" si="108"/>
        <v>0</v>
      </c>
      <c r="CP154" s="235">
        <f t="shared" si="109"/>
        <v>0</v>
      </c>
      <c r="CQ154" s="209">
        <f t="shared" si="114"/>
        <v>1</v>
      </c>
      <c r="CR154" s="235">
        <f t="shared" si="110"/>
        <v>28449.7</v>
      </c>
      <c r="CS154" s="235">
        <f t="shared" si="168"/>
        <v>1</v>
      </c>
      <c r="CT154" s="235">
        <f t="shared" si="168"/>
        <v>28449.7</v>
      </c>
      <c r="CU154" s="156">
        <v>54</v>
      </c>
      <c r="CV154" s="284" t="str">
        <f t="shared" si="134"/>
        <v>0</v>
      </c>
      <c r="CW154" s="284" t="str">
        <f t="shared" si="135"/>
        <v>0</v>
      </c>
      <c r="CX154" s="243">
        <f t="shared" si="136"/>
        <v>3.2556259120647977</v>
      </c>
      <c r="CY154" s="216" t="str">
        <f t="shared" si="137"/>
        <v>0</v>
      </c>
      <c r="CZ154" s="216" t="str">
        <f t="shared" si="138"/>
        <v>0</v>
      </c>
      <c r="DA154" s="243">
        <f t="shared" si="139"/>
        <v>4.5773950127287026</v>
      </c>
      <c r="DB154" s="306">
        <v>1</v>
      </c>
      <c r="DC154" s="306">
        <v>0</v>
      </c>
      <c r="DD154" s="306">
        <v>0</v>
      </c>
      <c r="DE154" s="306">
        <v>0</v>
      </c>
      <c r="DF154" s="306">
        <v>4</v>
      </c>
      <c r="DG154" s="306">
        <v>0</v>
      </c>
      <c r="DH154" s="306">
        <v>0</v>
      </c>
      <c r="DI154" s="306">
        <v>0</v>
      </c>
      <c r="DJ154" s="306">
        <v>0</v>
      </c>
      <c r="DK154" s="306">
        <v>236</v>
      </c>
      <c r="DL154" s="306">
        <f t="shared" si="112"/>
        <v>226</v>
      </c>
      <c r="DM154" s="306">
        <v>10</v>
      </c>
      <c r="DN154" s="306">
        <v>223</v>
      </c>
      <c r="DO154" s="306">
        <v>150</v>
      </c>
      <c r="DP154" s="306">
        <v>145</v>
      </c>
      <c r="DQ154" s="306">
        <v>197</v>
      </c>
      <c r="DR154" s="306">
        <v>150</v>
      </c>
      <c r="DS154" s="306">
        <v>144</v>
      </c>
      <c r="DT154" s="306">
        <v>198</v>
      </c>
      <c r="DU154" s="306">
        <v>9</v>
      </c>
      <c r="DV154" s="306">
        <v>5</v>
      </c>
      <c r="DW154" s="306">
        <v>2</v>
      </c>
      <c r="DX154" s="306">
        <v>6</v>
      </c>
      <c r="DY154" s="306">
        <v>5</v>
      </c>
      <c r="DZ154" s="306">
        <v>2</v>
      </c>
      <c r="EA154" s="306">
        <v>6</v>
      </c>
      <c r="EB154" s="306">
        <v>236</v>
      </c>
      <c r="EC154" s="306">
        <v>236</v>
      </c>
      <c r="ED154" s="342"/>
      <c r="EE154" s="342"/>
    </row>
    <row r="155" spans="1:135" x14ac:dyDescent="0.2">
      <c r="A155" s="12" t="s">
        <v>197</v>
      </c>
      <c r="B155" s="169">
        <v>145</v>
      </c>
      <c r="C155" s="12" t="s">
        <v>298</v>
      </c>
      <c r="D155" s="169">
        <v>1989</v>
      </c>
      <c r="E155" s="11"/>
      <c r="F155" s="206" t="s">
        <v>24</v>
      </c>
      <c r="G155" s="35">
        <v>1</v>
      </c>
      <c r="H155" s="201">
        <v>9</v>
      </c>
      <c r="I155" s="201" t="s">
        <v>173</v>
      </c>
      <c r="J155" s="115">
        <f>19536+9839+10113</f>
        <v>39488</v>
      </c>
      <c r="K155" s="115">
        <f>791+404+445</f>
        <v>1640</v>
      </c>
      <c r="L155" s="157"/>
      <c r="M155" s="115">
        <f>713+364+371</f>
        <v>1448</v>
      </c>
      <c r="N155" s="115">
        <v>134</v>
      </c>
      <c r="O155" s="115">
        <v>336</v>
      </c>
      <c r="P155" s="115">
        <v>134</v>
      </c>
      <c r="Q155" s="115">
        <v>310</v>
      </c>
      <c r="R155" s="228">
        <f>8260.08-3+1.9</f>
        <v>8258.98</v>
      </c>
      <c r="S155" s="230">
        <v>5000.3999999999996</v>
      </c>
      <c r="T155" s="115">
        <f t="shared" si="117"/>
        <v>127</v>
      </c>
      <c r="U155" s="203">
        <f t="shared" si="118"/>
        <v>7834.3799999999992</v>
      </c>
      <c r="V155" s="180">
        <f t="shared" si="118"/>
        <v>4737.1499999999996</v>
      </c>
      <c r="W155" s="115">
        <v>7</v>
      </c>
      <c r="X155" s="207">
        <v>424.6</v>
      </c>
      <c r="Y155" s="207">
        <v>263.25</v>
      </c>
      <c r="Z155" s="204"/>
      <c r="AA155" s="207"/>
      <c r="AB155" s="207"/>
      <c r="AC155" s="207">
        <f t="shared" si="119"/>
        <v>470.79999999999995</v>
      </c>
      <c r="AD155" s="248">
        <f t="shared" si="120"/>
        <v>237.2</v>
      </c>
      <c r="AE155" s="248"/>
      <c r="AF155" s="275">
        <v>237.2</v>
      </c>
      <c r="AG155" s="207">
        <v>233.6</v>
      </c>
      <c r="AH155" s="207"/>
      <c r="AI155" s="207">
        <f t="shared" si="121"/>
        <v>8729.7799999999988</v>
      </c>
      <c r="AJ155" s="170"/>
      <c r="AK155" s="170">
        <v>4</v>
      </c>
      <c r="AL155" s="170">
        <v>4</v>
      </c>
      <c r="AM155" s="170">
        <v>4</v>
      </c>
      <c r="AN155" s="170"/>
      <c r="AO155" s="170">
        <v>4</v>
      </c>
      <c r="AP155" s="170">
        <f>3623.3+1811.7+2530</f>
        <v>7965</v>
      </c>
      <c r="AQ155" s="170"/>
      <c r="AR155" s="170">
        <f>436.67+218.33+120</f>
        <v>775</v>
      </c>
      <c r="AS155" s="170">
        <f>281.33+140.67+148</f>
        <v>570</v>
      </c>
      <c r="AT155" s="170">
        <f>150+75+75</f>
        <v>300</v>
      </c>
      <c r="AU155" s="170">
        <f t="shared" si="107"/>
        <v>16399.97</v>
      </c>
      <c r="AV155" s="170"/>
      <c r="AW155" s="170">
        <f>10933.3+5466.67</f>
        <v>16399.97</v>
      </c>
      <c r="AX155" s="170">
        <f>1680+840</f>
        <v>2520</v>
      </c>
      <c r="AY155" s="170">
        <f>225+112+218</f>
        <v>555</v>
      </c>
      <c r="AZ155" s="170">
        <f>713+364+371</f>
        <v>1448</v>
      </c>
      <c r="BA155" s="170">
        <f>587+298+265</f>
        <v>1150</v>
      </c>
      <c r="BB155" s="170">
        <f>48+24+18</f>
        <v>90</v>
      </c>
      <c r="BC155" s="170">
        <f>56+28+2</f>
        <v>86</v>
      </c>
      <c r="BD155" s="170">
        <f>232+226+226</f>
        <v>684</v>
      </c>
      <c r="BE155" s="170">
        <f>424+212+212</f>
        <v>848</v>
      </c>
      <c r="BF155" s="170">
        <v>3</v>
      </c>
      <c r="BG155" s="170">
        <v>15200</v>
      </c>
      <c r="BH155" s="170">
        <v>6540</v>
      </c>
      <c r="BI155" s="170">
        <v>180</v>
      </c>
      <c r="BJ155" s="115" t="str">
        <f t="shared" si="122"/>
        <v>0</v>
      </c>
      <c r="BK155" s="115" t="str">
        <f t="shared" si="123"/>
        <v>0</v>
      </c>
      <c r="BL155" s="115" t="str">
        <f t="shared" si="124"/>
        <v>0</v>
      </c>
      <c r="BM155" s="115" t="str">
        <f t="shared" si="125"/>
        <v>0</v>
      </c>
      <c r="BN155" s="115" t="str">
        <f t="shared" si="126"/>
        <v>0</v>
      </c>
      <c r="BO155" s="115" t="str">
        <f t="shared" si="127"/>
        <v>0</v>
      </c>
      <c r="BP155" s="115">
        <f t="shared" si="128"/>
        <v>1</v>
      </c>
      <c r="BQ155" s="115">
        <f t="shared" si="129"/>
        <v>8258.98</v>
      </c>
      <c r="BR155" s="115">
        <f t="shared" si="130"/>
        <v>5000.3999999999996</v>
      </c>
      <c r="BS155" s="115"/>
      <c r="BT155" s="115">
        <v>3</v>
      </c>
      <c r="BU155" s="115"/>
      <c r="BV155" s="115"/>
      <c r="BW155" s="115">
        <v>8</v>
      </c>
      <c r="BX155" s="115">
        <v>2530</v>
      </c>
      <c r="BY155" s="253">
        <v>2832.8</v>
      </c>
      <c r="BZ155" s="253">
        <v>1568.9</v>
      </c>
      <c r="CA155" s="354">
        <f>445.8+332.9-(3.1+3)+166.5-2.8+217.7+385.1+11.8</f>
        <v>1550.8999999999999</v>
      </c>
      <c r="CB155" s="354">
        <f>(3.1+3)+2.8+13.8+7.4+2.9</f>
        <v>33</v>
      </c>
      <c r="CC155" s="354">
        <v>18</v>
      </c>
      <c r="CD155" s="354">
        <f>587+298.7+264.8</f>
        <v>1150.5</v>
      </c>
      <c r="CE155" s="354">
        <f>21.9+14.7+25.1</f>
        <v>61.699999999999996</v>
      </c>
      <c r="CF155" s="354"/>
      <c r="CG155" s="354">
        <f>9.1+5.2+4.4</f>
        <v>18.700000000000003</v>
      </c>
      <c r="CH155" s="355"/>
      <c r="CI155" s="356">
        <f t="shared" si="131"/>
        <v>2832.8</v>
      </c>
      <c r="CJ155" s="356">
        <f t="shared" si="116"/>
        <v>1568.8999999999999</v>
      </c>
      <c r="CK155" s="357">
        <v>1448</v>
      </c>
      <c r="CL155" s="358">
        <f t="shared" si="132"/>
        <v>4280.8</v>
      </c>
      <c r="CM155" s="205">
        <v>3827</v>
      </c>
      <c r="CN155" s="282">
        <f t="shared" si="133"/>
        <v>2187</v>
      </c>
      <c r="CO155" s="209" t="str">
        <f t="shared" si="108"/>
        <v>0</v>
      </c>
      <c r="CP155" s="235">
        <f t="shared" si="109"/>
        <v>0</v>
      </c>
      <c r="CQ155" s="209">
        <f t="shared" si="114"/>
        <v>1</v>
      </c>
      <c r="CR155" s="235">
        <f t="shared" si="110"/>
        <v>16399.97</v>
      </c>
      <c r="CS155" s="235">
        <f t="shared" si="168"/>
        <v>1</v>
      </c>
      <c r="CT155" s="235">
        <f t="shared" si="168"/>
        <v>16399.97</v>
      </c>
      <c r="CU155" s="156">
        <v>54</v>
      </c>
      <c r="CV155" s="284" t="str">
        <f t="shared" si="134"/>
        <v>0</v>
      </c>
      <c r="CW155" s="284" t="str">
        <f t="shared" si="135"/>
        <v>0</v>
      </c>
      <c r="CX155" s="243">
        <f t="shared" si="136"/>
        <v>5.1410706891165745</v>
      </c>
      <c r="CY155" s="216" t="str">
        <f t="shared" si="137"/>
        <v>0</v>
      </c>
      <c r="CZ155" s="216" t="str">
        <f t="shared" si="138"/>
        <v>0</v>
      </c>
      <c r="DA155" s="243">
        <f t="shared" si="139"/>
        <v>7.5809470570850594</v>
      </c>
      <c r="DB155" s="306">
        <v>1</v>
      </c>
      <c r="DC155" s="306">
        <v>0</v>
      </c>
      <c r="DD155" s="306">
        <v>0</v>
      </c>
      <c r="DE155" s="306">
        <v>0</v>
      </c>
      <c r="DF155" s="306">
        <v>2</v>
      </c>
      <c r="DG155" s="306">
        <v>0</v>
      </c>
      <c r="DH155" s="306">
        <v>0</v>
      </c>
      <c r="DI155" s="306">
        <v>0</v>
      </c>
      <c r="DJ155" s="306">
        <v>0</v>
      </c>
      <c r="DK155" s="306">
        <v>134</v>
      </c>
      <c r="DL155" s="306">
        <f t="shared" si="112"/>
        <v>131</v>
      </c>
      <c r="DM155" s="306">
        <v>3</v>
      </c>
      <c r="DN155" s="306">
        <v>130</v>
      </c>
      <c r="DO155" s="306">
        <v>77</v>
      </c>
      <c r="DP155" s="306">
        <v>84</v>
      </c>
      <c r="DQ155" s="306">
        <v>93</v>
      </c>
      <c r="DR155" s="306">
        <v>86</v>
      </c>
      <c r="DS155" s="306">
        <v>74</v>
      </c>
      <c r="DT155" s="306">
        <v>103</v>
      </c>
      <c r="DU155" s="306">
        <v>3</v>
      </c>
      <c r="DV155" s="306">
        <v>2</v>
      </c>
      <c r="DW155" s="306">
        <v>5</v>
      </c>
      <c r="DX155" s="306">
        <v>3</v>
      </c>
      <c r="DY155" s="306">
        <v>2</v>
      </c>
      <c r="DZ155" s="306">
        <v>5</v>
      </c>
      <c r="EA155" s="306">
        <v>3</v>
      </c>
      <c r="EB155" s="306">
        <v>134</v>
      </c>
      <c r="EC155" s="306">
        <v>134</v>
      </c>
      <c r="ED155" s="342"/>
      <c r="EE155" s="342"/>
    </row>
    <row r="156" spans="1:135" x14ac:dyDescent="0.2">
      <c r="A156" s="12" t="s">
        <v>197</v>
      </c>
      <c r="B156" s="169">
        <v>146</v>
      </c>
      <c r="C156" s="12" t="s">
        <v>299</v>
      </c>
      <c r="D156" s="200">
        <v>1981</v>
      </c>
      <c r="E156" s="11"/>
      <c r="F156" s="169">
        <v>84</v>
      </c>
      <c r="G156" s="35">
        <v>1</v>
      </c>
      <c r="H156" s="201">
        <v>9</v>
      </c>
      <c r="I156" s="201" t="s">
        <v>22</v>
      </c>
      <c r="J156" s="115">
        <v>14293</v>
      </c>
      <c r="K156" s="115">
        <v>606</v>
      </c>
      <c r="L156" s="157"/>
      <c r="M156" s="115">
        <v>563</v>
      </c>
      <c r="N156" s="115">
        <v>72</v>
      </c>
      <c r="O156" s="115">
        <v>142</v>
      </c>
      <c r="P156" s="115">
        <v>72</v>
      </c>
      <c r="Q156" s="115">
        <v>120</v>
      </c>
      <c r="R156" s="228">
        <v>3589.8</v>
      </c>
      <c r="S156" s="230">
        <v>2124.9</v>
      </c>
      <c r="T156" s="115">
        <f t="shared" si="117"/>
        <v>66</v>
      </c>
      <c r="U156" s="203">
        <f t="shared" si="118"/>
        <v>3322.4</v>
      </c>
      <c r="V156" s="180">
        <f t="shared" si="118"/>
        <v>1959.1100000000001</v>
      </c>
      <c r="W156" s="115">
        <v>6</v>
      </c>
      <c r="X156" s="207">
        <v>267.39999999999998</v>
      </c>
      <c r="Y156" s="207">
        <v>165.79</v>
      </c>
      <c r="Z156" s="204"/>
      <c r="AA156" s="207"/>
      <c r="AB156" s="207"/>
      <c r="AC156" s="207">
        <f t="shared" si="119"/>
        <v>0</v>
      </c>
      <c r="AD156" s="248">
        <f t="shared" si="120"/>
        <v>0</v>
      </c>
      <c r="AE156" s="275"/>
      <c r="AF156" s="275"/>
      <c r="AG156" s="207"/>
      <c r="AH156" s="207"/>
      <c r="AI156" s="207">
        <f t="shared" si="121"/>
        <v>3589.8</v>
      </c>
      <c r="AJ156" s="170"/>
      <c r="AK156" s="170">
        <v>2</v>
      </c>
      <c r="AL156" s="170">
        <v>2</v>
      </c>
      <c r="AM156" s="170">
        <v>2</v>
      </c>
      <c r="AN156" s="170"/>
      <c r="AO156" s="170">
        <v>3</v>
      </c>
      <c r="AP156" s="170">
        <v>3006</v>
      </c>
      <c r="AQ156" s="170"/>
      <c r="AR156" s="170">
        <v>390</v>
      </c>
      <c r="AS156" s="170">
        <v>244</v>
      </c>
      <c r="AT156" s="170">
        <v>72</v>
      </c>
      <c r="AU156" s="170">
        <f t="shared" si="107"/>
        <v>8480</v>
      </c>
      <c r="AV156" s="170"/>
      <c r="AW156" s="170">
        <v>8480</v>
      </c>
      <c r="AX156" s="170">
        <v>1680</v>
      </c>
      <c r="AY156" s="170">
        <v>189</v>
      </c>
      <c r="AZ156" s="170">
        <v>563</v>
      </c>
      <c r="BA156" s="170">
        <v>563</v>
      </c>
      <c r="BB156" s="170">
        <v>36</v>
      </c>
      <c r="BC156" s="170">
        <v>4</v>
      </c>
      <c r="BD156" s="170">
        <v>214</v>
      </c>
      <c r="BE156" s="170">
        <v>340</v>
      </c>
      <c r="BF156" s="170">
        <v>1</v>
      </c>
      <c r="BG156" s="170">
        <v>7140</v>
      </c>
      <c r="BH156" s="170">
        <v>3270</v>
      </c>
      <c r="BI156" s="170">
        <v>90</v>
      </c>
      <c r="BJ156" s="115" t="str">
        <f t="shared" si="122"/>
        <v>0</v>
      </c>
      <c r="BK156" s="115" t="str">
        <f t="shared" si="123"/>
        <v>0</v>
      </c>
      <c r="BL156" s="115" t="str">
        <f t="shared" si="124"/>
        <v>0</v>
      </c>
      <c r="BM156" s="115">
        <f t="shared" si="125"/>
        <v>1</v>
      </c>
      <c r="BN156" s="115">
        <f t="shared" si="126"/>
        <v>3589.8</v>
      </c>
      <c r="BO156" s="115">
        <f t="shared" si="127"/>
        <v>2124.9</v>
      </c>
      <c r="BP156" s="115" t="str">
        <f t="shared" si="128"/>
        <v>0</v>
      </c>
      <c r="BQ156" s="115" t="str">
        <f t="shared" si="129"/>
        <v>0</v>
      </c>
      <c r="BR156" s="115" t="str">
        <f t="shared" si="130"/>
        <v>0</v>
      </c>
      <c r="BS156" s="115"/>
      <c r="BT156" s="115">
        <v>1</v>
      </c>
      <c r="BU156" s="115">
        <f>BA156</f>
        <v>563</v>
      </c>
      <c r="BV156" s="115">
        <v>3168</v>
      </c>
      <c r="BW156" s="115"/>
      <c r="BX156" s="115"/>
      <c r="BY156" s="253">
        <v>1143</v>
      </c>
      <c r="BZ156" s="253">
        <v>559.79999999999995</v>
      </c>
      <c r="CA156" s="354">
        <f>545.8-2.8*2</f>
        <v>540.19999999999993</v>
      </c>
      <c r="CB156" s="354">
        <f>2.8*2</f>
        <v>5.6</v>
      </c>
      <c r="CC156" s="354">
        <v>19.600000000000001</v>
      </c>
      <c r="CD156" s="354">
        <v>562.70000000000005</v>
      </c>
      <c r="CE156" s="354">
        <f>2.8+2.7</f>
        <v>5.5</v>
      </c>
      <c r="CF156" s="354"/>
      <c r="CG156" s="354">
        <f>4.5+4.9</f>
        <v>9.4</v>
      </c>
      <c r="CH156" s="355"/>
      <c r="CI156" s="356">
        <f t="shared" si="131"/>
        <v>1143</v>
      </c>
      <c r="CJ156" s="356">
        <f t="shared" si="116"/>
        <v>559.79999999999995</v>
      </c>
      <c r="CK156" s="357">
        <v>563</v>
      </c>
      <c r="CL156" s="358">
        <f t="shared" si="132"/>
        <v>1706</v>
      </c>
      <c r="CM156" s="205">
        <v>1602</v>
      </c>
      <c r="CN156" s="282">
        <f t="shared" si="133"/>
        <v>996</v>
      </c>
      <c r="CO156" s="209" t="str">
        <f t="shared" si="108"/>
        <v>0</v>
      </c>
      <c r="CP156" s="235">
        <f t="shared" si="109"/>
        <v>0</v>
      </c>
      <c r="CQ156" s="209">
        <f t="shared" si="114"/>
        <v>1</v>
      </c>
      <c r="CR156" s="235">
        <f t="shared" si="110"/>
        <v>8480</v>
      </c>
      <c r="CS156" s="235">
        <f t="shared" si="168"/>
        <v>1</v>
      </c>
      <c r="CT156" s="235">
        <f t="shared" si="168"/>
        <v>8480</v>
      </c>
      <c r="CU156" s="156">
        <v>44</v>
      </c>
      <c r="CV156" s="284" t="str">
        <f t="shared" si="134"/>
        <v>0</v>
      </c>
      <c r="CW156" s="284" t="str">
        <f t="shared" si="135"/>
        <v>0</v>
      </c>
      <c r="CX156" s="243">
        <f t="shared" si="136"/>
        <v>7.4488829461251305</v>
      </c>
      <c r="CY156" s="216" t="str">
        <f t="shared" si="137"/>
        <v>0</v>
      </c>
      <c r="CZ156" s="216" t="str">
        <f t="shared" si="138"/>
        <v>0</v>
      </c>
      <c r="DA156" s="243">
        <f t="shared" si="139"/>
        <v>7.4488829461251305</v>
      </c>
      <c r="DB156" s="306">
        <v>1</v>
      </c>
      <c r="DC156" s="306">
        <v>0</v>
      </c>
      <c r="DD156" s="306">
        <v>0</v>
      </c>
      <c r="DE156" s="306">
        <v>0</v>
      </c>
      <c r="DF156" s="306">
        <v>2</v>
      </c>
      <c r="DG156" s="306">
        <v>0</v>
      </c>
      <c r="DH156" s="306">
        <v>0</v>
      </c>
      <c r="DI156" s="306">
        <v>0</v>
      </c>
      <c r="DJ156" s="306">
        <v>0</v>
      </c>
      <c r="DK156" s="306">
        <v>72</v>
      </c>
      <c r="DL156" s="306">
        <f t="shared" si="112"/>
        <v>70</v>
      </c>
      <c r="DM156" s="306">
        <v>2</v>
      </c>
      <c r="DN156" s="306">
        <v>69</v>
      </c>
      <c r="DO156" s="306">
        <v>50</v>
      </c>
      <c r="DP156" s="306">
        <v>26</v>
      </c>
      <c r="DQ156" s="306">
        <v>63</v>
      </c>
      <c r="DR156" s="306">
        <v>50</v>
      </c>
      <c r="DS156" s="306">
        <v>26</v>
      </c>
      <c r="DT156" s="306">
        <v>63</v>
      </c>
      <c r="DU156" s="306">
        <v>2</v>
      </c>
      <c r="DV156" s="306">
        <v>1</v>
      </c>
      <c r="DW156" s="306">
        <v>4</v>
      </c>
      <c r="DX156" s="306">
        <v>2</v>
      </c>
      <c r="DY156" s="306">
        <v>1</v>
      </c>
      <c r="DZ156" s="306">
        <v>4</v>
      </c>
      <c r="EA156" s="306">
        <v>2</v>
      </c>
      <c r="EB156" s="306">
        <v>72</v>
      </c>
      <c r="EC156" s="306">
        <v>72</v>
      </c>
      <c r="ED156" s="342"/>
      <c r="EE156" s="342"/>
    </row>
    <row r="157" spans="1:135" x14ac:dyDescent="0.2">
      <c r="A157" s="12" t="s">
        <v>197</v>
      </c>
      <c r="B157" s="169">
        <v>147</v>
      </c>
      <c r="C157" s="12" t="s">
        <v>300</v>
      </c>
      <c r="D157" s="200">
        <v>1987</v>
      </c>
      <c r="E157" s="11"/>
      <c r="F157" s="206" t="s">
        <v>24</v>
      </c>
      <c r="G157" s="35">
        <v>1</v>
      </c>
      <c r="H157" s="201">
        <v>9</v>
      </c>
      <c r="I157" s="201" t="s">
        <v>22</v>
      </c>
      <c r="J157" s="115">
        <v>19870</v>
      </c>
      <c r="K157" s="115">
        <v>773</v>
      </c>
      <c r="L157" s="157"/>
      <c r="M157" s="115">
        <v>724</v>
      </c>
      <c r="N157" s="115">
        <v>70</v>
      </c>
      <c r="O157" s="115">
        <v>196</v>
      </c>
      <c r="P157" s="115">
        <v>70</v>
      </c>
      <c r="Q157" s="115">
        <v>172</v>
      </c>
      <c r="R157" s="228">
        <v>4600.8999999999996</v>
      </c>
      <c r="S157" s="230">
        <v>2890.5</v>
      </c>
      <c r="T157" s="115">
        <f t="shared" si="117"/>
        <v>65</v>
      </c>
      <c r="U157" s="203">
        <f t="shared" si="118"/>
        <v>4294</v>
      </c>
      <c r="V157" s="180">
        <f t="shared" si="118"/>
        <v>2700.22</v>
      </c>
      <c r="W157" s="115">
        <v>5</v>
      </c>
      <c r="X157" s="207">
        <v>306.89999999999998</v>
      </c>
      <c r="Y157" s="207">
        <v>190.28</v>
      </c>
      <c r="Z157" s="204"/>
      <c r="AA157" s="207"/>
      <c r="AB157" s="207"/>
      <c r="AC157" s="207">
        <f t="shared" si="119"/>
        <v>0</v>
      </c>
      <c r="AD157" s="248">
        <f t="shared" si="120"/>
        <v>0</v>
      </c>
      <c r="AE157" s="275"/>
      <c r="AF157" s="275"/>
      <c r="AG157" s="207"/>
      <c r="AH157" s="207"/>
      <c r="AI157" s="207">
        <f t="shared" si="121"/>
        <v>4600.8999999999996</v>
      </c>
      <c r="AJ157" s="170"/>
      <c r="AK157" s="170">
        <v>2</v>
      </c>
      <c r="AL157" s="170">
        <v>2</v>
      </c>
      <c r="AM157" s="170">
        <v>2</v>
      </c>
      <c r="AN157" s="170"/>
      <c r="AO157" s="170">
        <v>2</v>
      </c>
      <c r="AP157" s="170">
        <v>3575</v>
      </c>
      <c r="AQ157" s="170"/>
      <c r="AR157" s="170">
        <v>395</v>
      </c>
      <c r="AS157" s="170">
        <v>244</v>
      </c>
      <c r="AT157" s="170">
        <v>225</v>
      </c>
      <c r="AU157" s="170">
        <f t="shared" si="107"/>
        <v>8180</v>
      </c>
      <c r="AV157" s="170"/>
      <c r="AW157" s="170">
        <v>8180</v>
      </c>
      <c r="AX157" s="170">
        <v>1380</v>
      </c>
      <c r="AY157" s="170">
        <v>223</v>
      </c>
      <c r="AZ157" s="170">
        <v>537</v>
      </c>
      <c r="BA157" s="170">
        <v>537</v>
      </c>
      <c r="BB157" s="170">
        <v>36</v>
      </c>
      <c r="BC157" s="170">
        <v>42</v>
      </c>
      <c r="BD157" s="170">
        <v>232</v>
      </c>
      <c r="BE157" s="170">
        <v>424</v>
      </c>
      <c r="BF157" s="170">
        <v>1</v>
      </c>
      <c r="BG157" s="170">
        <v>7600</v>
      </c>
      <c r="BH157" s="170">
        <v>3270</v>
      </c>
      <c r="BI157" s="170">
        <v>90</v>
      </c>
      <c r="BJ157" s="115" t="str">
        <f t="shared" si="122"/>
        <v>0</v>
      </c>
      <c r="BK157" s="115" t="str">
        <f t="shared" si="123"/>
        <v>0</v>
      </c>
      <c r="BL157" s="115" t="str">
        <f t="shared" si="124"/>
        <v>0</v>
      </c>
      <c r="BM157" s="115">
        <f t="shared" si="125"/>
        <v>1</v>
      </c>
      <c r="BN157" s="115">
        <f t="shared" si="126"/>
        <v>4600.8999999999996</v>
      </c>
      <c r="BO157" s="115">
        <f t="shared" si="127"/>
        <v>2890.5</v>
      </c>
      <c r="BP157" s="115" t="str">
        <f t="shared" si="128"/>
        <v>0</v>
      </c>
      <c r="BQ157" s="115" t="str">
        <f t="shared" si="129"/>
        <v>0</v>
      </c>
      <c r="BR157" s="115" t="str">
        <f t="shared" si="130"/>
        <v>0</v>
      </c>
      <c r="BS157" s="115"/>
      <c r="BT157" s="115">
        <v>1</v>
      </c>
      <c r="BU157" s="115"/>
      <c r="BV157" s="115"/>
      <c r="BW157" s="115"/>
      <c r="BX157" s="115"/>
      <c r="BY157" s="253">
        <v>1577.5</v>
      </c>
      <c r="BZ157" s="253">
        <v>777.1</v>
      </c>
      <c r="CA157" s="354">
        <f>309.9+473.5-(3.1+3.2)</f>
        <v>777.1</v>
      </c>
      <c r="CB157" s="354">
        <f>(3.1+3.2)+33.6</f>
        <v>39.900000000000006</v>
      </c>
      <c r="CC157" s="354"/>
      <c r="CD157" s="354">
        <v>724.4</v>
      </c>
      <c r="CE157" s="354">
        <v>36.1</v>
      </c>
      <c r="CF157" s="354"/>
      <c r="CG157" s="354"/>
      <c r="CH157" s="355"/>
      <c r="CI157" s="356">
        <f t="shared" si="131"/>
        <v>1577.5</v>
      </c>
      <c r="CJ157" s="356">
        <f t="shared" si="116"/>
        <v>777.1</v>
      </c>
      <c r="CK157" s="357">
        <v>537</v>
      </c>
      <c r="CL157" s="358">
        <f t="shared" si="132"/>
        <v>2114.5</v>
      </c>
      <c r="CM157" s="205">
        <v>2043</v>
      </c>
      <c r="CN157" s="282">
        <f t="shared" si="133"/>
        <v>1270</v>
      </c>
      <c r="CO157" s="209" t="str">
        <f t="shared" si="108"/>
        <v>0</v>
      </c>
      <c r="CP157" s="235">
        <f t="shared" si="109"/>
        <v>0</v>
      </c>
      <c r="CQ157" s="209">
        <f t="shared" si="114"/>
        <v>1</v>
      </c>
      <c r="CR157" s="235">
        <f t="shared" si="110"/>
        <v>8180</v>
      </c>
      <c r="CS157" s="235">
        <f t="shared" si="168"/>
        <v>1</v>
      </c>
      <c r="CT157" s="235">
        <f t="shared" si="168"/>
        <v>8180</v>
      </c>
      <c r="CU157" s="156">
        <v>50</v>
      </c>
      <c r="CV157" s="284" t="str">
        <f t="shared" si="134"/>
        <v>0</v>
      </c>
      <c r="CW157" s="284" t="str">
        <f t="shared" si="135"/>
        <v>0</v>
      </c>
      <c r="CX157" s="243">
        <f t="shared" si="136"/>
        <v>6.6704340455128337</v>
      </c>
      <c r="CY157" s="216" t="str">
        <f t="shared" si="137"/>
        <v>0</v>
      </c>
      <c r="CZ157" s="216" t="str">
        <f t="shared" si="138"/>
        <v>0</v>
      </c>
      <c r="DA157" s="243">
        <f t="shared" si="139"/>
        <v>6.6704340455128337</v>
      </c>
      <c r="DB157" s="306">
        <v>1</v>
      </c>
      <c r="DC157" s="306">
        <v>0</v>
      </c>
      <c r="DD157" s="306">
        <v>0</v>
      </c>
      <c r="DE157" s="306">
        <v>0</v>
      </c>
      <c r="DF157" s="306">
        <v>2</v>
      </c>
      <c r="DG157" s="306">
        <v>0</v>
      </c>
      <c r="DH157" s="306">
        <v>0</v>
      </c>
      <c r="DI157" s="306">
        <v>0</v>
      </c>
      <c r="DJ157" s="306">
        <v>0</v>
      </c>
      <c r="DK157" s="306">
        <v>70</v>
      </c>
      <c r="DL157" s="306">
        <f t="shared" si="112"/>
        <v>64</v>
      </c>
      <c r="DM157" s="306">
        <v>6</v>
      </c>
      <c r="DN157" s="306">
        <v>63</v>
      </c>
      <c r="DO157" s="306">
        <v>44</v>
      </c>
      <c r="DP157" s="306">
        <v>32</v>
      </c>
      <c r="DQ157" s="306">
        <v>55</v>
      </c>
      <c r="DR157" s="306">
        <v>44</v>
      </c>
      <c r="DS157" s="306">
        <v>32</v>
      </c>
      <c r="DT157" s="306">
        <v>55</v>
      </c>
      <c r="DU157" s="306">
        <v>6</v>
      </c>
      <c r="DV157" s="306">
        <v>2</v>
      </c>
      <c r="DW157" s="306">
        <v>0</v>
      </c>
      <c r="DX157" s="306">
        <v>2</v>
      </c>
      <c r="DY157" s="306">
        <v>2</v>
      </c>
      <c r="DZ157" s="306">
        <v>0</v>
      </c>
      <c r="EA157" s="306">
        <v>2</v>
      </c>
      <c r="EB157" s="306">
        <v>70</v>
      </c>
      <c r="EC157" s="306">
        <v>70</v>
      </c>
      <c r="ED157" s="342"/>
      <c r="EE157" s="342"/>
    </row>
    <row r="158" spans="1:135" x14ac:dyDescent="0.2">
      <c r="A158" s="12" t="s">
        <v>197</v>
      </c>
      <c r="B158" s="169">
        <v>148</v>
      </c>
      <c r="C158" s="12" t="s">
        <v>301</v>
      </c>
      <c r="D158" s="200">
        <v>1980</v>
      </c>
      <c r="E158" s="11"/>
      <c r="F158" s="169">
        <v>84</v>
      </c>
      <c r="G158" s="35">
        <v>1</v>
      </c>
      <c r="H158" s="201">
        <v>9</v>
      </c>
      <c r="I158" s="201" t="s">
        <v>22</v>
      </c>
      <c r="J158" s="115">
        <v>94314</v>
      </c>
      <c r="K158" s="115">
        <v>3851</v>
      </c>
      <c r="L158" s="157"/>
      <c r="M158" s="115">
        <v>3697</v>
      </c>
      <c r="N158" s="115">
        <v>428</v>
      </c>
      <c r="O158" s="115">
        <v>1027</v>
      </c>
      <c r="P158" s="115">
        <v>432</v>
      </c>
      <c r="Q158" s="115">
        <v>943</v>
      </c>
      <c r="R158" s="228">
        <f>23549.6-2.91+12-0.04</f>
        <v>23558.649999999998</v>
      </c>
      <c r="S158" s="230">
        <v>14132.68</v>
      </c>
      <c r="T158" s="115">
        <f t="shared" si="117"/>
        <v>403</v>
      </c>
      <c r="U158" s="203">
        <f t="shared" si="118"/>
        <v>22240.659999999996</v>
      </c>
      <c r="V158" s="180">
        <f t="shared" si="118"/>
        <v>13315.53</v>
      </c>
      <c r="W158" s="115">
        <v>25</v>
      </c>
      <c r="X158" s="207">
        <v>1317.99</v>
      </c>
      <c r="Y158" s="207">
        <v>817.15</v>
      </c>
      <c r="Z158" s="204"/>
      <c r="AA158" s="207"/>
      <c r="AB158" s="207"/>
      <c r="AC158" s="207">
        <f t="shared" si="119"/>
        <v>115.15</v>
      </c>
      <c r="AD158" s="248">
        <f t="shared" si="120"/>
        <v>115.15</v>
      </c>
      <c r="AE158" s="275"/>
      <c r="AF158" s="275">
        <f>83.95+31.2</f>
        <v>115.15</v>
      </c>
      <c r="AG158" s="207">
        <f>115.15-115.15</f>
        <v>0</v>
      </c>
      <c r="AH158" s="207"/>
      <c r="AI158" s="207">
        <f t="shared" si="121"/>
        <v>23673.8</v>
      </c>
      <c r="AJ158" s="170"/>
      <c r="AK158" s="170">
        <v>12</v>
      </c>
      <c r="AL158" s="170">
        <v>12</v>
      </c>
      <c r="AM158" s="170">
        <v>12</v>
      </c>
      <c r="AN158" s="170"/>
      <c r="AO158" s="170">
        <v>13</v>
      </c>
      <c r="AP158" s="170">
        <v>21101</v>
      </c>
      <c r="AQ158" s="170"/>
      <c r="AR158" s="170">
        <v>1570</v>
      </c>
      <c r="AS158" s="170">
        <v>1360</v>
      </c>
      <c r="AT158" s="170">
        <v>432</v>
      </c>
      <c r="AU158" s="170">
        <f t="shared" si="107"/>
        <v>12220</v>
      </c>
      <c r="AV158" s="170"/>
      <c r="AW158" s="170">
        <v>12220</v>
      </c>
      <c r="AX158" s="170">
        <v>10080</v>
      </c>
      <c r="AY158" s="170">
        <v>1080</v>
      </c>
      <c r="AZ158" s="170">
        <v>3280</v>
      </c>
      <c r="BA158" s="170">
        <v>3280</v>
      </c>
      <c r="BB158" s="170">
        <v>216</v>
      </c>
      <c r="BC158" s="170">
        <v>24</v>
      </c>
      <c r="BD158" s="170">
        <v>1284</v>
      </c>
      <c r="BE158" s="170">
        <v>2040</v>
      </c>
      <c r="BF158" s="170">
        <v>4</v>
      </c>
      <c r="BG158" s="170">
        <v>42840</v>
      </c>
      <c r="BH158" s="170">
        <v>19620</v>
      </c>
      <c r="BI158" s="170">
        <v>540</v>
      </c>
      <c r="BJ158" s="115" t="str">
        <f t="shared" si="122"/>
        <v>0</v>
      </c>
      <c r="BK158" s="115" t="str">
        <f t="shared" si="123"/>
        <v>0</v>
      </c>
      <c r="BL158" s="115" t="str">
        <f t="shared" si="124"/>
        <v>0</v>
      </c>
      <c r="BM158" s="115">
        <f t="shared" si="125"/>
        <v>1</v>
      </c>
      <c r="BN158" s="115">
        <f t="shared" si="126"/>
        <v>23558.649999999998</v>
      </c>
      <c r="BO158" s="115">
        <f t="shared" si="127"/>
        <v>14132.68</v>
      </c>
      <c r="BP158" s="115" t="str">
        <f t="shared" si="128"/>
        <v>0</v>
      </c>
      <c r="BQ158" s="115" t="str">
        <f t="shared" si="129"/>
        <v>0</v>
      </c>
      <c r="BR158" s="115" t="str">
        <f t="shared" si="130"/>
        <v>0</v>
      </c>
      <c r="BS158" s="115"/>
      <c r="BT158" s="115">
        <v>5</v>
      </c>
      <c r="BU158" s="115">
        <f>BA158</f>
        <v>3280</v>
      </c>
      <c r="BV158" s="115">
        <v>19888</v>
      </c>
      <c r="BW158" s="115"/>
      <c r="BX158" s="115"/>
      <c r="BY158" s="253">
        <v>6753.93</v>
      </c>
      <c r="BZ158" s="253">
        <v>3250.02</v>
      </c>
      <c r="CA158" s="354">
        <v>3250.02</v>
      </c>
      <c r="CB158" s="354">
        <f>(3.42+3.51+3.42+3.43+3.45+3.09*7)+75.09+54.25+(14.57+1.46+2.72+10.27+2.18)+(14.45+1.47+2.73+9.85+2.01)+(14.66+1.42+2.76+9.9+2.06)</f>
        <v>260.70999999999998</v>
      </c>
      <c r="CC158" s="354"/>
      <c r="CD158" s="354">
        <v>3050.74</v>
      </c>
      <c r="CE158" s="354">
        <f>2.89+2.82+2.94+2.9+2.97+2.48+2.71+7.8+2.77+2.44+2.81+2.8+2.98</f>
        <v>41.309999999999995</v>
      </c>
      <c r="CF158" s="354">
        <f>7.51+9.03+9.07+7.36+7+8.77+8.98+7.6+8.98+7.95+8.68+0.02</f>
        <v>90.95</v>
      </c>
      <c r="CG158" s="354">
        <f>4.69+4.95+5.25+4.85+4.78+5.12+5.34+5.16+5.08+4.65+5.2+5.13</f>
        <v>60.2</v>
      </c>
      <c r="CH158" s="355"/>
      <c r="CI158" s="356">
        <f t="shared" si="131"/>
        <v>6753.93</v>
      </c>
      <c r="CJ158" s="356">
        <f t="shared" si="116"/>
        <v>3250.02</v>
      </c>
      <c r="CK158" s="357">
        <v>3280</v>
      </c>
      <c r="CL158" s="358">
        <f t="shared" si="132"/>
        <v>10033.93</v>
      </c>
      <c r="CM158" s="205">
        <v>10619</v>
      </c>
      <c r="CN158" s="282">
        <f t="shared" si="133"/>
        <v>6768</v>
      </c>
      <c r="CO158" s="209" t="str">
        <f t="shared" si="108"/>
        <v>0</v>
      </c>
      <c r="CP158" s="235">
        <f t="shared" si="109"/>
        <v>0</v>
      </c>
      <c r="CQ158" s="209">
        <f t="shared" si="114"/>
        <v>1</v>
      </c>
      <c r="CR158" s="235">
        <f t="shared" si="110"/>
        <v>12220</v>
      </c>
      <c r="CS158" s="235">
        <f t="shared" si="168"/>
        <v>1</v>
      </c>
      <c r="CT158" s="235">
        <f t="shared" si="168"/>
        <v>12220</v>
      </c>
      <c r="CU158" s="156">
        <v>44</v>
      </c>
      <c r="CV158" s="284" t="str">
        <f t="shared" si="134"/>
        <v>0</v>
      </c>
      <c r="CW158" s="284" t="str">
        <f t="shared" si="135"/>
        <v>0</v>
      </c>
      <c r="CX158" s="243">
        <f t="shared" si="136"/>
        <v>5.5945056274446969</v>
      </c>
      <c r="CY158" s="216" t="str">
        <f t="shared" si="137"/>
        <v>0</v>
      </c>
      <c r="CZ158" s="216" t="str">
        <f t="shared" si="138"/>
        <v>0</v>
      </c>
      <c r="DA158" s="243">
        <f t="shared" si="139"/>
        <v>6.0536964914800331</v>
      </c>
      <c r="DB158" s="306">
        <v>1</v>
      </c>
      <c r="DC158" s="306">
        <v>0</v>
      </c>
      <c r="DD158" s="306">
        <v>0</v>
      </c>
      <c r="DE158" s="306">
        <v>0</v>
      </c>
      <c r="DF158" s="306">
        <v>7</v>
      </c>
      <c r="DG158" s="306">
        <v>0</v>
      </c>
      <c r="DH158" s="306">
        <v>0</v>
      </c>
      <c r="DI158" s="306">
        <v>0</v>
      </c>
      <c r="DJ158" s="306">
        <v>0</v>
      </c>
      <c r="DK158" s="306">
        <v>428</v>
      </c>
      <c r="DL158" s="306">
        <f t="shared" si="112"/>
        <v>405</v>
      </c>
      <c r="DM158" s="306">
        <v>23</v>
      </c>
      <c r="DN158" s="306">
        <v>391</v>
      </c>
      <c r="DO158" s="306">
        <v>256</v>
      </c>
      <c r="DP158" s="306">
        <v>245</v>
      </c>
      <c r="DQ158" s="306">
        <v>376</v>
      </c>
      <c r="DR158" s="306">
        <v>257</v>
      </c>
      <c r="DS158" s="306">
        <v>243</v>
      </c>
      <c r="DT158" s="306">
        <v>378</v>
      </c>
      <c r="DU158" s="306">
        <v>18</v>
      </c>
      <c r="DV158" s="306">
        <v>6</v>
      </c>
      <c r="DW158" s="306">
        <v>34</v>
      </c>
      <c r="DX158" s="306">
        <v>9</v>
      </c>
      <c r="DY158" s="306">
        <v>6</v>
      </c>
      <c r="DZ158" s="306">
        <v>34</v>
      </c>
      <c r="EA158" s="306">
        <v>9</v>
      </c>
      <c r="EB158" s="306">
        <v>428</v>
      </c>
      <c r="EC158" s="306">
        <v>428</v>
      </c>
      <c r="ED158" s="342"/>
      <c r="EE158" s="342"/>
    </row>
    <row r="159" spans="1:135" x14ac:dyDescent="0.2">
      <c r="A159" s="12" t="s">
        <v>197</v>
      </c>
      <c r="B159" s="169">
        <v>149</v>
      </c>
      <c r="C159" s="12" t="s">
        <v>302</v>
      </c>
      <c r="D159" s="200">
        <v>1985</v>
      </c>
      <c r="E159" s="11"/>
      <c r="F159" s="206" t="s">
        <v>24</v>
      </c>
      <c r="G159" s="35">
        <v>1</v>
      </c>
      <c r="H159" s="201">
        <v>9</v>
      </c>
      <c r="I159" s="201" t="s">
        <v>22</v>
      </c>
      <c r="J159" s="115">
        <v>29370</v>
      </c>
      <c r="K159" s="115">
        <v>1135</v>
      </c>
      <c r="L159" s="157"/>
      <c r="M159" s="115">
        <v>1069</v>
      </c>
      <c r="N159" s="115">
        <v>105</v>
      </c>
      <c r="O159" s="115">
        <v>285</v>
      </c>
      <c r="P159" s="115">
        <v>106</v>
      </c>
      <c r="Q159" s="115">
        <v>233</v>
      </c>
      <c r="R159" s="228">
        <f>6668.6+2.1+1.8</f>
        <v>6672.5000000000009</v>
      </c>
      <c r="S159" s="230">
        <v>4174.7</v>
      </c>
      <c r="T159" s="115">
        <f t="shared" si="117"/>
        <v>101</v>
      </c>
      <c r="U159" s="203">
        <f t="shared" si="118"/>
        <v>6412.0000000000009</v>
      </c>
      <c r="V159" s="180">
        <f t="shared" si="118"/>
        <v>4013.1899999999996</v>
      </c>
      <c r="W159" s="115">
        <v>4</v>
      </c>
      <c r="X159" s="207">
        <v>260.5</v>
      </c>
      <c r="Y159" s="207">
        <v>161.51</v>
      </c>
      <c r="Z159" s="204"/>
      <c r="AA159" s="207"/>
      <c r="AB159" s="207"/>
      <c r="AC159" s="207">
        <f t="shared" si="119"/>
        <v>0</v>
      </c>
      <c r="AD159" s="248">
        <f t="shared" si="120"/>
        <v>0</v>
      </c>
      <c r="AE159" s="275"/>
      <c r="AF159" s="275"/>
      <c r="AG159" s="207"/>
      <c r="AH159" s="207"/>
      <c r="AI159" s="207">
        <f t="shared" si="121"/>
        <v>6672.5000000000009</v>
      </c>
      <c r="AJ159" s="170"/>
      <c r="AK159" s="170">
        <v>3</v>
      </c>
      <c r="AL159" s="170">
        <v>3</v>
      </c>
      <c r="AM159" s="170">
        <v>3</v>
      </c>
      <c r="AN159" s="170"/>
      <c r="AO159" s="170">
        <v>3</v>
      </c>
      <c r="AP159" s="170">
        <v>4396</v>
      </c>
      <c r="AQ159" s="170">
        <v>412</v>
      </c>
      <c r="AR159" s="170">
        <v>557</v>
      </c>
      <c r="AS159" s="170">
        <v>180</v>
      </c>
      <c r="AT159" s="170">
        <v>90</v>
      </c>
      <c r="AU159" s="170">
        <f t="shared" si="107"/>
        <v>13101</v>
      </c>
      <c r="AV159" s="170">
        <v>13101</v>
      </c>
      <c r="AW159" s="170"/>
      <c r="AX159" s="170">
        <v>2613</v>
      </c>
      <c r="AY159" s="170">
        <v>262</v>
      </c>
      <c r="AZ159" s="170">
        <v>1068</v>
      </c>
      <c r="BA159" s="170">
        <v>1068</v>
      </c>
      <c r="BB159" s="170">
        <v>48</v>
      </c>
      <c r="BC159" s="170">
        <v>9</v>
      </c>
      <c r="BD159" s="170"/>
      <c r="BE159" s="170">
        <v>105</v>
      </c>
      <c r="BF159" s="170"/>
      <c r="BG159" s="170">
        <v>11400</v>
      </c>
      <c r="BH159" s="170">
        <v>4905</v>
      </c>
      <c r="BI159" s="170">
        <v>135</v>
      </c>
      <c r="BJ159" s="115" t="str">
        <f t="shared" si="122"/>
        <v>0</v>
      </c>
      <c r="BK159" s="115" t="str">
        <f t="shared" si="123"/>
        <v>0</v>
      </c>
      <c r="BL159" s="115" t="str">
        <f t="shared" si="124"/>
        <v>0</v>
      </c>
      <c r="BM159" s="115">
        <f t="shared" si="125"/>
        <v>1</v>
      </c>
      <c r="BN159" s="115">
        <f t="shared" si="126"/>
        <v>6672.5000000000009</v>
      </c>
      <c r="BO159" s="115">
        <f t="shared" si="127"/>
        <v>4174.7</v>
      </c>
      <c r="BP159" s="115" t="str">
        <f t="shared" si="128"/>
        <v>0</v>
      </c>
      <c r="BQ159" s="115" t="str">
        <f t="shared" si="129"/>
        <v>0</v>
      </c>
      <c r="BR159" s="115" t="str">
        <f t="shared" si="130"/>
        <v>0</v>
      </c>
      <c r="BS159" s="115"/>
      <c r="BT159" s="115">
        <v>1</v>
      </c>
      <c r="BU159" s="115"/>
      <c r="BV159" s="115"/>
      <c r="BW159" s="115"/>
      <c r="BX159" s="115"/>
      <c r="BY159" s="253">
        <v>2342.7999999999997</v>
      </c>
      <c r="BZ159" s="253">
        <v>1144.8</v>
      </c>
      <c r="CA159" s="354">
        <f>456+688.8-(1.9+2+1.3)</f>
        <v>1139.5999999999999</v>
      </c>
      <c r="CB159" s="354">
        <f>8.7+48.1</f>
        <v>56.8</v>
      </c>
      <c r="CC159" s="354">
        <f>1.9+2+1.3</f>
        <v>5.2</v>
      </c>
      <c r="CD159" s="354">
        <v>1068</v>
      </c>
      <c r="CE159" s="354">
        <f>12.7+1.7+23.4+17.5+5.7</f>
        <v>61</v>
      </c>
      <c r="CF159" s="354"/>
      <c r="CG159" s="354">
        <f>4+4.2+4</f>
        <v>12.2</v>
      </c>
      <c r="CH159" s="355"/>
      <c r="CI159" s="356">
        <f t="shared" si="131"/>
        <v>2342.8000000000002</v>
      </c>
      <c r="CJ159" s="356">
        <f t="shared" si="116"/>
        <v>1144.8</v>
      </c>
      <c r="CK159" s="357">
        <v>1068</v>
      </c>
      <c r="CL159" s="358">
        <f t="shared" si="132"/>
        <v>3410.8</v>
      </c>
      <c r="CM159" s="205">
        <v>2596</v>
      </c>
      <c r="CN159" s="282">
        <f t="shared" si="133"/>
        <v>1461</v>
      </c>
      <c r="CO159" s="209">
        <f t="shared" si="108"/>
        <v>1</v>
      </c>
      <c r="CP159" s="235">
        <f t="shared" si="109"/>
        <v>13101</v>
      </c>
      <c r="CQ159" s="209" t="str">
        <f t="shared" si="114"/>
        <v>0</v>
      </c>
      <c r="CR159" s="235">
        <f t="shared" si="110"/>
        <v>0</v>
      </c>
      <c r="CS159" s="235">
        <f t="shared" si="168"/>
        <v>1</v>
      </c>
      <c r="CT159" s="235">
        <f t="shared" si="168"/>
        <v>13101</v>
      </c>
      <c r="CU159" s="156">
        <v>44</v>
      </c>
      <c r="CV159" s="284" t="str">
        <f t="shared" si="134"/>
        <v>0</v>
      </c>
      <c r="CW159" s="284" t="str">
        <f t="shared" si="135"/>
        <v>0</v>
      </c>
      <c r="CX159" s="243">
        <f t="shared" si="136"/>
        <v>3.9040839265642555</v>
      </c>
      <c r="CY159" s="216" t="str">
        <f t="shared" si="137"/>
        <v>0</v>
      </c>
      <c r="CZ159" s="216" t="str">
        <f t="shared" si="138"/>
        <v>0</v>
      </c>
      <c r="DA159" s="243">
        <f t="shared" si="139"/>
        <v>3.9040839265642555</v>
      </c>
      <c r="DB159" s="306">
        <v>1</v>
      </c>
      <c r="DC159" s="306">
        <v>0</v>
      </c>
      <c r="DD159" s="306">
        <v>0</v>
      </c>
      <c r="DE159" s="306">
        <v>0</v>
      </c>
      <c r="DF159" s="306">
        <v>2</v>
      </c>
      <c r="DG159" s="306">
        <v>0</v>
      </c>
      <c r="DH159" s="306">
        <v>0</v>
      </c>
      <c r="DI159" s="306">
        <v>0</v>
      </c>
      <c r="DJ159" s="306">
        <v>0</v>
      </c>
      <c r="DK159" s="306">
        <v>105</v>
      </c>
      <c r="DL159" s="306">
        <f t="shared" si="112"/>
        <v>100</v>
      </c>
      <c r="DM159" s="306">
        <v>5</v>
      </c>
      <c r="DN159" s="306">
        <v>74</v>
      </c>
      <c r="DO159" s="306">
        <v>57</v>
      </c>
      <c r="DP159" s="306">
        <v>65</v>
      </c>
      <c r="DQ159" s="306">
        <v>75</v>
      </c>
      <c r="DR159" s="306">
        <v>57</v>
      </c>
      <c r="DS159" s="306">
        <v>65</v>
      </c>
      <c r="DT159" s="306">
        <v>75</v>
      </c>
      <c r="DU159" s="306">
        <v>2</v>
      </c>
      <c r="DV159" s="306">
        <v>2</v>
      </c>
      <c r="DW159" s="306">
        <v>2</v>
      </c>
      <c r="DX159" s="306">
        <v>3</v>
      </c>
      <c r="DY159" s="306">
        <v>2</v>
      </c>
      <c r="DZ159" s="306">
        <v>2</v>
      </c>
      <c r="EA159" s="306">
        <v>3</v>
      </c>
      <c r="EB159" s="306">
        <v>105</v>
      </c>
      <c r="EC159" s="306">
        <v>105</v>
      </c>
      <c r="ED159" s="342"/>
      <c r="EE159" s="342"/>
    </row>
    <row r="160" spans="1:135" x14ac:dyDescent="0.2">
      <c r="A160" s="12" t="s">
        <v>197</v>
      </c>
      <c r="B160" s="169">
        <v>150</v>
      </c>
      <c r="C160" s="12" t="s">
        <v>303</v>
      </c>
      <c r="D160" s="200">
        <v>1979</v>
      </c>
      <c r="E160" s="11"/>
      <c r="F160" s="169">
        <v>84</v>
      </c>
      <c r="G160" s="35">
        <v>1</v>
      </c>
      <c r="H160" s="201">
        <v>9</v>
      </c>
      <c r="I160" s="201" t="s">
        <v>22</v>
      </c>
      <c r="J160" s="115">
        <v>53573</v>
      </c>
      <c r="K160" s="115">
        <v>2322</v>
      </c>
      <c r="L160" s="157"/>
      <c r="M160" s="115">
        <v>2142</v>
      </c>
      <c r="N160" s="115">
        <v>250</v>
      </c>
      <c r="O160" s="115">
        <v>583</v>
      </c>
      <c r="P160" s="115">
        <v>251</v>
      </c>
      <c r="Q160" s="115">
        <v>536</v>
      </c>
      <c r="R160" s="228">
        <v>13576.01</v>
      </c>
      <c r="S160" s="230">
        <v>8102.98</v>
      </c>
      <c r="T160" s="115">
        <f t="shared" si="117"/>
        <v>234</v>
      </c>
      <c r="U160" s="203">
        <f t="shared" si="118"/>
        <v>12781.11</v>
      </c>
      <c r="V160" s="180">
        <f t="shared" si="118"/>
        <v>7610.1399999999994</v>
      </c>
      <c r="W160" s="115">
        <v>16</v>
      </c>
      <c r="X160" s="207">
        <v>794.9</v>
      </c>
      <c r="Y160" s="207">
        <v>492.84</v>
      </c>
      <c r="Z160" s="204"/>
      <c r="AA160" s="207"/>
      <c r="AB160" s="207"/>
      <c r="AC160" s="207">
        <f t="shared" si="119"/>
        <v>84</v>
      </c>
      <c r="AD160" s="248">
        <f t="shared" si="120"/>
        <v>0</v>
      </c>
      <c r="AE160" s="275"/>
      <c r="AF160" s="248"/>
      <c r="AG160" s="207">
        <v>84</v>
      </c>
      <c r="AH160" s="207"/>
      <c r="AI160" s="207">
        <f t="shared" si="121"/>
        <v>13660.01</v>
      </c>
      <c r="AJ160" s="170"/>
      <c r="AK160" s="170">
        <v>7</v>
      </c>
      <c r="AL160" s="170">
        <v>7</v>
      </c>
      <c r="AM160" s="170">
        <v>7</v>
      </c>
      <c r="AN160" s="170"/>
      <c r="AO160" s="170">
        <v>7</v>
      </c>
      <c r="AP160" s="170">
        <v>12010</v>
      </c>
      <c r="AQ160" s="170"/>
      <c r="AR160" s="170">
        <v>966</v>
      </c>
      <c r="AS160" s="170">
        <v>761</v>
      </c>
      <c r="AT160" s="170">
        <v>140</v>
      </c>
      <c r="AU160" s="170">
        <f t="shared" si="107"/>
        <v>15948</v>
      </c>
      <c r="AV160" s="170">
        <v>15948</v>
      </c>
      <c r="AW160" s="170"/>
      <c r="AX160" s="170">
        <v>6097</v>
      </c>
      <c r="AY160" s="170">
        <v>561</v>
      </c>
      <c r="AZ160" s="170">
        <v>2143</v>
      </c>
      <c r="BA160" s="170">
        <v>1652</v>
      </c>
      <c r="BB160" s="170">
        <v>112</v>
      </c>
      <c r="BC160" s="170">
        <v>21</v>
      </c>
      <c r="BD160" s="170">
        <v>770</v>
      </c>
      <c r="BE160" s="170">
        <v>249</v>
      </c>
      <c r="BF160" s="170">
        <v>1</v>
      </c>
      <c r="BG160" s="170">
        <v>24990</v>
      </c>
      <c r="BH160" s="170">
        <v>11445</v>
      </c>
      <c r="BI160" s="170">
        <v>315</v>
      </c>
      <c r="BJ160" s="115" t="str">
        <f t="shared" si="122"/>
        <v>0</v>
      </c>
      <c r="BK160" s="115" t="str">
        <f t="shared" si="123"/>
        <v>0</v>
      </c>
      <c r="BL160" s="115" t="str">
        <f t="shared" si="124"/>
        <v>0</v>
      </c>
      <c r="BM160" s="115">
        <f t="shared" si="125"/>
        <v>1</v>
      </c>
      <c r="BN160" s="115">
        <f t="shared" si="126"/>
        <v>13576.01</v>
      </c>
      <c r="BO160" s="115">
        <f t="shared" si="127"/>
        <v>8102.98</v>
      </c>
      <c r="BP160" s="115" t="str">
        <f t="shared" si="128"/>
        <v>0</v>
      </c>
      <c r="BQ160" s="115" t="str">
        <f t="shared" si="129"/>
        <v>0</v>
      </c>
      <c r="BR160" s="115" t="str">
        <f t="shared" si="130"/>
        <v>0</v>
      </c>
      <c r="BS160" s="115"/>
      <c r="BT160" s="115">
        <v>3</v>
      </c>
      <c r="BU160" s="115">
        <f>BA160</f>
        <v>1652</v>
      </c>
      <c r="BV160" s="115">
        <v>10418</v>
      </c>
      <c r="BW160" s="115"/>
      <c r="BX160" s="115"/>
      <c r="BY160" s="253">
        <v>3698.45</v>
      </c>
      <c r="BZ160" s="253">
        <v>1865.2</v>
      </c>
      <c r="CA160" s="354">
        <v>1865.2</v>
      </c>
      <c r="CB160" s="354">
        <f>2.7*7+14.6+75.63</f>
        <v>109.13</v>
      </c>
      <c r="CC160" s="354"/>
      <c r="CD160" s="354">
        <v>1652.12</v>
      </c>
      <c r="CE160" s="354">
        <v>36.799999999999997</v>
      </c>
      <c r="CF160" s="354"/>
      <c r="CG160" s="354">
        <v>35.200000000000003</v>
      </c>
      <c r="CH160" s="355"/>
      <c r="CI160" s="356">
        <f t="shared" si="131"/>
        <v>3698.45</v>
      </c>
      <c r="CJ160" s="356">
        <f t="shared" si="116"/>
        <v>1865.2</v>
      </c>
      <c r="CK160" s="357">
        <v>2143</v>
      </c>
      <c r="CL160" s="358">
        <f t="shared" si="132"/>
        <v>5841.45</v>
      </c>
      <c r="CM160" s="205">
        <v>6026</v>
      </c>
      <c r="CN160" s="282">
        <f t="shared" si="133"/>
        <v>3704</v>
      </c>
      <c r="CO160" s="209">
        <f t="shared" si="108"/>
        <v>1</v>
      </c>
      <c r="CP160" s="235">
        <f t="shared" si="109"/>
        <v>15948</v>
      </c>
      <c r="CQ160" s="209" t="str">
        <f t="shared" si="114"/>
        <v>0</v>
      </c>
      <c r="CR160" s="235">
        <f t="shared" si="110"/>
        <v>0</v>
      </c>
      <c r="CS160" s="235">
        <f t="shared" si="168"/>
        <v>1</v>
      </c>
      <c r="CT160" s="235">
        <f t="shared" si="168"/>
        <v>15948</v>
      </c>
      <c r="CU160" s="156">
        <v>62</v>
      </c>
      <c r="CV160" s="284" t="str">
        <f t="shared" si="134"/>
        <v>0</v>
      </c>
      <c r="CW160" s="284" t="str">
        <f t="shared" si="135"/>
        <v>0</v>
      </c>
      <c r="CX160" s="243">
        <f t="shared" si="136"/>
        <v>5.8551813087939681</v>
      </c>
      <c r="CY160" s="216" t="str">
        <f t="shared" si="137"/>
        <v>0</v>
      </c>
      <c r="CZ160" s="216" t="str">
        <f t="shared" si="138"/>
        <v>0</v>
      </c>
      <c r="DA160" s="243">
        <f t="shared" si="139"/>
        <v>5.8191758278361432</v>
      </c>
      <c r="DB160" s="306">
        <v>1</v>
      </c>
      <c r="DC160" s="306">
        <v>0</v>
      </c>
      <c r="DD160" s="306">
        <v>0</v>
      </c>
      <c r="DE160" s="306">
        <v>0</v>
      </c>
      <c r="DF160" s="306">
        <v>4</v>
      </c>
      <c r="DG160" s="306">
        <v>0</v>
      </c>
      <c r="DH160" s="306">
        <v>0</v>
      </c>
      <c r="DI160" s="306">
        <v>0</v>
      </c>
      <c r="DJ160" s="306">
        <v>0</v>
      </c>
      <c r="DK160" s="306">
        <v>250</v>
      </c>
      <c r="DL160" s="306">
        <f t="shared" si="112"/>
        <v>233</v>
      </c>
      <c r="DM160" s="306">
        <v>17</v>
      </c>
      <c r="DN160" s="306">
        <v>224</v>
      </c>
      <c r="DO160" s="306">
        <v>138</v>
      </c>
      <c r="DP160" s="306">
        <v>161</v>
      </c>
      <c r="DQ160" s="306">
        <v>192</v>
      </c>
      <c r="DR160" s="306">
        <v>138</v>
      </c>
      <c r="DS160" s="306">
        <v>161</v>
      </c>
      <c r="DT160" s="306">
        <v>192</v>
      </c>
      <c r="DU160" s="306">
        <v>13</v>
      </c>
      <c r="DV160" s="306">
        <v>6</v>
      </c>
      <c r="DW160" s="306">
        <v>14</v>
      </c>
      <c r="DX160" s="306">
        <v>8</v>
      </c>
      <c r="DY160" s="306">
        <v>6</v>
      </c>
      <c r="DZ160" s="306">
        <v>14</v>
      </c>
      <c r="EA160" s="306">
        <v>8</v>
      </c>
      <c r="EB160" s="306">
        <v>250</v>
      </c>
      <c r="EC160" s="306">
        <v>250</v>
      </c>
      <c r="ED160" s="342"/>
      <c r="EE160" s="342"/>
    </row>
    <row r="161" spans="1:135" x14ac:dyDescent="0.2">
      <c r="A161" s="12" t="s">
        <v>197</v>
      </c>
      <c r="B161" s="169">
        <v>151</v>
      </c>
      <c r="C161" s="12" t="s">
        <v>304</v>
      </c>
      <c r="D161" s="200">
        <v>1982</v>
      </c>
      <c r="E161" s="11"/>
      <c r="F161" s="169" t="s">
        <v>21</v>
      </c>
      <c r="G161" s="35">
        <v>1</v>
      </c>
      <c r="H161" s="201">
        <v>9</v>
      </c>
      <c r="I161" s="201" t="s">
        <v>19</v>
      </c>
      <c r="J161" s="115">
        <v>42966</v>
      </c>
      <c r="K161" s="115">
        <v>2450</v>
      </c>
      <c r="L161" s="157"/>
      <c r="M161" s="115">
        <v>1421</v>
      </c>
      <c r="N161" s="115">
        <v>128</v>
      </c>
      <c r="O161" s="115">
        <v>256</v>
      </c>
      <c r="P161" s="115">
        <v>129</v>
      </c>
      <c r="Q161" s="115">
        <v>236</v>
      </c>
      <c r="R161" s="228">
        <v>7385.5</v>
      </c>
      <c r="S161" s="230">
        <v>3977</v>
      </c>
      <c r="T161" s="115">
        <f t="shared" si="117"/>
        <v>125</v>
      </c>
      <c r="U161" s="203">
        <f t="shared" si="118"/>
        <v>7214.6</v>
      </c>
      <c r="V161" s="180">
        <f t="shared" si="118"/>
        <v>3871.04</v>
      </c>
      <c r="W161" s="115">
        <v>3</v>
      </c>
      <c r="X161" s="207">
        <v>170.9</v>
      </c>
      <c r="Y161" s="207">
        <v>105.96</v>
      </c>
      <c r="Z161" s="204"/>
      <c r="AA161" s="207"/>
      <c r="AB161" s="207"/>
      <c r="AC161" s="207">
        <f t="shared" si="119"/>
        <v>1343.1000000000001</v>
      </c>
      <c r="AD161" s="248">
        <f t="shared" si="120"/>
        <v>154.9</v>
      </c>
      <c r="AE161" s="275"/>
      <c r="AF161" s="248">
        <v>154.9</v>
      </c>
      <c r="AG161" s="207">
        <v>1188.2</v>
      </c>
      <c r="AH161" s="207"/>
      <c r="AI161" s="207">
        <f t="shared" si="121"/>
        <v>8728.6</v>
      </c>
      <c r="AJ161" s="170"/>
      <c r="AK161" s="170">
        <v>4</v>
      </c>
      <c r="AL161" s="170">
        <v>4</v>
      </c>
      <c r="AM161" s="170">
        <v>4</v>
      </c>
      <c r="AN161" s="170"/>
      <c r="AO161" s="170">
        <v>4</v>
      </c>
      <c r="AP161" s="170">
        <v>5298</v>
      </c>
      <c r="AQ161" s="170"/>
      <c r="AR161" s="170">
        <v>774</v>
      </c>
      <c r="AS161" s="170">
        <v>267</v>
      </c>
      <c r="AT161" s="170">
        <v>140</v>
      </c>
      <c r="AU161" s="170">
        <f t="shared" si="107"/>
        <v>10099</v>
      </c>
      <c r="AV161" s="170">
        <v>10099</v>
      </c>
      <c r="AW161" s="170"/>
      <c r="AX161" s="170"/>
      <c r="AY161" s="170">
        <v>444</v>
      </c>
      <c r="AZ161" s="170">
        <v>2198</v>
      </c>
      <c r="BA161" s="170">
        <v>1065</v>
      </c>
      <c r="BB161" s="170"/>
      <c r="BC161" s="170">
        <v>12</v>
      </c>
      <c r="BD161" s="170">
        <v>447</v>
      </c>
      <c r="BE161" s="170">
        <v>128</v>
      </c>
      <c r="BF161" s="170"/>
      <c r="BG161" s="170">
        <v>22800</v>
      </c>
      <c r="BH161" s="170">
        <v>6540</v>
      </c>
      <c r="BI161" s="170">
        <v>180</v>
      </c>
      <c r="BJ161" s="115">
        <f t="shared" si="122"/>
        <v>1</v>
      </c>
      <c r="BK161" s="115">
        <f t="shared" si="123"/>
        <v>7385.5</v>
      </c>
      <c r="BL161" s="115">
        <f t="shared" si="124"/>
        <v>3977</v>
      </c>
      <c r="BM161" s="115" t="str">
        <f t="shared" si="125"/>
        <v>0</v>
      </c>
      <c r="BN161" s="115" t="str">
        <f t="shared" si="126"/>
        <v>0</v>
      </c>
      <c r="BO161" s="115" t="str">
        <f t="shared" si="127"/>
        <v>0</v>
      </c>
      <c r="BP161" s="115" t="str">
        <f t="shared" si="128"/>
        <v>0</v>
      </c>
      <c r="BQ161" s="115" t="str">
        <f t="shared" si="129"/>
        <v>0</v>
      </c>
      <c r="BR161" s="115" t="str">
        <f t="shared" si="130"/>
        <v>0</v>
      </c>
      <c r="BS161" s="115"/>
      <c r="BT161" s="115">
        <v>2</v>
      </c>
      <c r="BU161" s="115">
        <f>BA161</f>
        <v>1065</v>
      </c>
      <c r="BV161" s="115">
        <v>5412</v>
      </c>
      <c r="BW161" s="115"/>
      <c r="BX161" s="115">
        <f>AP161</f>
        <v>5298</v>
      </c>
      <c r="BY161" s="253">
        <v>2562.1999999999998</v>
      </c>
      <c r="BZ161" s="253">
        <v>1402</v>
      </c>
      <c r="CA161" s="354">
        <f>1394-(2.6+2.5+2.6+2.6)</f>
        <v>1383.7</v>
      </c>
      <c r="CB161" s="354">
        <f>(2.6+2.5+2.6+2.6)</f>
        <v>10.299999999999999</v>
      </c>
      <c r="CC161" s="354">
        <v>18.3</v>
      </c>
      <c r="CD161" s="354">
        <v>1064.7</v>
      </c>
      <c r="CE161" s="354">
        <f>18+18.3</f>
        <v>36.299999999999997</v>
      </c>
      <c r="CF161" s="354"/>
      <c r="CG161" s="354">
        <v>48.9</v>
      </c>
      <c r="CH161" s="355"/>
      <c r="CI161" s="356">
        <f t="shared" si="131"/>
        <v>2562.1999999999998</v>
      </c>
      <c r="CJ161" s="356">
        <f t="shared" si="116"/>
        <v>1402</v>
      </c>
      <c r="CK161" s="357">
        <v>2198</v>
      </c>
      <c r="CL161" s="358">
        <f t="shared" si="132"/>
        <v>4760.2</v>
      </c>
      <c r="CM161" s="205">
        <v>4454</v>
      </c>
      <c r="CN161" s="282">
        <f t="shared" si="133"/>
        <v>2004</v>
      </c>
      <c r="CO161" s="209">
        <f t="shared" si="108"/>
        <v>1</v>
      </c>
      <c r="CP161" s="235">
        <f t="shared" si="109"/>
        <v>10099</v>
      </c>
      <c r="CQ161" s="209" t="str">
        <f t="shared" si="114"/>
        <v>0</v>
      </c>
      <c r="CR161" s="235">
        <f t="shared" si="110"/>
        <v>0</v>
      </c>
      <c r="CS161" s="235">
        <f t="shared" si="168"/>
        <v>1</v>
      </c>
      <c r="CT161" s="235">
        <f t="shared" si="168"/>
        <v>10099</v>
      </c>
      <c r="CU161" s="156">
        <v>74</v>
      </c>
      <c r="CV161" s="284" t="str">
        <f t="shared" si="134"/>
        <v>0</v>
      </c>
      <c r="CW161" s="284" t="str">
        <f t="shared" si="135"/>
        <v>0</v>
      </c>
      <c r="CX161" s="243">
        <f t="shared" si="136"/>
        <v>2.3139936361789992</v>
      </c>
      <c r="CY161" s="216" t="str">
        <f t="shared" si="137"/>
        <v>0</v>
      </c>
      <c r="CZ161" s="216" t="str">
        <f t="shared" si="138"/>
        <v>0</v>
      </c>
      <c r="DA161" s="243">
        <f t="shared" si="139"/>
        <v>3.7325573402378387</v>
      </c>
      <c r="DB161" s="306">
        <v>1</v>
      </c>
      <c r="DC161" s="306">
        <v>0</v>
      </c>
      <c r="DD161" s="306">
        <v>0</v>
      </c>
      <c r="DE161" s="306">
        <v>0</v>
      </c>
      <c r="DF161" s="306">
        <v>2</v>
      </c>
      <c r="DG161" s="306">
        <v>0</v>
      </c>
      <c r="DH161" s="306">
        <v>0</v>
      </c>
      <c r="DI161" s="306">
        <v>0</v>
      </c>
      <c r="DJ161" s="306">
        <v>0</v>
      </c>
      <c r="DK161" s="306">
        <v>128</v>
      </c>
      <c r="DL161" s="306">
        <f t="shared" si="112"/>
        <v>124</v>
      </c>
      <c r="DM161" s="306">
        <v>4</v>
      </c>
      <c r="DN161" s="306">
        <v>91</v>
      </c>
      <c r="DO161" s="306">
        <v>59</v>
      </c>
      <c r="DP161" s="306">
        <v>140</v>
      </c>
      <c r="DQ161" s="306">
        <v>120</v>
      </c>
      <c r="DR161" s="306">
        <v>58</v>
      </c>
      <c r="DS161" s="306">
        <v>146</v>
      </c>
      <c r="DT161" s="306">
        <v>114</v>
      </c>
      <c r="DU161" s="306">
        <v>3</v>
      </c>
      <c r="DV161" s="306">
        <v>3</v>
      </c>
      <c r="DW161" s="306">
        <v>0</v>
      </c>
      <c r="DX161" s="306">
        <v>6</v>
      </c>
      <c r="DY161" s="306">
        <v>3</v>
      </c>
      <c r="DZ161" s="306">
        <v>0</v>
      </c>
      <c r="EA161" s="306">
        <v>6</v>
      </c>
      <c r="EB161" s="306">
        <v>128</v>
      </c>
      <c r="EC161" s="306">
        <v>128</v>
      </c>
      <c r="ED161" s="342"/>
      <c r="EE161" s="342"/>
    </row>
    <row r="162" spans="1:135" x14ac:dyDescent="0.2">
      <c r="A162" s="12" t="s">
        <v>197</v>
      </c>
      <c r="B162" s="169">
        <v>152</v>
      </c>
      <c r="C162" s="12" t="s">
        <v>305</v>
      </c>
      <c r="D162" s="200">
        <v>1980</v>
      </c>
      <c r="E162" s="11"/>
      <c r="F162" s="169">
        <v>84</v>
      </c>
      <c r="G162" s="35">
        <v>1</v>
      </c>
      <c r="H162" s="201">
        <v>9</v>
      </c>
      <c r="I162" s="201" t="s">
        <v>22</v>
      </c>
      <c r="J162" s="115">
        <v>14141</v>
      </c>
      <c r="K162" s="115">
        <v>598</v>
      </c>
      <c r="L162" s="157"/>
      <c r="M162" s="115">
        <v>557</v>
      </c>
      <c r="N162" s="115">
        <v>72</v>
      </c>
      <c r="O162" s="115">
        <v>142</v>
      </c>
      <c r="P162" s="115">
        <v>72</v>
      </c>
      <c r="Q162" s="115">
        <v>147</v>
      </c>
      <c r="R162" s="228">
        <f>3606.62-0.05+1.63+1.38+1.24-0.14+1.26+0.58</f>
        <v>3612.52</v>
      </c>
      <c r="S162" s="121">
        <v>2133</v>
      </c>
      <c r="T162" s="115">
        <f t="shared" si="117"/>
        <v>66</v>
      </c>
      <c r="U162" s="203">
        <f t="shared" si="118"/>
        <v>3338.06</v>
      </c>
      <c r="V162" s="180">
        <f t="shared" si="118"/>
        <v>1962.84</v>
      </c>
      <c r="W162" s="115">
        <v>6</v>
      </c>
      <c r="X162" s="207">
        <v>274.45999999999998</v>
      </c>
      <c r="Y162" s="207">
        <v>170.16</v>
      </c>
      <c r="Z162" s="204"/>
      <c r="AA162" s="207"/>
      <c r="AB162" s="207"/>
      <c r="AC162" s="207">
        <f t="shared" si="119"/>
        <v>0</v>
      </c>
      <c r="AD162" s="248">
        <f t="shared" si="120"/>
        <v>0</v>
      </c>
      <c r="AE162" s="275"/>
      <c r="AF162" s="248"/>
      <c r="AG162" s="207"/>
      <c r="AH162" s="207"/>
      <c r="AI162" s="207">
        <f t="shared" si="121"/>
        <v>3612.52</v>
      </c>
      <c r="AJ162" s="170"/>
      <c r="AK162" s="170">
        <v>2</v>
      </c>
      <c r="AL162" s="170">
        <v>2</v>
      </c>
      <c r="AM162" s="170">
        <v>2</v>
      </c>
      <c r="AN162" s="170"/>
      <c r="AO162" s="170">
        <v>2</v>
      </c>
      <c r="AP162" s="170">
        <v>3006</v>
      </c>
      <c r="AQ162" s="170"/>
      <c r="AR162" s="170">
        <v>397</v>
      </c>
      <c r="AS162" s="170">
        <v>179</v>
      </c>
      <c r="AT162" s="170">
        <v>40</v>
      </c>
      <c r="AU162" s="170">
        <f t="shared" si="107"/>
        <v>4557</v>
      </c>
      <c r="AV162" s="170"/>
      <c r="AW162" s="170">
        <v>4557</v>
      </c>
      <c r="AX162" s="170">
        <v>1742</v>
      </c>
      <c r="AY162" s="170">
        <v>149</v>
      </c>
      <c r="AZ162" s="170">
        <v>557</v>
      </c>
      <c r="BA162" s="170">
        <v>557</v>
      </c>
      <c r="BB162" s="170">
        <v>32</v>
      </c>
      <c r="BC162" s="170">
        <v>6</v>
      </c>
      <c r="BD162" s="170">
        <v>250</v>
      </c>
      <c r="BE162" s="170">
        <v>72</v>
      </c>
      <c r="BF162" s="170"/>
      <c r="BG162" s="170">
        <v>7140</v>
      </c>
      <c r="BH162" s="170">
        <v>3270</v>
      </c>
      <c r="BI162" s="170">
        <v>90</v>
      </c>
      <c r="BJ162" s="115" t="str">
        <f t="shared" si="122"/>
        <v>0</v>
      </c>
      <c r="BK162" s="115" t="str">
        <f t="shared" si="123"/>
        <v>0</v>
      </c>
      <c r="BL162" s="115" t="str">
        <f t="shared" si="124"/>
        <v>0</v>
      </c>
      <c r="BM162" s="115">
        <f t="shared" si="125"/>
        <v>1</v>
      </c>
      <c r="BN162" s="115">
        <f t="shared" si="126"/>
        <v>3612.52</v>
      </c>
      <c r="BO162" s="115">
        <f t="shared" si="127"/>
        <v>2133</v>
      </c>
      <c r="BP162" s="115" t="str">
        <f t="shared" si="128"/>
        <v>0</v>
      </c>
      <c r="BQ162" s="115" t="str">
        <f t="shared" si="129"/>
        <v>0</v>
      </c>
      <c r="BR162" s="115" t="str">
        <f t="shared" si="130"/>
        <v>0</v>
      </c>
      <c r="BS162" s="115"/>
      <c r="BT162" s="115">
        <v>1</v>
      </c>
      <c r="BU162" s="115">
        <f>BA162</f>
        <v>557</v>
      </c>
      <c r="BV162" s="115">
        <v>2897</v>
      </c>
      <c r="BW162" s="115"/>
      <c r="BX162" s="115"/>
      <c r="BY162" s="253">
        <v>1163.77</v>
      </c>
      <c r="BZ162" s="253">
        <v>585.33000000000004</v>
      </c>
      <c r="CA162" s="354">
        <v>568.28</v>
      </c>
      <c r="CB162" s="354">
        <v>6.1</v>
      </c>
      <c r="CC162" s="354">
        <f>7.39+9.66</f>
        <v>17.05</v>
      </c>
      <c r="CD162" s="354">
        <v>556.74</v>
      </c>
      <c r="CE162" s="354">
        <f>2.92+2.97</f>
        <v>5.8900000000000006</v>
      </c>
      <c r="CF162" s="354"/>
      <c r="CG162" s="354">
        <f>4.83+4.88</f>
        <v>9.7100000000000009</v>
      </c>
      <c r="CH162" s="355"/>
      <c r="CI162" s="356">
        <f t="shared" si="131"/>
        <v>1163.77</v>
      </c>
      <c r="CJ162" s="356">
        <f t="shared" si="116"/>
        <v>585.32999999999993</v>
      </c>
      <c r="CK162" s="357">
        <v>557</v>
      </c>
      <c r="CL162" s="358">
        <f t="shared" si="132"/>
        <v>1720.77</v>
      </c>
      <c r="CM162" s="205">
        <v>1614</v>
      </c>
      <c r="CN162" s="282">
        <f t="shared" si="133"/>
        <v>1016</v>
      </c>
      <c r="CO162" s="209" t="str">
        <f t="shared" si="108"/>
        <v>0</v>
      </c>
      <c r="CP162" s="235">
        <f t="shared" si="109"/>
        <v>0</v>
      </c>
      <c r="CQ162" s="209">
        <f t="shared" si="114"/>
        <v>1</v>
      </c>
      <c r="CR162" s="235">
        <f t="shared" si="110"/>
        <v>4557</v>
      </c>
      <c r="CS162" s="235">
        <f t="shared" si="168"/>
        <v>1</v>
      </c>
      <c r="CT162" s="235">
        <f t="shared" si="168"/>
        <v>4557</v>
      </c>
      <c r="CU162" s="156">
        <v>65</v>
      </c>
      <c r="CV162" s="284" t="str">
        <f t="shared" si="134"/>
        <v>0</v>
      </c>
      <c r="CW162" s="284" t="str">
        <f t="shared" si="135"/>
        <v>0</v>
      </c>
      <c r="CX162" s="243">
        <f t="shared" si="136"/>
        <v>7.5974665884202706</v>
      </c>
      <c r="CY162" s="216" t="str">
        <f t="shared" si="137"/>
        <v>0</v>
      </c>
      <c r="CZ162" s="216" t="str">
        <f t="shared" si="138"/>
        <v>0</v>
      </c>
      <c r="DA162" s="243">
        <f t="shared" si="139"/>
        <v>7.5974665884202706</v>
      </c>
      <c r="DB162" s="306">
        <v>1</v>
      </c>
      <c r="DC162" s="306">
        <v>0</v>
      </c>
      <c r="DD162" s="306">
        <v>0</v>
      </c>
      <c r="DE162" s="306">
        <v>0</v>
      </c>
      <c r="DF162" s="306">
        <v>2</v>
      </c>
      <c r="DG162" s="306">
        <v>0</v>
      </c>
      <c r="DH162" s="306">
        <v>0</v>
      </c>
      <c r="DI162" s="306">
        <v>0</v>
      </c>
      <c r="DJ162" s="306">
        <v>0</v>
      </c>
      <c r="DK162" s="306">
        <v>72</v>
      </c>
      <c r="DL162" s="306">
        <f t="shared" si="112"/>
        <v>67</v>
      </c>
      <c r="DM162" s="306">
        <v>5</v>
      </c>
      <c r="DN162" s="306">
        <v>53</v>
      </c>
      <c r="DO162" s="306">
        <v>40</v>
      </c>
      <c r="DP162" s="306">
        <v>38</v>
      </c>
      <c r="DQ162" s="306">
        <v>52</v>
      </c>
      <c r="DR162" s="306">
        <v>40</v>
      </c>
      <c r="DS162" s="306">
        <v>38</v>
      </c>
      <c r="DT162" s="306">
        <v>52</v>
      </c>
      <c r="DU162" s="306">
        <v>4</v>
      </c>
      <c r="DV162" s="306">
        <v>1</v>
      </c>
      <c r="DW162" s="306">
        <v>6</v>
      </c>
      <c r="DX162" s="306">
        <v>1</v>
      </c>
      <c r="DY162" s="306">
        <v>1</v>
      </c>
      <c r="DZ162" s="306">
        <v>6</v>
      </c>
      <c r="EA162" s="306">
        <v>1</v>
      </c>
      <c r="EB162" s="306">
        <v>72</v>
      </c>
      <c r="EC162" s="306">
        <v>72</v>
      </c>
      <c r="ED162" s="342"/>
      <c r="EE162" s="342"/>
    </row>
    <row r="163" spans="1:135" x14ac:dyDescent="0.2">
      <c r="A163" s="12" t="s">
        <v>197</v>
      </c>
      <c r="B163" s="169">
        <v>153</v>
      </c>
      <c r="C163" s="12" t="s">
        <v>306</v>
      </c>
      <c r="D163" s="200">
        <v>1973</v>
      </c>
      <c r="E163" s="11"/>
      <c r="F163" s="169" t="s">
        <v>20</v>
      </c>
      <c r="G163" s="35">
        <v>1</v>
      </c>
      <c r="H163" s="201">
        <v>5</v>
      </c>
      <c r="I163" s="201" t="s">
        <v>22</v>
      </c>
      <c r="J163" s="115">
        <v>12428</v>
      </c>
      <c r="K163" s="115">
        <v>894</v>
      </c>
      <c r="L163" s="157">
        <v>1041</v>
      </c>
      <c r="M163" s="115"/>
      <c r="N163" s="115">
        <v>80</v>
      </c>
      <c r="O163" s="115">
        <v>160</v>
      </c>
      <c r="P163" s="115">
        <v>80</v>
      </c>
      <c r="Q163" s="115">
        <v>128</v>
      </c>
      <c r="R163" s="228">
        <f>3534.49+0.05</f>
        <v>3534.54</v>
      </c>
      <c r="S163" s="230">
        <v>2374.71</v>
      </c>
      <c r="T163" s="115">
        <f t="shared" si="117"/>
        <v>67</v>
      </c>
      <c r="U163" s="203">
        <f t="shared" si="118"/>
        <v>2933.47</v>
      </c>
      <c r="V163" s="180">
        <f t="shared" si="118"/>
        <v>2002.05</v>
      </c>
      <c r="W163" s="115">
        <v>13</v>
      </c>
      <c r="X163" s="207">
        <v>601.07000000000005</v>
      </c>
      <c r="Y163" s="207">
        <v>372.66</v>
      </c>
      <c r="Z163" s="204"/>
      <c r="AA163" s="207"/>
      <c r="AB163" s="207"/>
      <c r="AC163" s="207">
        <f t="shared" si="119"/>
        <v>0</v>
      </c>
      <c r="AD163" s="248">
        <f t="shared" si="120"/>
        <v>0</v>
      </c>
      <c r="AE163" s="275"/>
      <c r="AF163" s="248"/>
      <c r="AG163" s="207"/>
      <c r="AH163" s="207"/>
      <c r="AI163" s="207">
        <f t="shared" si="121"/>
        <v>3534.54</v>
      </c>
      <c r="AJ163" s="170"/>
      <c r="AK163" s="170"/>
      <c r="AL163" s="170">
        <v>4</v>
      </c>
      <c r="AM163" s="170"/>
      <c r="AN163" s="170">
        <v>1</v>
      </c>
      <c r="AO163" s="170">
        <v>1</v>
      </c>
      <c r="AP163" s="170">
        <v>2665</v>
      </c>
      <c r="AQ163" s="170"/>
      <c r="AR163" s="170">
        <v>676</v>
      </c>
      <c r="AS163" s="170">
        <v>205</v>
      </c>
      <c r="AT163" s="170">
        <v>72</v>
      </c>
      <c r="AU163" s="170">
        <f t="shared" si="107"/>
        <v>3540</v>
      </c>
      <c r="AV163" s="170"/>
      <c r="AW163" s="170">
        <v>3540</v>
      </c>
      <c r="AX163" s="170">
        <v>1936</v>
      </c>
      <c r="AY163" s="170">
        <v>138</v>
      </c>
      <c r="AZ163" s="170">
        <v>894</v>
      </c>
      <c r="BA163" s="170">
        <v>894</v>
      </c>
      <c r="BB163" s="170">
        <v>16</v>
      </c>
      <c r="BC163" s="170">
        <v>8</v>
      </c>
      <c r="BD163" s="170">
        <v>240</v>
      </c>
      <c r="BE163" s="170">
        <v>80</v>
      </c>
      <c r="BF163" s="170"/>
      <c r="BG163" s="170">
        <v>400</v>
      </c>
      <c r="BH163" s="170">
        <v>80</v>
      </c>
      <c r="BI163" s="170"/>
      <c r="BJ163" s="115" t="str">
        <f t="shared" si="122"/>
        <v>0</v>
      </c>
      <c r="BK163" s="115" t="str">
        <f t="shared" si="123"/>
        <v>0</v>
      </c>
      <c r="BL163" s="115" t="str">
        <f t="shared" si="124"/>
        <v>0</v>
      </c>
      <c r="BM163" s="115">
        <f t="shared" si="125"/>
        <v>1</v>
      </c>
      <c r="BN163" s="115">
        <f t="shared" si="126"/>
        <v>3534.54</v>
      </c>
      <c r="BO163" s="115">
        <f t="shared" si="127"/>
        <v>2374.71</v>
      </c>
      <c r="BP163" s="115" t="str">
        <f t="shared" si="128"/>
        <v>0</v>
      </c>
      <c r="BQ163" s="115" t="str">
        <f t="shared" si="129"/>
        <v>0</v>
      </c>
      <c r="BR163" s="115" t="str">
        <f t="shared" si="130"/>
        <v>0</v>
      </c>
      <c r="BS163" s="115"/>
      <c r="BT163" s="115">
        <v>2</v>
      </c>
      <c r="BU163" s="115">
        <f>BA163</f>
        <v>894</v>
      </c>
      <c r="BV163" s="115">
        <v>2554</v>
      </c>
      <c r="BW163" s="115"/>
      <c r="BX163" s="115"/>
      <c r="BY163" s="253">
        <v>1170.45</v>
      </c>
      <c r="BZ163" s="253">
        <v>276.32</v>
      </c>
      <c r="CA163" s="354">
        <v>276.32</v>
      </c>
      <c r="CB163" s="354"/>
      <c r="CC163" s="354"/>
      <c r="CD163" s="354">
        <v>894.13</v>
      </c>
      <c r="CE163" s="354"/>
      <c r="CF163" s="354"/>
      <c r="CG163" s="354"/>
      <c r="CH163" s="355"/>
      <c r="CI163" s="356">
        <f t="shared" si="131"/>
        <v>1170.45</v>
      </c>
      <c r="CJ163" s="356">
        <f t="shared" si="116"/>
        <v>276.32</v>
      </c>
      <c r="CK163" s="357">
        <v>894</v>
      </c>
      <c r="CL163" s="358">
        <f t="shared" si="132"/>
        <v>2064.4499999999998</v>
      </c>
      <c r="CM163" s="205">
        <v>2361</v>
      </c>
      <c r="CN163" s="282">
        <f t="shared" si="133"/>
        <v>1467</v>
      </c>
      <c r="CO163" s="209" t="str">
        <f t="shared" si="108"/>
        <v>0</v>
      </c>
      <c r="CP163" s="235">
        <f t="shared" si="109"/>
        <v>0</v>
      </c>
      <c r="CQ163" s="209">
        <f t="shared" si="114"/>
        <v>1</v>
      </c>
      <c r="CR163" s="235">
        <f t="shared" si="110"/>
        <v>3540</v>
      </c>
      <c r="CS163" s="235">
        <f t="shared" si="168"/>
        <v>1</v>
      </c>
      <c r="CT163" s="235">
        <f t="shared" si="168"/>
        <v>3540</v>
      </c>
      <c r="CU163" s="156">
        <v>55</v>
      </c>
      <c r="CV163" s="284" t="str">
        <f t="shared" si="134"/>
        <v>0</v>
      </c>
      <c r="CW163" s="284" t="str">
        <f t="shared" si="135"/>
        <v>0</v>
      </c>
      <c r="CX163" s="243">
        <f t="shared" si="136"/>
        <v>17.005607518941645</v>
      </c>
      <c r="CY163" s="216" t="str">
        <f t="shared" si="137"/>
        <v>0</v>
      </c>
      <c r="CZ163" s="216" t="str">
        <f t="shared" si="138"/>
        <v>0</v>
      </c>
      <c r="DA163" s="243">
        <f t="shared" si="139"/>
        <v>17.005607518941645</v>
      </c>
      <c r="DB163" s="306">
        <v>1</v>
      </c>
      <c r="DC163" s="306">
        <v>0</v>
      </c>
      <c r="DD163" s="306">
        <v>0</v>
      </c>
      <c r="DE163" s="306">
        <v>0</v>
      </c>
      <c r="DF163" s="306">
        <v>1</v>
      </c>
      <c r="DG163" s="306">
        <v>0</v>
      </c>
      <c r="DH163" s="306">
        <v>0</v>
      </c>
      <c r="DI163" s="306">
        <v>0</v>
      </c>
      <c r="DJ163" s="306">
        <v>0</v>
      </c>
      <c r="DK163" s="306">
        <v>80</v>
      </c>
      <c r="DL163" s="306">
        <f t="shared" si="112"/>
        <v>66</v>
      </c>
      <c r="DM163" s="306">
        <v>14</v>
      </c>
      <c r="DN163" s="306">
        <v>50</v>
      </c>
      <c r="DO163" s="306">
        <v>35</v>
      </c>
      <c r="DP163" s="306">
        <v>45</v>
      </c>
      <c r="DQ163" s="306">
        <v>35</v>
      </c>
      <c r="DR163" s="306">
        <v>35</v>
      </c>
      <c r="DS163" s="306">
        <v>44</v>
      </c>
      <c r="DT163" s="306">
        <v>36</v>
      </c>
      <c r="DU163" s="306">
        <v>8</v>
      </c>
      <c r="DV163" s="306">
        <v>4</v>
      </c>
      <c r="DW163" s="306">
        <v>9</v>
      </c>
      <c r="DX163" s="306">
        <v>4</v>
      </c>
      <c r="DY163" s="306">
        <v>5</v>
      </c>
      <c r="DZ163" s="306">
        <v>7</v>
      </c>
      <c r="EA163" s="306">
        <v>6</v>
      </c>
      <c r="EB163" s="306">
        <v>80</v>
      </c>
      <c r="EC163" s="306">
        <v>80</v>
      </c>
      <c r="ED163" s="342"/>
      <c r="EE163" s="342"/>
    </row>
    <row r="164" spans="1:135" x14ac:dyDescent="0.2">
      <c r="A164" s="12" t="s">
        <v>197</v>
      </c>
      <c r="B164" s="169">
        <v>154</v>
      </c>
      <c r="C164" s="12" t="s">
        <v>307</v>
      </c>
      <c r="D164" s="200">
        <v>1981</v>
      </c>
      <c r="E164" s="11"/>
      <c r="F164" s="169">
        <v>84</v>
      </c>
      <c r="G164" s="35">
        <v>1</v>
      </c>
      <c r="H164" s="201">
        <v>9</v>
      </c>
      <c r="I164" s="201" t="s">
        <v>22</v>
      </c>
      <c r="J164" s="115">
        <v>30664</v>
      </c>
      <c r="K164" s="115">
        <v>1281</v>
      </c>
      <c r="L164" s="157"/>
      <c r="M164" s="115">
        <v>1196</v>
      </c>
      <c r="N164" s="115">
        <v>144</v>
      </c>
      <c r="O164" s="115">
        <v>320</v>
      </c>
      <c r="P164" s="115">
        <v>145</v>
      </c>
      <c r="Q164" s="115">
        <v>318</v>
      </c>
      <c r="R164" s="228">
        <f>7636.2+1.7-1.7+2</f>
        <v>7638.2</v>
      </c>
      <c r="S164" s="230">
        <v>4556.7</v>
      </c>
      <c r="T164" s="115">
        <f t="shared" si="117"/>
        <v>134</v>
      </c>
      <c r="U164" s="203">
        <f t="shared" si="118"/>
        <v>7129.7</v>
      </c>
      <c r="V164" s="180">
        <f t="shared" si="118"/>
        <v>4241.43</v>
      </c>
      <c r="W164" s="115">
        <v>10</v>
      </c>
      <c r="X164" s="207">
        <v>508.5</v>
      </c>
      <c r="Y164" s="207">
        <v>315.27</v>
      </c>
      <c r="Z164" s="204"/>
      <c r="AA164" s="207"/>
      <c r="AB164" s="207"/>
      <c r="AC164" s="207">
        <f t="shared" si="119"/>
        <v>0</v>
      </c>
      <c r="AD164" s="248">
        <f t="shared" si="120"/>
        <v>0</v>
      </c>
      <c r="AE164" s="275"/>
      <c r="AF164" s="248"/>
      <c r="AG164" s="207"/>
      <c r="AH164" s="207"/>
      <c r="AI164" s="207">
        <f t="shared" si="121"/>
        <v>7638.2</v>
      </c>
      <c r="AJ164" s="170"/>
      <c r="AK164" s="170">
        <v>4</v>
      </c>
      <c r="AL164" s="170">
        <v>4</v>
      </c>
      <c r="AM164" s="170">
        <v>4</v>
      </c>
      <c r="AN164" s="170"/>
      <c r="AO164" s="170">
        <v>4</v>
      </c>
      <c r="AP164" s="170">
        <v>5460</v>
      </c>
      <c r="AQ164" s="170"/>
      <c r="AR164" s="170">
        <v>655</v>
      </c>
      <c r="AS164" s="170">
        <v>461</v>
      </c>
      <c r="AT164" s="170">
        <v>80</v>
      </c>
      <c r="AU164" s="170">
        <f t="shared" si="107"/>
        <v>9113</v>
      </c>
      <c r="AV164" s="170">
        <v>9113</v>
      </c>
      <c r="AW164" s="170"/>
      <c r="AX164" s="170">
        <v>3484</v>
      </c>
      <c r="AY164" s="170">
        <v>298</v>
      </c>
      <c r="AZ164" s="170">
        <v>1196</v>
      </c>
      <c r="BA164" s="170">
        <v>969</v>
      </c>
      <c r="BB164" s="170">
        <v>64</v>
      </c>
      <c r="BC164" s="170">
        <v>12</v>
      </c>
      <c r="BD164" s="170">
        <v>502</v>
      </c>
      <c r="BE164" s="170">
        <v>142</v>
      </c>
      <c r="BF164" s="170"/>
      <c r="BG164" s="170">
        <v>14280</v>
      </c>
      <c r="BH164" s="170">
        <v>6540</v>
      </c>
      <c r="BI164" s="170">
        <v>180</v>
      </c>
      <c r="BJ164" s="115" t="str">
        <f t="shared" si="122"/>
        <v>0</v>
      </c>
      <c r="BK164" s="115" t="str">
        <f t="shared" si="123"/>
        <v>0</v>
      </c>
      <c r="BL164" s="115" t="str">
        <f t="shared" si="124"/>
        <v>0</v>
      </c>
      <c r="BM164" s="115">
        <f t="shared" si="125"/>
        <v>1</v>
      </c>
      <c r="BN164" s="115">
        <f t="shared" si="126"/>
        <v>7638.2</v>
      </c>
      <c r="BO164" s="115">
        <f t="shared" si="127"/>
        <v>4556.7</v>
      </c>
      <c r="BP164" s="115" t="str">
        <f t="shared" si="128"/>
        <v>0</v>
      </c>
      <c r="BQ164" s="115" t="str">
        <f t="shared" si="129"/>
        <v>0</v>
      </c>
      <c r="BR164" s="115" t="str">
        <f t="shared" si="130"/>
        <v>0</v>
      </c>
      <c r="BS164" s="115"/>
      <c r="BT164" s="115">
        <v>2</v>
      </c>
      <c r="BU164" s="115">
        <f>BA164</f>
        <v>969</v>
      </c>
      <c r="BV164" s="115">
        <v>5732</v>
      </c>
      <c r="BW164" s="115"/>
      <c r="BX164" s="115"/>
      <c r="BY164" s="253">
        <v>2097.1999999999998</v>
      </c>
      <c r="BZ164" s="253">
        <v>1072.5</v>
      </c>
      <c r="CA164" s="354">
        <f>1084.7-(3*2+3.1*2)</f>
        <v>1072.5</v>
      </c>
      <c r="CB164" s="354">
        <f>(3*2+3.1*2)+43.6</f>
        <v>55.8</v>
      </c>
      <c r="CC164" s="354"/>
      <c r="CD164" s="354">
        <v>968.9</v>
      </c>
      <c r="CE164" s="354"/>
      <c r="CF164" s="354"/>
      <c r="CG164" s="354"/>
      <c r="CH164" s="355"/>
      <c r="CI164" s="356">
        <f t="shared" si="131"/>
        <v>2097.1999999999998</v>
      </c>
      <c r="CJ164" s="356">
        <f t="shared" si="116"/>
        <v>1072.5</v>
      </c>
      <c r="CK164" s="357">
        <v>1196</v>
      </c>
      <c r="CL164" s="358">
        <f t="shared" si="132"/>
        <v>3293.2</v>
      </c>
      <c r="CM164" s="205">
        <v>3388</v>
      </c>
      <c r="CN164" s="282">
        <f t="shared" si="133"/>
        <v>2107</v>
      </c>
      <c r="CO164" s="209">
        <f t="shared" si="108"/>
        <v>1</v>
      </c>
      <c r="CP164" s="235">
        <f t="shared" si="109"/>
        <v>9113</v>
      </c>
      <c r="CQ164" s="209" t="str">
        <f t="shared" si="114"/>
        <v>0</v>
      </c>
      <c r="CR164" s="235">
        <f t="shared" si="110"/>
        <v>0</v>
      </c>
      <c r="CS164" s="235">
        <f t="shared" si="168"/>
        <v>1</v>
      </c>
      <c r="CT164" s="235">
        <f t="shared" si="168"/>
        <v>9113</v>
      </c>
      <c r="CU164" s="156">
        <v>63</v>
      </c>
      <c r="CV164" s="284" t="str">
        <f t="shared" si="134"/>
        <v>0</v>
      </c>
      <c r="CW164" s="284" t="str">
        <f t="shared" si="135"/>
        <v>0</v>
      </c>
      <c r="CX164" s="243">
        <f t="shared" si="136"/>
        <v>6.6573276426383181</v>
      </c>
      <c r="CY164" s="216" t="str">
        <f t="shared" si="137"/>
        <v>0</v>
      </c>
      <c r="CZ164" s="216" t="str">
        <f t="shared" si="138"/>
        <v>0</v>
      </c>
      <c r="DA164" s="243">
        <f t="shared" si="139"/>
        <v>6.6573276426383181</v>
      </c>
      <c r="DB164" s="306">
        <v>1</v>
      </c>
      <c r="DC164" s="306">
        <v>0</v>
      </c>
      <c r="DD164" s="306">
        <v>0</v>
      </c>
      <c r="DE164" s="306">
        <v>0</v>
      </c>
      <c r="DF164" s="306">
        <v>2</v>
      </c>
      <c r="DG164" s="306">
        <v>0</v>
      </c>
      <c r="DH164" s="306">
        <v>0</v>
      </c>
      <c r="DI164" s="306">
        <v>0</v>
      </c>
      <c r="DJ164" s="306">
        <v>0</v>
      </c>
      <c r="DK164" s="306">
        <v>144</v>
      </c>
      <c r="DL164" s="306">
        <f t="shared" si="112"/>
        <v>133</v>
      </c>
      <c r="DM164" s="306">
        <v>11</v>
      </c>
      <c r="DN164" s="306">
        <v>107</v>
      </c>
      <c r="DO164" s="306">
        <v>93</v>
      </c>
      <c r="DP164" s="306">
        <v>62</v>
      </c>
      <c r="DQ164" s="306">
        <v>132</v>
      </c>
      <c r="DR164" s="306">
        <v>93</v>
      </c>
      <c r="DS164" s="306">
        <v>62</v>
      </c>
      <c r="DT164" s="306">
        <v>132</v>
      </c>
      <c r="DU164" s="306">
        <v>6</v>
      </c>
      <c r="DV164" s="306">
        <v>5</v>
      </c>
      <c r="DW164" s="306">
        <v>5</v>
      </c>
      <c r="DX164" s="306">
        <v>6</v>
      </c>
      <c r="DY164" s="306">
        <v>5</v>
      </c>
      <c r="DZ164" s="306">
        <v>5</v>
      </c>
      <c r="EA164" s="306">
        <v>6</v>
      </c>
      <c r="EB164" s="306">
        <v>144</v>
      </c>
      <c r="EC164" s="306">
        <v>144</v>
      </c>
      <c r="ED164" s="342"/>
      <c r="EE164" s="342"/>
    </row>
    <row r="165" spans="1:135" x14ac:dyDescent="0.2">
      <c r="A165" s="14" t="s">
        <v>203</v>
      </c>
      <c r="B165" s="169">
        <v>155</v>
      </c>
      <c r="C165" s="12" t="s">
        <v>308</v>
      </c>
      <c r="D165" s="200">
        <v>1973</v>
      </c>
      <c r="E165" s="11"/>
      <c r="F165" s="169" t="s">
        <v>20</v>
      </c>
      <c r="G165" s="35">
        <v>1</v>
      </c>
      <c r="H165" s="201">
        <v>5</v>
      </c>
      <c r="I165" s="201" t="s">
        <v>22</v>
      </c>
      <c r="J165" s="115">
        <v>16956</v>
      </c>
      <c r="K165" s="115">
        <v>1270</v>
      </c>
      <c r="L165" s="157">
        <v>1417</v>
      </c>
      <c r="M165" s="115"/>
      <c r="N165" s="115">
        <v>115</v>
      </c>
      <c r="O165" s="115">
        <v>203</v>
      </c>
      <c r="P165" s="115">
        <v>115</v>
      </c>
      <c r="Q165" s="115">
        <v>190</v>
      </c>
      <c r="R165" s="228">
        <f>4718.74+0.24</f>
        <v>4718.9799999999996</v>
      </c>
      <c r="S165" s="230">
        <v>3137.66</v>
      </c>
      <c r="T165" s="115">
        <f t="shared" si="117"/>
        <v>99</v>
      </c>
      <c r="U165" s="203">
        <f t="shared" si="118"/>
        <v>4082.9399999999996</v>
      </c>
      <c r="V165" s="180">
        <f t="shared" si="118"/>
        <v>2782.66</v>
      </c>
      <c r="W165" s="115">
        <v>16</v>
      </c>
      <c r="X165" s="207">
        <v>636.04</v>
      </c>
      <c r="Y165" s="207">
        <v>355</v>
      </c>
      <c r="Z165" s="204"/>
      <c r="AA165" s="207"/>
      <c r="AB165" s="207"/>
      <c r="AC165" s="207">
        <f t="shared" si="119"/>
        <v>158</v>
      </c>
      <c r="AD165" s="248">
        <f t="shared" si="120"/>
        <v>0</v>
      </c>
      <c r="AE165" s="275"/>
      <c r="AF165" s="248"/>
      <c r="AG165" s="207">
        <v>158</v>
      </c>
      <c r="AH165" s="207"/>
      <c r="AI165" s="207">
        <f t="shared" si="121"/>
        <v>4876.9799999999996</v>
      </c>
      <c r="AJ165" s="170"/>
      <c r="AK165" s="170"/>
      <c r="AL165" s="170">
        <v>6</v>
      </c>
      <c r="AM165" s="170"/>
      <c r="AN165" s="170">
        <v>1</v>
      </c>
      <c r="AO165" s="170">
        <v>2</v>
      </c>
      <c r="AP165" s="170">
        <v>3192</v>
      </c>
      <c r="AQ165" s="170"/>
      <c r="AR165" s="170">
        <v>374</v>
      </c>
      <c r="AS165" s="170">
        <v>369</v>
      </c>
      <c r="AT165" s="170">
        <v>108</v>
      </c>
      <c r="AU165" s="170">
        <f t="shared" si="107"/>
        <v>5310</v>
      </c>
      <c r="AV165" s="170"/>
      <c r="AW165" s="170">
        <v>5310</v>
      </c>
      <c r="AX165" s="170">
        <v>2904</v>
      </c>
      <c r="AY165" s="170">
        <v>92</v>
      </c>
      <c r="AZ165" s="170">
        <v>1222</v>
      </c>
      <c r="BA165" s="170">
        <v>1222</v>
      </c>
      <c r="BB165" s="170">
        <v>24</v>
      </c>
      <c r="BC165" s="170">
        <v>12</v>
      </c>
      <c r="BD165" s="170">
        <f>333-2-3*3</f>
        <v>322</v>
      </c>
      <c r="BE165" s="170">
        <f>117-4</f>
        <v>113</v>
      </c>
      <c r="BF165" s="170"/>
      <c r="BG165" s="170">
        <v>600</v>
      </c>
      <c r="BH165" s="170">
        <v>120</v>
      </c>
      <c r="BI165" s="170"/>
      <c r="BJ165" s="115" t="str">
        <f t="shared" si="122"/>
        <v>0</v>
      </c>
      <c r="BK165" s="115" t="str">
        <f t="shared" si="123"/>
        <v>0</v>
      </c>
      <c r="BL165" s="115" t="str">
        <f t="shared" si="124"/>
        <v>0</v>
      </c>
      <c r="BM165" s="115">
        <f t="shared" si="125"/>
        <v>1</v>
      </c>
      <c r="BN165" s="115">
        <f t="shared" si="126"/>
        <v>4718.9799999999996</v>
      </c>
      <c r="BO165" s="115">
        <f t="shared" si="127"/>
        <v>3137.66</v>
      </c>
      <c r="BP165" s="115" t="str">
        <f t="shared" si="128"/>
        <v>0</v>
      </c>
      <c r="BQ165" s="115" t="str">
        <f t="shared" si="129"/>
        <v>0</v>
      </c>
      <c r="BR165" s="115" t="str">
        <f t="shared" si="130"/>
        <v>0</v>
      </c>
      <c r="BS165" s="115"/>
      <c r="BT165" s="115">
        <v>4</v>
      </c>
      <c r="BU165" s="115"/>
      <c r="BV165" s="115"/>
      <c r="BW165" s="115"/>
      <c r="BX165" s="115"/>
      <c r="BY165" s="253">
        <v>1636.08</v>
      </c>
      <c r="BZ165" s="253">
        <v>414.43</v>
      </c>
      <c r="CA165" s="354">
        <v>414.43</v>
      </c>
      <c r="CB165" s="354"/>
      <c r="CC165" s="354"/>
      <c r="CD165" s="354">
        <v>1221.6500000000001</v>
      </c>
      <c r="CE165" s="354"/>
      <c r="CF165" s="354"/>
      <c r="CG165" s="354"/>
      <c r="CH165" s="355"/>
      <c r="CI165" s="356">
        <f t="shared" si="131"/>
        <v>1636.0800000000002</v>
      </c>
      <c r="CJ165" s="356">
        <f t="shared" si="116"/>
        <v>414.43</v>
      </c>
      <c r="CK165" s="357">
        <v>1222</v>
      </c>
      <c r="CL165" s="358">
        <f t="shared" si="132"/>
        <v>2858.08</v>
      </c>
      <c r="CM165" s="205">
        <v>4503</v>
      </c>
      <c r="CN165" s="282">
        <f t="shared" si="133"/>
        <v>3233</v>
      </c>
      <c r="CO165" s="209" t="str">
        <f t="shared" si="108"/>
        <v>0</v>
      </c>
      <c r="CP165" s="235">
        <f t="shared" si="109"/>
        <v>0</v>
      </c>
      <c r="CQ165" s="209">
        <f t="shared" si="114"/>
        <v>1</v>
      </c>
      <c r="CR165" s="235">
        <f t="shared" si="110"/>
        <v>5310</v>
      </c>
      <c r="CS165" s="235">
        <f t="shared" si="168"/>
        <v>1</v>
      </c>
      <c r="CT165" s="235">
        <f t="shared" si="168"/>
        <v>5310</v>
      </c>
      <c r="CU165" s="156">
        <v>53</v>
      </c>
      <c r="CV165" s="284" t="str">
        <f t="shared" si="134"/>
        <v>0</v>
      </c>
      <c r="CW165" s="284" t="str">
        <f t="shared" si="135"/>
        <v>0</v>
      </c>
      <c r="CX165" s="243">
        <f t="shared" si="136"/>
        <v>13.478336420158593</v>
      </c>
      <c r="CY165" s="216" t="str">
        <f t="shared" si="137"/>
        <v>0</v>
      </c>
      <c r="CZ165" s="216" t="str">
        <f t="shared" si="138"/>
        <v>0</v>
      </c>
      <c r="DA165" s="243">
        <f t="shared" si="139"/>
        <v>13.041677431525247</v>
      </c>
      <c r="DB165" s="306">
        <v>1</v>
      </c>
      <c r="DC165" s="306">
        <v>0</v>
      </c>
      <c r="DD165" s="306">
        <v>0</v>
      </c>
      <c r="DE165" s="306">
        <v>0</v>
      </c>
      <c r="DF165" s="306">
        <v>1</v>
      </c>
      <c r="DG165" s="306">
        <v>0</v>
      </c>
      <c r="DH165" s="306">
        <v>0</v>
      </c>
      <c r="DI165" s="306">
        <v>0</v>
      </c>
      <c r="DJ165" s="306">
        <v>0</v>
      </c>
      <c r="DK165" s="306">
        <v>116</v>
      </c>
      <c r="DL165" s="306">
        <f t="shared" si="112"/>
        <v>103</v>
      </c>
      <c r="DM165" s="306">
        <v>13</v>
      </c>
      <c r="DN165" s="306">
        <v>73</v>
      </c>
      <c r="DO165" s="306">
        <v>68</v>
      </c>
      <c r="DP165" s="306">
        <v>48</v>
      </c>
      <c r="DQ165" s="306">
        <v>68</v>
      </c>
      <c r="DR165" s="306">
        <v>68</v>
      </c>
      <c r="DS165" s="306">
        <v>48</v>
      </c>
      <c r="DT165" s="306">
        <v>68</v>
      </c>
      <c r="DU165" s="306">
        <v>6</v>
      </c>
      <c r="DV165" s="306">
        <v>2</v>
      </c>
      <c r="DW165" s="306">
        <v>16</v>
      </c>
      <c r="DX165" s="306">
        <v>2</v>
      </c>
      <c r="DY165" s="306">
        <v>2</v>
      </c>
      <c r="DZ165" s="306">
        <v>16</v>
      </c>
      <c r="EA165" s="306">
        <v>2</v>
      </c>
      <c r="EB165" s="306">
        <v>116</v>
      </c>
      <c r="EC165" s="306">
        <v>116</v>
      </c>
      <c r="ED165" s="342"/>
      <c r="EE165" s="342"/>
    </row>
    <row r="166" spans="1:135" x14ac:dyDescent="0.2">
      <c r="A166" s="12" t="s">
        <v>197</v>
      </c>
      <c r="B166" s="169">
        <v>156</v>
      </c>
      <c r="C166" s="12" t="s">
        <v>309</v>
      </c>
      <c r="D166" s="200">
        <v>1979</v>
      </c>
      <c r="E166" s="11"/>
      <c r="F166" s="169" t="s">
        <v>21</v>
      </c>
      <c r="G166" s="35">
        <v>1</v>
      </c>
      <c r="H166" s="201">
        <v>9</v>
      </c>
      <c r="I166" s="201" t="s">
        <v>19</v>
      </c>
      <c r="J166" s="115">
        <v>65260</v>
      </c>
      <c r="K166" s="115">
        <v>5614</v>
      </c>
      <c r="L166" s="157">
        <v>2842</v>
      </c>
      <c r="M166" s="115"/>
      <c r="N166" s="115">
        <v>256</v>
      </c>
      <c r="O166" s="115">
        <v>512</v>
      </c>
      <c r="P166" s="115">
        <v>256</v>
      </c>
      <c r="Q166" s="115">
        <v>503</v>
      </c>
      <c r="R166" s="228">
        <f>14453.7+0.07</f>
        <v>14453.77</v>
      </c>
      <c r="S166" s="230">
        <v>7824.6</v>
      </c>
      <c r="T166" s="115">
        <f t="shared" si="117"/>
        <v>244</v>
      </c>
      <c r="U166" s="203">
        <f t="shared" si="118"/>
        <v>13788.17</v>
      </c>
      <c r="V166" s="180">
        <f t="shared" si="118"/>
        <v>7417.1900000000005</v>
      </c>
      <c r="W166" s="115">
        <v>11</v>
      </c>
      <c r="X166" s="207">
        <v>607.20000000000005</v>
      </c>
      <c r="Y166" s="207">
        <v>376.46</v>
      </c>
      <c r="Z166" s="115">
        <v>1</v>
      </c>
      <c r="AA166" s="207">
        <v>58.4</v>
      </c>
      <c r="AB166" s="207">
        <v>30.95</v>
      </c>
      <c r="AC166" s="207">
        <f t="shared" si="119"/>
        <v>4754.95</v>
      </c>
      <c r="AD166" s="248">
        <f t="shared" si="120"/>
        <v>0</v>
      </c>
      <c r="AE166" s="275"/>
      <c r="AF166" s="248"/>
      <c r="AG166" s="207">
        <v>4754.95</v>
      </c>
      <c r="AH166" s="207"/>
      <c r="AI166" s="207">
        <f t="shared" si="121"/>
        <v>19208.72</v>
      </c>
      <c r="AJ166" s="170"/>
      <c r="AK166" s="170">
        <v>8</v>
      </c>
      <c r="AL166" s="170">
        <v>8</v>
      </c>
      <c r="AM166" s="170">
        <v>8</v>
      </c>
      <c r="AN166" s="170"/>
      <c r="AO166" s="170">
        <v>4</v>
      </c>
      <c r="AP166" s="170">
        <v>15140</v>
      </c>
      <c r="AQ166" s="170"/>
      <c r="AR166" s="170">
        <v>1203</v>
      </c>
      <c r="AS166" s="170">
        <v>430</v>
      </c>
      <c r="AT166" s="170">
        <v>280</v>
      </c>
      <c r="AU166" s="170">
        <f t="shared" si="107"/>
        <v>19788</v>
      </c>
      <c r="AV166" s="170">
        <v>19788</v>
      </c>
      <c r="AW166" s="170"/>
      <c r="AX166" s="170"/>
      <c r="AY166" s="170">
        <v>794</v>
      </c>
      <c r="AZ166" s="170">
        <v>5614</v>
      </c>
      <c r="BA166" s="170">
        <v>2500</v>
      </c>
      <c r="BB166" s="170"/>
      <c r="BC166" s="170">
        <v>24</v>
      </c>
      <c r="BD166" s="170">
        <v>768</v>
      </c>
      <c r="BE166" s="170">
        <v>256</v>
      </c>
      <c r="BF166" s="170"/>
      <c r="BG166" s="170">
        <v>45600</v>
      </c>
      <c r="BH166" s="170">
        <v>13080</v>
      </c>
      <c r="BI166" s="170">
        <v>360</v>
      </c>
      <c r="BJ166" s="115">
        <f t="shared" si="122"/>
        <v>1</v>
      </c>
      <c r="BK166" s="115">
        <f t="shared" si="123"/>
        <v>14453.77</v>
      </c>
      <c r="BL166" s="115">
        <f t="shared" si="124"/>
        <v>7824.6</v>
      </c>
      <c r="BM166" s="115" t="str">
        <f t="shared" si="125"/>
        <v>0</v>
      </c>
      <c r="BN166" s="115" t="str">
        <f t="shared" si="126"/>
        <v>0</v>
      </c>
      <c r="BO166" s="115" t="str">
        <f t="shared" si="127"/>
        <v>0</v>
      </c>
      <c r="BP166" s="115" t="str">
        <f t="shared" si="128"/>
        <v>0</v>
      </c>
      <c r="BQ166" s="115" t="str">
        <f t="shared" si="129"/>
        <v>0</v>
      </c>
      <c r="BR166" s="115" t="str">
        <f t="shared" si="130"/>
        <v>0</v>
      </c>
      <c r="BS166" s="115"/>
      <c r="BT166" s="115">
        <v>6</v>
      </c>
      <c r="BU166" s="115">
        <f>BA166</f>
        <v>2500</v>
      </c>
      <c r="BV166" s="115">
        <v>10768</v>
      </c>
      <c r="BW166" s="115">
        <v>53</v>
      </c>
      <c r="BX166" s="115">
        <f>AP166</f>
        <v>15140</v>
      </c>
      <c r="BY166" s="253">
        <v>4980.68</v>
      </c>
      <c r="BZ166" s="253">
        <v>2759.3</v>
      </c>
      <c r="CA166" s="354">
        <f>1208.7+760.09+200.14+590.37</f>
        <v>2759.2999999999997</v>
      </c>
      <c r="CB166" s="354"/>
      <c r="CC166" s="354"/>
      <c r="CD166" s="354">
        <f>1066.91+1063.39</f>
        <v>2130.3000000000002</v>
      </c>
      <c r="CE166" s="354">
        <f>9.34+9.39+8.9+9.11</f>
        <v>36.74</v>
      </c>
      <c r="CF166" s="354"/>
      <c r="CG166" s="354">
        <f>26.47+27.87</f>
        <v>54.34</v>
      </c>
      <c r="CH166" s="355"/>
      <c r="CI166" s="356">
        <f t="shared" si="131"/>
        <v>4980.68</v>
      </c>
      <c r="CJ166" s="356">
        <f t="shared" si="116"/>
        <v>2759.2999999999997</v>
      </c>
      <c r="CK166" s="357">
        <v>5614</v>
      </c>
      <c r="CL166" s="358">
        <f t="shared" si="132"/>
        <v>10594.68</v>
      </c>
      <c r="CM166" s="205">
        <v>8702</v>
      </c>
      <c r="CN166" s="282">
        <f t="shared" si="133"/>
        <v>3088</v>
      </c>
      <c r="CO166" s="209">
        <f t="shared" si="108"/>
        <v>1</v>
      </c>
      <c r="CP166" s="235">
        <f t="shared" si="109"/>
        <v>19788</v>
      </c>
      <c r="CQ166" s="209" t="str">
        <f t="shared" si="114"/>
        <v>0</v>
      </c>
      <c r="CR166" s="235">
        <f t="shared" si="110"/>
        <v>0</v>
      </c>
      <c r="CS166" s="235">
        <f t="shared" si="168"/>
        <v>1</v>
      </c>
      <c r="CT166" s="235">
        <f t="shared" si="168"/>
        <v>19788</v>
      </c>
      <c r="CU166" s="156">
        <v>67</v>
      </c>
      <c r="CV166" s="284" t="str">
        <f t="shared" si="134"/>
        <v>0</v>
      </c>
      <c r="CW166" s="284" t="str">
        <f t="shared" si="135"/>
        <v>0</v>
      </c>
      <c r="CX166" s="243">
        <f t="shared" si="136"/>
        <v>4.2009800903155368</v>
      </c>
      <c r="CY166" s="216" t="str">
        <f t="shared" si="137"/>
        <v>0</v>
      </c>
      <c r="CZ166" s="216" t="str">
        <f t="shared" si="138"/>
        <v>0</v>
      </c>
      <c r="DA166" s="243">
        <f t="shared" si="139"/>
        <v>3.1610643499410687</v>
      </c>
      <c r="DB166" s="306">
        <v>1</v>
      </c>
      <c r="DC166" s="306">
        <v>0</v>
      </c>
      <c r="DD166" s="306">
        <v>0</v>
      </c>
      <c r="DE166" s="306">
        <v>0</v>
      </c>
      <c r="DF166" s="306">
        <v>4</v>
      </c>
      <c r="DG166" s="306">
        <v>0</v>
      </c>
      <c r="DH166" s="306">
        <v>0</v>
      </c>
      <c r="DI166" s="306">
        <v>0</v>
      </c>
      <c r="DJ166" s="306">
        <v>0</v>
      </c>
      <c r="DK166" s="306">
        <v>256</v>
      </c>
      <c r="DL166" s="306">
        <f t="shared" si="112"/>
        <v>243</v>
      </c>
      <c r="DM166" s="306">
        <v>13</v>
      </c>
      <c r="DN166" s="306">
        <v>241</v>
      </c>
      <c r="DO166" s="306">
        <v>120</v>
      </c>
      <c r="DP166" s="306">
        <v>274</v>
      </c>
      <c r="DQ166" s="306">
        <v>240</v>
      </c>
      <c r="DR166" s="306">
        <v>120</v>
      </c>
      <c r="DS166" s="306">
        <v>274</v>
      </c>
      <c r="DT166" s="306">
        <v>240</v>
      </c>
      <c r="DU166" s="306">
        <v>12</v>
      </c>
      <c r="DV166" s="306">
        <v>3</v>
      </c>
      <c r="DW166" s="306">
        <v>18</v>
      </c>
      <c r="DX166" s="306">
        <v>6</v>
      </c>
      <c r="DY166" s="306">
        <v>3</v>
      </c>
      <c r="DZ166" s="306">
        <v>18</v>
      </c>
      <c r="EA166" s="306">
        <v>6</v>
      </c>
      <c r="EB166" s="306">
        <v>256</v>
      </c>
      <c r="EC166" s="306">
        <v>256</v>
      </c>
      <c r="ED166" s="342"/>
      <c r="EE166" s="342"/>
    </row>
    <row r="167" spans="1:135" x14ac:dyDescent="0.2">
      <c r="A167" s="12" t="s">
        <v>197</v>
      </c>
      <c r="B167" s="169">
        <v>157</v>
      </c>
      <c r="C167" s="12" t="s">
        <v>310</v>
      </c>
      <c r="D167" s="200">
        <v>1974</v>
      </c>
      <c r="E167" s="11"/>
      <c r="F167" s="169" t="s">
        <v>20</v>
      </c>
      <c r="G167" s="35">
        <v>1</v>
      </c>
      <c r="H167" s="201">
        <v>5</v>
      </c>
      <c r="I167" s="201" t="s">
        <v>22</v>
      </c>
      <c r="J167" s="115">
        <v>12466</v>
      </c>
      <c r="K167" s="115">
        <v>909</v>
      </c>
      <c r="L167" s="157">
        <v>1070</v>
      </c>
      <c r="M167" s="115"/>
      <c r="N167" s="115">
        <v>78</v>
      </c>
      <c r="O167" s="115">
        <v>157</v>
      </c>
      <c r="P167" s="115">
        <v>78</v>
      </c>
      <c r="Q167" s="115">
        <v>143</v>
      </c>
      <c r="R167" s="228">
        <f>3479.1+0.03</f>
        <v>3479.13</v>
      </c>
      <c r="S167" s="230">
        <v>2336.4700000000003</v>
      </c>
      <c r="T167" s="115">
        <f t="shared" si="117"/>
        <v>68</v>
      </c>
      <c r="U167" s="203">
        <f t="shared" si="118"/>
        <v>3048.17</v>
      </c>
      <c r="V167" s="180">
        <f t="shared" si="118"/>
        <v>2194.5700000000002</v>
      </c>
      <c r="W167" s="115">
        <v>10</v>
      </c>
      <c r="X167" s="207">
        <v>430.96</v>
      </c>
      <c r="Y167" s="207">
        <v>141.9</v>
      </c>
      <c r="Z167" s="204"/>
      <c r="AA167" s="207"/>
      <c r="AB167" s="207"/>
      <c r="AC167" s="207">
        <f t="shared" si="119"/>
        <v>72.8</v>
      </c>
      <c r="AD167" s="248">
        <f t="shared" si="120"/>
        <v>0</v>
      </c>
      <c r="AE167" s="275"/>
      <c r="AF167" s="248"/>
      <c r="AG167" s="207">
        <f>30.37+42.43</f>
        <v>72.8</v>
      </c>
      <c r="AH167" s="207"/>
      <c r="AI167" s="207">
        <f t="shared" si="121"/>
        <v>3551.9300000000003</v>
      </c>
      <c r="AJ167" s="170"/>
      <c r="AK167" s="170"/>
      <c r="AL167" s="170">
        <v>4</v>
      </c>
      <c r="AM167" s="170"/>
      <c r="AN167" s="170">
        <v>1</v>
      </c>
      <c r="AO167" s="170">
        <v>1</v>
      </c>
      <c r="AP167" s="170">
        <v>2480</v>
      </c>
      <c r="AQ167" s="170"/>
      <c r="AR167" s="170">
        <v>666</v>
      </c>
      <c r="AS167" s="170">
        <v>162</v>
      </c>
      <c r="AT167" s="170">
        <v>70</v>
      </c>
      <c r="AU167" s="170">
        <f t="shared" si="107"/>
        <v>3452</v>
      </c>
      <c r="AV167" s="170"/>
      <c r="AW167" s="170">
        <v>3452</v>
      </c>
      <c r="AX167" s="170">
        <v>1936</v>
      </c>
      <c r="AY167" s="170">
        <v>135</v>
      </c>
      <c r="AZ167" s="170">
        <v>894</v>
      </c>
      <c r="BA167" s="170">
        <v>894</v>
      </c>
      <c r="BB167" s="170">
        <v>16</v>
      </c>
      <c r="BC167" s="170">
        <v>8</v>
      </c>
      <c r="BD167" s="170">
        <v>160</v>
      </c>
      <c r="BE167" s="170">
        <v>80</v>
      </c>
      <c r="BF167" s="170">
        <v>1</v>
      </c>
      <c r="BG167" s="170">
        <v>400</v>
      </c>
      <c r="BH167" s="170">
        <v>80</v>
      </c>
      <c r="BI167" s="170"/>
      <c r="BJ167" s="115" t="str">
        <f t="shared" si="122"/>
        <v>0</v>
      </c>
      <c r="BK167" s="115" t="str">
        <f t="shared" si="123"/>
        <v>0</v>
      </c>
      <c r="BL167" s="115" t="str">
        <f t="shared" si="124"/>
        <v>0</v>
      </c>
      <c r="BM167" s="115">
        <f t="shared" si="125"/>
        <v>1</v>
      </c>
      <c r="BN167" s="115">
        <f t="shared" si="126"/>
        <v>3479.13</v>
      </c>
      <c r="BO167" s="115">
        <f t="shared" si="127"/>
        <v>2336.4700000000003</v>
      </c>
      <c r="BP167" s="115" t="str">
        <f t="shared" si="128"/>
        <v>0</v>
      </c>
      <c r="BQ167" s="115" t="str">
        <f t="shared" si="129"/>
        <v>0</v>
      </c>
      <c r="BR167" s="115" t="str">
        <f t="shared" si="130"/>
        <v>0</v>
      </c>
      <c r="BS167" s="115"/>
      <c r="BT167" s="115">
        <v>2</v>
      </c>
      <c r="BU167" s="115">
        <f>BA167</f>
        <v>894</v>
      </c>
      <c r="BV167" s="115">
        <v>3160</v>
      </c>
      <c r="BW167" s="115"/>
      <c r="BX167" s="115"/>
      <c r="BY167" s="253">
        <v>1169.3</v>
      </c>
      <c r="BZ167" s="253">
        <v>275.64999999999998</v>
      </c>
      <c r="CA167" s="354">
        <v>275.64999999999998</v>
      </c>
      <c r="CB167" s="354"/>
      <c r="CC167" s="354"/>
      <c r="CD167" s="354">
        <f>894*0+893.65</f>
        <v>893.65</v>
      </c>
      <c r="CE167" s="354"/>
      <c r="CF167" s="354"/>
      <c r="CG167" s="354"/>
      <c r="CH167" s="355"/>
      <c r="CI167" s="356">
        <f t="shared" si="131"/>
        <v>1169.3</v>
      </c>
      <c r="CJ167" s="356">
        <f t="shared" si="116"/>
        <v>275.64999999999998</v>
      </c>
      <c r="CK167" s="357">
        <v>894</v>
      </c>
      <c r="CL167" s="358">
        <f t="shared" si="132"/>
        <v>2063.3000000000002</v>
      </c>
      <c r="CM167" s="205">
        <v>2516</v>
      </c>
      <c r="CN167" s="282">
        <f t="shared" si="133"/>
        <v>1607</v>
      </c>
      <c r="CO167" s="209" t="str">
        <f t="shared" si="108"/>
        <v>0</v>
      </c>
      <c r="CP167" s="235">
        <f t="shared" si="109"/>
        <v>0</v>
      </c>
      <c r="CQ167" s="209">
        <f t="shared" si="114"/>
        <v>1</v>
      </c>
      <c r="CR167" s="235">
        <f t="shared" si="110"/>
        <v>3452</v>
      </c>
      <c r="CS167" s="235">
        <f t="shared" si="168"/>
        <v>1</v>
      </c>
      <c r="CT167" s="235">
        <f t="shared" si="168"/>
        <v>3452</v>
      </c>
      <c r="CU167" s="156">
        <v>51</v>
      </c>
      <c r="CV167" s="284" t="str">
        <f t="shared" si="134"/>
        <v>0</v>
      </c>
      <c r="CW167" s="284" t="str">
        <f t="shared" si="135"/>
        <v>0</v>
      </c>
      <c r="CX167" s="243">
        <f t="shared" si="136"/>
        <v>12.387004797176305</v>
      </c>
      <c r="CY167" s="216" t="str">
        <f t="shared" si="137"/>
        <v>0</v>
      </c>
      <c r="CZ167" s="216" t="str">
        <f t="shared" si="138"/>
        <v>0</v>
      </c>
      <c r="DA167" s="243">
        <f t="shared" si="139"/>
        <v>12.133121992832065</v>
      </c>
      <c r="DB167" s="306">
        <v>1</v>
      </c>
      <c r="DC167" s="306">
        <v>0</v>
      </c>
      <c r="DD167" s="306">
        <v>0</v>
      </c>
      <c r="DE167" s="306">
        <v>0</v>
      </c>
      <c r="DF167" s="306">
        <v>1</v>
      </c>
      <c r="DG167" s="306">
        <v>0</v>
      </c>
      <c r="DH167" s="306">
        <v>0</v>
      </c>
      <c r="DI167" s="306">
        <v>0</v>
      </c>
      <c r="DJ167" s="306">
        <v>0</v>
      </c>
      <c r="DK167" s="306">
        <v>78</v>
      </c>
      <c r="DL167" s="306">
        <f t="shared" si="112"/>
        <v>68</v>
      </c>
      <c r="DM167" s="306">
        <v>10</v>
      </c>
      <c r="DN167" s="306">
        <v>65</v>
      </c>
      <c r="DO167" s="306">
        <v>30</v>
      </c>
      <c r="DP167" s="306">
        <v>48</v>
      </c>
      <c r="DQ167" s="306">
        <v>30</v>
      </c>
      <c r="DR167" s="306">
        <v>30</v>
      </c>
      <c r="DS167" s="306">
        <v>48</v>
      </c>
      <c r="DT167" s="306">
        <v>30</v>
      </c>
      <c r="DU167" s="306">
        <v>10</v>
      </c>
      <c r="DV167" s="306">
        <v>2</v>
      </c>
      <c r="DW167" s="306">
        <v>5</v>
      </c>
      <c r="DX167" s="306">
        <v>2</v>
      </c>
      <c r="DY167" s="306">
        <v>2</v>
      </c>
      <c r="DZ167" s="306">
        <v>5</v>
      </c>
      <c r="EA167" s="306">
        <v>2</v>
      </c>
      <c r="EB167" s="306">
        <v>78</v>
      </c>
      <c r="EC167" s="306">
        <v>78</v>
      </c>
      <c r="ED167" s="342"/>
      <c r="EE167" s="342"/>
    </row>
    <row r="168" spans="1:135" x14ac:dyDescent="0.2">
      <c r="A168" s="14" t="s">
        <v>203</v>
      </c>
      <c r="B168" s="169">
        <v>158</v>
      </c>
      <c r="C168" s="12" t="s">
        <v>311</v>
      </c>
      <c r="D168" s="200">
        <v>1974</v>
      </c>
      <c r="E168" s="11"/>
      <c r="F168" s="169" t="s">
        <v>21</v>
      </c>
      <c r="G168" s="35">
        <v>1</v>
      </c>
      <c r="H168" s="201">
        <v>9</v>
      </c>
      <c r="I168" s="201" t="s">
        <v>19</v>
      </c>
      <c r="J168" s="115">
        <v>30615</v>
      </c>
      <c r="K168" s="115">
        <v>1066</v>
      </c>
      <c r="L168" s="157"/>
      <c r="M168" s="115">
        <v>1010</v>
      </c>
      <c r="N168" s="115">
        <v>100</v>
      </c>
      <c r="O168" s="115">
        <v>222</v>
      </c>
      <c r="P168" s="115">
        <v>100</v>
      </c>
      <c r="Q168" s="115">
        <v>179</v>
      </c>
      <c r="R168" s="228">
        <f>5412.33-0.11+0.11+0.11-0.02</f>
        <v>5412.4199999999992</v>
      </c>
      <c r="S168" s="230">
        <v>3106.42</v>
      </c>
      <c r="T168" s="115">
        <f t="shared" si="117"/>
        <v>96</v>
      </c>
      <c r="U168" s="203">
        <f t="shared" si="118"/>
        <v>5237.119999999999</v>
      </c>
      <c r="V168" s="180">
        <f t="shared" si="118"/>
        <v>2997.73</v>
      </c>
      <c r="W168" s="115">
        <v>4</v>
      </c>
      <c r="X168" s="207">
        <v>175.3</v>
      </c>
      <c r="Y168" s="207">
        <v>108.69</v>
      </c>
      <c r="Z168" s="204"/>
      <c r="AA168" s="207"/>
      <c r="AB168" s="207"/>
      <c r="AC168" s="207">
        <f t="shared" si="119"/>
        <v>211.3</v>
      </c>
      <c r="AD168" s="248">
        <f t="shared" si="120"/>
        <v>33.299999999999997</v>
      </c>
      <c r="AE168" s="275"/>
      <c r="AF168" s="248">
        <v>33.299999999999997</v>
      </c>
      <c r="AG168" s="207">
        <v>178</v>
      </c>
      <c r="AH168" s="207"/>
      <c r="AI168" s="207">
        <f t="shared" si="121"/>
        <v>5623.7199999999993</v>
      </c>
      <c r="AJ168" s="170"/>
      <c r="AK168" s="170">
        <v>3</v>
      </c>
      <c r="AL168" s="170">
        <v>3</v>
      </c>
      <c r="AM168" s="170">
        <v>3</v>
      </c>
      <c r="AN168" s="170"/>
      <c r="AO168" s="170">
        <v>3</v>
      </c>
      <c r="AP168" s="170">
        <v>4384</v>
      </c>
      <c r="AQ168" s="170"/>
      <c r="AR168" s="170">
        <v>728</v>
      </c>
      <c r="AS168" s="170">
        <v>145</v>
      </c>
      <c r="AT168" s="170">
        <v>75</v>
      </c>
      <c r="AU168" s="170">
        <f t="shared" si="107"/>
        <v>7575</v>
      </c>
      <c r="AV168" s="170">
        <v>7575</v>
      </c>
      <c r="AW168" s="170"/>
      <c r="AX168" s="170"/>
      <c r="AY168" s="170">
        <v>228</v>
      </c>
      <c r="AZ168" s="170">
        <v>998</v>
      </c>
      <c r="BA168" s="170">
        <v>998</v>
      </c>
      <c r="BB168" s="170"/>
      <c r="BC168" s="170">
        <v>9</v>
      </c>
      <c r="BD168" s="170">
        <v>384</v>
      </c>
      <c r="BE168" s="170">
        <v>103</v>
      </c>
      <c r="BF168" s="170"/>
      <c r="BG168" s="170">
        <v>17100</v>
      </c>
      <c r="BH168" s="170">
        <v>4905</v>
      </c>
      <c r="BI168" s="170">
        <v>135</v>
      </c>
      <c r="BJ168" s="115">
        <f t="shared" si="122"/>
        <v>1</v>
      </c>
      <c r="BK168" s="115">
        <f t="shared" si="123"/>
        <v>5412.4199999999992</v>
      </c>
      <c r="BL168" s="115">
        <f t="shared" si="124"/>
        <v>3106.42</v>
      </c>
      <c r="BM168" s="115" t="str">
        <f t="shared" si="125"/>
        <v>0</v>
      </c>
      <c r="BN168" s="115" t="str">
        <f t="shared" si="126"/>
        <v>0</v>
      </c>
      <c r="BO168" s="115" t="str">
        <f t="shared" si="127"/>
        <v>0</v>
      </c>
      <c r="BP168" s="115" t="str">
        <f t="shared" si="128"/>
        <v>0</v>
      </c>
      <c r="BQ168" s="115" t="str">
        <f t="shared" si="129"/>
        <v>0</v>
      </c>
      <c r="BR168" s="115" t="str">
        <f t="shared" si="130"/>
        <v>0</v>
      </c>
      <c r="BS168" s="115"/>
      <c r="BT168" s="115">
        <v>2</v>
      </c>
      <c r="BU168" s="115">
        <f>BA168</f>
        <v>998</v>
      </c>
      <c r="BV168" s="115">
        <v>5584</v>
      </c>
      <c r="BW168" s="115"/>
      <c r="BX168" s="115">
        <f>AP168</f>
        <v>4384</v>
      </c>
      <c r="BY168" s="253">
        <v>1851.57</v>
      </c>
      <c r="BZ168" s="253">
        <v>1057.48</v>
      </c>
      <c r="CA168" s="354">
        <f>1047.87-2.44*3</f>
        <v>1040.55</v>
      </c>
      <c r="CB168" s="354">
        <f>2.44*3</f>
        <v>7.32</v>
      </c>
      <c r="CC168" s="354">
        <f>8.47+8.46</f>
        <v>16.93</v>
      </c>
      <c r="CD168" s="354">
        <v>738.96</v>
      </c>
      <c r="CE168" s="354">
        <v>9.2799999999999994</v>
      </c>
      <c r="CF168" s="354"/>
      <c r="CG168" s="354">
        <f>10.04+2.75+10.27+2.73+9.99+2.75</f>
        <v>38.53</v>
      </c>
      <c r="CH168" s="355"/>
      <c r="CI168" s="356">
        <f t="shared" si="131"/>
        <v>1851.57</v>
      </c>
      <c r="CJ168" s="356">
        <f t="shared" si="116"/>
        <v>1057.48</v>
      </c>
      <c r="CK168" s="357">
        <v>998</v>
      </c>
      <c r="CL168" s="358">
        <f t="shared" si="132"/>
        <v>2849.5699999999997</v>
      </c>
      <c r="CM168" s="205">
        <v>2052</v>
      </c>
      <c r="CN168" s="282">
        <f t="shared" si="133"/>
        <v>986</v>
      </c>
      <c r="CO168" s="209">
        <f t="shared" si="108"/>
        <v>1</v>
      </c>
      <c r="CP168" s="235">
        <f t="shared" si="109"/>
        <v>7575</v>
      </c>
      <c r="CQ168" s="209" t="str">
        <f t="shared" si="114"/>
        <v>0</v>
      </c>
      <c r="CR168" s="235">
        <f t="shared" si="110"/>
        <v>0</v>
      </c>
      <c r="CS168" s="235">
        <f t="shared" si="168"/>
        <v>1</v>
      </c>
      <c r="CT168" s="235">
        <f t="shared" si="168"/>
        <v>7575</v>
      </c>
      <c r="CU168" s="156">
        <v>69</v>
      </c>
      <c r="CV168" s="284" t="str">
        <f t="shared" si="134"/>
        <v>0</v>
      </c>
      <c r="CW168" s="284" t="str">
        <f t="shared" si="135"/>
        <v>0</v>
      </c>
      <c r="CX168" s="243">
        <f t="shared" si="136"/>
        <v>3.2388469483151723</v>
      </c>
      <c r="CY168" s="216" t="str">
        <f t="shared" si="137"/>
        <v>0</v>
      </c>
      <c r="CZ168" s="216" t="str">
        <f t="shared" si="138"/>
        <v>0</v>
      </c>
      <c r="DA168" s="243">
        <f t="shared" si="139"/>
        <v>3.7092885136528855</v>
      </c>
      <c r="DB168" s="306">
        <v>1</v>
      </c>
      <c r="DC168" s="306">
        <v>0</v>
      </c>
      <c r="DD168" s="306">
        <v>0</v>
      </c>
      <c r="DE168" s="306">
        <v>0</v>
      </c>
      <c r="DF168" s="306">
        <v>2</v>
      </c>
      <c r="DG168" s="306">
        <v>0</v>
      </c>
      <c r="DH168" s="306">
        <v>0</v>
      </c>
      <c r="DI168" s="306">
        <v>0</v>
      </c>
      <c r="DJ168" s="306">
        <v>0</v>
      </c>
      <c r="DK168" s="306">
        <v>102</v>
      </c>
      <c r="DL168" s="306">
        <f t="shared" si="112"/>
        <v>100</v>
      </c>
      <c r="DM168" s="306">
        <v>2</v>
      </c>
      <c r="DN168" s="306">
        <v>62</v>
      </c>
      <c r="DO168" s="306">
        <v>54</v>
      </c>
      <c r="DP168" s="306">
        <v>75</v>
      </c>
      <c r="DQ168" s="306">
        <v>82</v>
      </c>
      <c r="DR168" s="306">
        <v>54</v>
      </c>
      <c r="DS168" s="306">
        <v>74</v>
      </c>
      <c r="DT168" s="306">
        <v>83</v>
      </c>
      <c r="DU168" s="306">
        <v>0</v>
      </c>
      <c r="DV168" s="306">
        <v>0</v>
      </c>
      <c r="DW168" s="306">
        <v>5</v>
      </c>
      <c r="DX168" s="306">
        <v>0</v>
      </c>
      <c r="DY168" s="306">
        <v>0</v>
      </c>
      <c r="DZ168" s="306">
        <v>5</v>
      </c>
      <c r="EA168" s="306">
        <v>0</v>
      </c>
      <c r="EB168" s="306">
        <v>102</v>
      </c>
      <c r="EC168" s="306">
        <v>102</v>
      </c>
      <c r="ED168" s="342"/>
      <c r="EE168" s="342"/>
    </row>
    <row r="169" spans="1:135" x14ac:dyDescent="0.2">
      <c r="A169" s="12" t="s">
        <v>197</v>
      </c>
      <c r="B169" s="169">
        <v>159</v>
      </c>
      <c r="C169" s="12" t="s">
        <v>312</v>
      </c>
      <c r="D169" s="200">
        <v>1973</v>
      </c>
      <c r="E169" s="11"/>
      <c r="F169" s="169" t="s">
        <v>20</v>
      </c>
      <c r="G169" s="35">
        <v>1</v>
      </c>
      <c r="H169" s="201">
        <v>5</v>
      </c>
      <c r="I169" s="201" t="s">
        <v>22</v>
      </c>
      <c r="J169" s="115">
        <v>17107</v>
      </c>
      <c r="K169" s="115">
        <v>1268</v>
      </c>
      <c r="L169" s="157">
        <v>1473</v>
      </c>
      <c r="M169" s="115"/>
      <c r="N169" s="115">
        <v>120</v>
      </c>
      <c r="O169" s="115">
        <v>210</v>
      </c>
      <c r="P169" s="115">
        <v>122</v>
      </c>
      <c r="Q169" s="115">
        <v>202</v>
      </c>
      <c r="R169" s="228">
        <f>4884.21+0.05</f>
        <v>4884.26</v>
      </c>
      <c r="S169" s="230">
        <v>3211.31</v>
      </c>
      <c r="T169" s="115">
        <f t="shared" si="117"/>
        <v>110</v>
      </c>
      <c r="U169" s="203">
        <f t="shared" si="118"/>
        <v>4485.3600000000006</v>
      </c>
      <c r="V169" s="180">
        <f t="shared" si="118"/>
        <v>2963.99</v>
      </c>
      <c r="W169" s="115">
        <v>10</v>
      </c>
      <c r="X169" s="207">
        <v>398.9</v>
      </c>
      <c r="Y169" s="207">
        <v>247.32</v>
      </c>
      <c r="Z169" s="204"/>
      <c r="AA169" s="207"/>
      <c r="AB169" s="207"/>
      <c r="AC169" s="207">
        <f t="shared" si="119"/>
        <v>0</v>
      </c>
      <c r="AD169" s="248">
        <f t="shared" si="120"/>
        <v>0</v>
      </c>
      <c r="AE169" s="275"/>
      <c r="AF169" s="248"/>
      <c r="AG169" s="207"/>
      <c r="AH169" s="207"/>
      <c r="AI169" s="207">
        <f t="shared" si="121"/>
        <v>4884.26</v>
      </c>
      <c r="AJ169" s="170"/>
      <c r="AK169" s="170"/>
      <c r="AL169" s="170">
        <v>6</v>
      </c>
      <c r="AM169" s="170"/>
      <c r="AN169" s="170"/>
      <c r="AO169" s="170">
        <v>2</v>
      </c>
      <c r="AP169" s="170">
        <v>3192</v>
      </c>
      <c r="AQ169" s="170"/>
      <c r="AR169" s="170">
        <v>730</v>
      </c>
      <c r="AS169" s="170">
        <v>312</v>
      </c>
      <c r="AT169" s="170">
        <v>108</v>
      </c>
      <c r="AU169" s="170">
        <f t="shared" si="107"/>
        <v>5310</v>
      </c>
      <c r="AV169" s="170"/>
      <c r="AW169" s="170">
        <v>5310</v>
      </c>
      <c r="AX169" s="170">
        <v>2904</v>
      </c>
      <c r="AY169" s="170">
        <v>189</v>
      </c>
      <c r="AZ169" s="170">
        <v>1233</v>
      </c>
      <c r="BA169" s="170">
        <v>1233</v>
      </c>
      <c r="BB169" s="170">
        <v>24</v>
      </c>
      <c r="BC169" s="170">
        <v>12</v>
      </c>
      <c r="BD169" s="170">
        <v>330</v>
      </c>
      <c r="BE169" s="170">
        <v>120</v>
      </c>
      <c r="BF169" s="170"/>
      <c r="BG169" s="170">
        <v>600</v>
      </c>
      <c r="BH169" s="170">
        <v>120</v>
      </c>
      <c r="BI169" s="170"/>
      <c r="BJ169" s="115" t="str">
        <f t="shared" si="122"/>
        <v>0</v>
      </c>
      <c r="BK169" s="115" t="str">
        <f t="shared" si="123"/>
        <v>0</v>
      </c>
      <c r="BL169" s="115" t="str">
        <f t="shared" si="124"/>
        <v>0</v>
      </c>
      <c r="BM169" s="115">
        <f t="shared" si="125"/>
        <v>1</v>
      </c>
      <c r="BN169" s="115">
        <f t="shared" si="126"/>
        <v>4884.26</v>
      </c>
      <c r="BO169" s="115">
        <f t="shared" si="127"/>
        <v>3211.31</v>
      </c>
      <c r="BP169" s="115" t="str">
        <f t="shared" si="128"/>
        <v>0</v>
      </c>
      <c r="BQ169" s="115" t="str">
        <f t="shared" si="129"/>
        <v>0</v>
      </c>
      <c r="BR169" s="115" t="str">
        <f t="shared" si="130"/>
        <v>0</v>
      </c>
      <c r="BS169" s="209"/>
      <c r="BT169" s="209"/>
      <c r="BU169" s="115"/>
      <c r="BV169" s="209"/>
      <c r="BW169" s="115"/>
      <c r="BX169" s="115"/>
      <c r="BY169" s="253">
        <v>1642.03</v>
      </c>
      <c r="BZ169" s="253">
        <v>408.63</v>
      </c>
      <c r="CA169" s="354">
        <v>408.63</v>
      </c>
      <c r="CB169" s="354"/>
      <c r="CC169" s="354"/>
      <c r="CD169" s="354">
        <v>1233.4000000000001</v>
      </c>
      <c r="CE169" s="354"/>
      <c r="CF169" s="354"/>
      <c r="CG169" s="354"/>
      <c r="CH169" s="355"/>
      <c r="CI169" s="356">
        <f t="shared" si="131"/>
        <v>1642.0300000000002</v>
      </c>
      <c r="CJ169" s="356">
        <f t="shared" si="116"/>
        <v>408.63</v>
      </c>
      <c r="CK169" s="357">
        <v>1233</v>
      </c>
      <c r="CL169" s="358">
        <f t="shared" si="132"/>
        <v>2875.03</v>
      </c>
      <c r="CM169" s="205">
        <v>3694</v>
      </c>
      <c r="CN169" s="282">
        <f t="shared" si="133"/>
        <v>2426</v>
      </c>
      <c r="CO169" s="209" t="str">
        <f t="shared" si="108"/>
        <v>0</v>
      </c>
      <c r="CP169" s="235">
        <f t="shared" si="109"/>
        <v>0</v>
      </c>
      <c r="CQ169" s="209">
        <f t="shared" si="114"/>
        <v>1</v>
      </c>
      <c r="CR169" s="235">
        <f t="shared" si="110"/>
        <v>5310</v>
      </c>
      <c r="CS169" s="235">
        <f t="shared" si="168"/>
        <v>1</v>
      </c>
      <c r="CT169" s="235">
        <f t="shared" si="168"/>
        <v>5310</v>
      </c>
      <c r="CU169" s="156">
        <v>56</v>
      </c>
      <c r="CV169" s="284" t="str">
        <f t="shared" si="134"/>
        <v>0</v>
      </c>
      <c r="CW169" s="284" t="str">
        <f t="shared" si="135"/>
        <v>0</v>
      </c>
      <c r="CX169" s="243">
        <f t="shared" si="136"/>
        <v>8.1670508940965458</v>
      </c>
      <c r="CY169" s="216" t="str">
        <f t="shared" si="137"/>
        <v>0</v>
      </c>
      <c r="CZ169" s="216" t="str">
        <f t="shared" si="138"/>
        <v>0</v>
      </c>
      <c r="DA169" s="243">
        <f t="shared" si="139"/>
        <v>8.1670508940965458</v>
      </c>
      <c r="DB169" s="306">
        <v>1</v>
      </c>
      <c r="DC169" s="306">
        <v>0</v>
      </c>
      <c r="DD169" s="306">
        <v>0</v>
      </c>
      <c r="DE169" s="306">
        <v>0</v>
      </c>
      <c r="DF169" s="306">
        <v>1</v>
      </c>
      <c r="DG169" s="306">
        <v>0</v>
      </c>
      <c r="DH169" s="306">
        <v>0</v>
      </c>
      <c r="DI169" s="306">
        <v>0</v>
      </c>
      <c r="DJ169" s="306">
        <v>0</v>
      </c>
      <c r="DK169" s="306">
        <v>120</v>
      </c>
      <c r="DL169" s="306">
        <f t="shared" si="112"/>
        <v>108</v>
      </c>
      <c r="DM169" s="306">
        <v>12</v>
      </c>
      <c r="DN169" s="306">
        <v>67</v>
      </c>
      <c r="DO169" s="306">
        <v>56</v>
      </c>
      <c r="DP169" s="306">
        <v>63</v>
      </c>
      <c r="DQ169" s="306">
        <v>57</v>
      </c>
      <c r="DR169" s="306">
        <v>55</v>
      </c>
      <c r="DS169" s="306">
        <v>65</v>
      </c>
      <c r="DT169" s="306">
        <v>55</v>
      </c>
      <c r="DU169" s="306">
        <v>5</v>
      </c>
      <c r="DV169" s="306">
        <v>3</v>
      </c>
      <c r="DW169" s="306">
        <v>11</v>
      </c>
      <c r="DX169" s="306">
        <v>3</v>
      </c>
      <c r="DY169" s="306">
        <v>3</v>
      </c>
      <c r="DZ169" s="306">
        <v>11</v>
      </c>
      <c r="EA169" s="306">
        <v>3</v>
      </c>
      <c r="EB169" s="306">
        <v>120</v>
      </c>
      <c r="EC169" s="306">
        <v>120</v>
      </c>
      <c r="ED169" s="342"/>
      <c r="EE169" s="342"/>
    </row>
    <row r="170" spans="1:135" x14ac:dyDescent="0.2">
      <c r="A170" s="12" t="s">
        <v>142</v>
      </c>
      <c r="B170" s="169">
        <v>160</v>
      </c>
      <c r="C170" s="12" t="s">
        <v>93</v>
      </c>
      <c r="D170" s="13">
        <v>1973</v>
      </c>
      <c r="E170" s="11"/>
      <c r="F170" s="169" t="s">
        <v>20</v>
      </c>
      <c r="G170" s="35">
        <v>1</v>
      </c>
      <c r="H170" s="45">
        <v>5</v>
      </c>
      <c r="I170" s="1" t="s">
        <v>22</v>
      </c>
      <c r="J170" s="122">
        <v>17119</v>
      </c>
      <c r="K170" s="122">
        <v>1262</v>
      </c>
      <c r="L170" s="122">
        <v>1464</v>
      </c>
      <c r="M170" s="122"/>
      <c r="N170" s="122">
        <v>120</v>
      </c>
      <c r="O170" s="122">
        <v>210</v>
      </c>
      <c r="P170" s="122">
        <v>120</v>
      </c>
      <c r="Q170" s="122">
        <v>222</v>
      </c>
      <c r="R170" s="179">
        <v>4877.63</v>
      </c>
      <c r="S170" s="121">
        <v>3211</v>
      </c>
      <c r="T170" s="122">
        <f t="shared" si="117"/>
        <v>104</v>
      </c>
      <c r="U170" s="180">
        <f t="shared" si="118"/>
        <v>4226.99</v>
      </c>
      <c r="V170" s="180">
        <f t="shared" si="118"/>
        <v>2775.07</v>
      </c>
      <c r="W170" s="122">
        <v>16</v>
      </c>
      <c r="X170" s="180">
        <v>650.64</v>
      </c>
      <c r="Y170" s="180">
        <v>435.93</v>
      </c>
      <c r="Z170" s="122"/>
      <c r="AA170" s="180"/>
      <c r="AB170" s="180"/>
      <c r="AC170" s="180">
        <f t="shared" si="119"/>
        <v>0</v>
      </c>
      <c r="AD170" s="179">
        <f t="shared" si="120"/>
        <v>0</v>
      </c>
      <c r="AE170" s="271"/>
      <c r="AF170" s="179"/>
      <c r="AG170" s="180"/>
      <c r="AH170" s="180"/>
      <c r="AI170" s="180">
        <f t="shared" si="121"/>
        <v>4877.63</v>
      </c>
      <c r="AJ170" s="122"/>
      <c r="AK170" s="122"/>
      <c r="AL170" s="122">
        <v>6</v>
      </c>
      <c r="AM170" s="122"/>
      <c r="AN170" s="122"/>
      <c r="AO170" s="122">
        <v>1</v>
      </c>
      <c r="AP170" s="122">
        <v>3156</v>
      </c>
      <c r="AQ170" s="35"/>
      <c r="AR170" s="122">
        <f>123+61+176</f>
        <v>360</v>
      </c>
      <c r="AS170" s="122">
        <v>300</v>
      </c>
      <c r="AT170" s="122">
        <v>77</v>
      </c>
      <c r="AU170" s="122">
        <f t="shared" si="107"/>
        <v>4386</v>
      </c>
      <c r="AV170" s="122"/>
      <c r="AW170" s="122">
        <v>4386</v>
      </c>
      <c r="AX170" s="122">
        <v>2700</v>
      </c>
      <c r="AY170" s="122">
        <v>196</v>
      </c>
      <c r="AZ170" s="122">
        <v>1232</v>
      </c>
      <c r="BA170" s="122">
        <v>1232</v>
      </c>
      <c r="BB170" s="122">
        <v>30</v>
      </c>
      <c r="BC170" s="122">
        <v>19</v>
      </c>
      <c r="BD170" s="122">
        <v>330</v>
      </c>
      <c r="BE170" s="122">
        <v>120</v>
      </c>
      <c r="BF170" s="122">
        <v>1</v>
      </c>
      <c r="BG170" s="122">
        <v>22548</v>
      </c>
      <c r="BH170" s="122">
        <v>438</v>
      </c>
      <c r="BI170" s="122"/>
      <c r="BJ170" s="115" t="str">
        <f t="shared" si="122"/>
        <v>0</v>
      </c>
      <c r="BK170" s="115" t="str">
        <f t="shared" si="123"/>
        <v>0</v>
      </c>
      <c r="BL170" s="115" t="str">
        <f t="shared" si="124"/>
        <v>0</v>
      </c>
      <c r="BM170" s="115">
        <f t="shared" si="125"/>
        <v>1</v>
      </c>
      <c r="BN170" s="115">
        <f t="shared" si="126"/>
        <v>4877.63</v>
      </c>
      <c r="BO170" s="115">
        <f t="shared" si="127"/>
        <v>3211</v>
      </c>
      <c r="BP170" s="115" t="str">
        <f t="shared" si="128"/>
        <v>0</v>
      </c>
      <c r="BQ170" s="115" t="str">
        <f t="shared" si="129"/>
        <v>0</v>
      </c>
      <c r="BR170" s="115" t="str">
        <f t="shared" si="130"/>
        <v>0</v>
      </c>
      <c r="BS170" s="115"/>
      <c r="BT170" s="115">
        <v>3</v>
      </c>
      <c r="BU170" s="122"/>
      <c r="BV170" s="115"/>
      <c r="BW170" s="115"/>
      <c r="BX170" s="115"/>
      <c r="BY170" s="275">
        <v>1644.56</v>
      </c>
      <c r="BZ170" s="253">
        <v>412.96</v>
      </c>
      <c r="CA170" s="354">
        <v>412.96</v>
      </c>
      <c r="CB170" s="354"/>
      <c r="CC170" s="354"/>
      <c r="CD170" s="354">
        <v>1231.5999999999999</v>
      </c>
      <c r="CE170" s="354"/>
      <c r="CF170" s="354"/>
      <c r="CG170" s="354"/>
      <c r="CH170" s="355"/>
      <c r="CI170" s="356">
        <f t="shared" si="131"/>
        <v>1644.56</v>
      </c>
      <c r="CJ170" s="356">
        <f t="shared" si="116"/>
        <v>412.96</v>
      </c>
      <c r="CK170" s="357">
        <v>1232</v>
      </c>
      <c r="CL170" s="358">
        <f t="shared" si="132"/>
        <v>2876.56</v>
      </c>
      <c r="CM170" s="157">
        <v>3374</v>
      </c>
      <c r="CN170" s="275">
        <f t="shared" si="133"/>
        <v>2112</v>
      </c>
      <c r="CO170" s="209" t="str">
        <f t="shared" si="108"/>
        <v>0</v>
      </c>
      <c r="CP170" s="235">
        <f t="shared" si="109"/>
        <v>0</v>
      </c>
      <c r="CQ170" s="209">
        <f t="shared" si="114"/>
        <v>1</v>
      </c>
      <c r="CR170" s="235">
        <f t="shared" si="110"/>
        <v>4386</v>
      </c>
      <c r="CS170" s="235">
        <f t="shared" si="168"/>
        <v>1</v>
      </c>
      <c r="CT170" s="235">
        <f t="shared" si="168"/>
        <v>4386</v>
      </c>
      <c r="CU170" s="14">
        <v>53</v>
      </c>
      <c r="CV170" s="284" t="str">
        <f t="shared" si="134"/>
        <v>0</v>
      </c>
      <c r="CW170" s="284" t="str">
        <f t="shared" si="135"/>
        <v>0</v>
      </c>
      <c r="CX170" s="243">
        <f t="shared" si="136"/>
        <v>13.339265175915353</v>
      </c>
      <c r="CY170" s="216" t="str">
        <f t="shared" si="137"/>
        <v>0</v>
      </c>
      <c r="CZ170" s="216" t="str">
        <f t="shared" si="138"/>
        <v>0</v>
      </c>
      <c r="DA170" s="243">
        <f t="shared" si="139"/>
        <v>13.339265175915353</v>
      </c>
      <c r="DB170" s="305">
        <v>1</v>
      </c>
      <c r="DC170" s="305">
        <v>0</v>
      </c>
      <c r="DD170" s="305">
        <v>0</v>
      </c>
      <c r="DE170" s="305">
        <v>0</v>
      </c>
      <c r="DF170" s="305">
        <v>1</v>
      </c>
      <c r="DG170" s="305">
        <v>0</v>
      </c>
      <c r="DH170" s="305">
        <v>0</v>
      </c>
      <c r="DI170" s="305">
        <v>0</v>
      </c>
      <c r="DJ170" s="306">
        <v>0</v>
      </c>
      <c r="DK170" s="306">
        <v>120</v>
      </c>
      <c r="DL170" s="306">
        <f t="shared" si="112"/>
        <v>101</v>
      </c>
      <c r="DM170" s="306">
        <v>19</v>
      </c>
      <c r="DN170" s="306">
        <v>102</v>
      </c>
      <c r="DO170" s="306">
        <v>44</v>
      </c>
      <c r="DP170" s="306">
        <v>76</v>
      </c>
      <c r="DQ170" s="306">
        <v>44</v>
      </c>
      <c r="DR170" s="306">
        <v>44</v>
      </c>
      <c r="DS170" s="306">
        <v>76</v>
      </c>
      <c r="DT170" s="306">
        <v>44</v>
      </c>
      <c r="DU170" s="306">
        <v>17</v>
      </c>
      <c r="DV170" s="306">
        <v>7</v>
      </c>
      <c r="DW170" s="306">
        <v>7</v>
      </c>
      <c r="DX170" s="306">
        <v>7</v>
      </c>
      <c r="DY170" s="306">
        <v>7</v>
      </c>
      <c r="DZ170" s="306">
        <v>7</v>
      </c>
      <c r="EA170" s="306">
        <v>7</v>
      </c>
      <c r="EB170" s="306">
        <v>120</v>
      </c>
      <c r="EC170" s="306">
        <v>120</v>
      </c>
      <c r="ED170" s="342"/>
      <c r="EE170" s="342"/>
    </row>
    <row r="171" spans="1:135" x14ac:dyDescent="0.2">
      <c r="A171" s="14" t="s">
        <v>203</v>
      </c>
      <c r="B171" s="169">
        <v>161</v>
      </c>
      <c r="C171" s="12" t="s">
        <v>313</v>
      </c>
      <c r="D171" s="200">
        <v>1975</v>
      </c>
      <c r="E171" s="11"/>
      <c r="F171" s="169" t="s">
        <v>21</v>
      </c>
      <c r="G171" s="35">
        <v>1</v>
      </c>
      <c r="H171" s="201">
        <v>9</v>
      </c>
      <c r="I171" s="201" t="s">
        <v>19</v>
      </c>
      <c r="J171" s="115">
        <v>27834</v>
      </c>
      <c r="K171" s="115">
        <v>1014</v>
      </c>
      <c r="L171" s="157">
        <v>1193</v>
      </c>
      <c r="M171" s="115"/>
      <c r="N171" s="115">
        <v>96</v>
      </c>
      <c r="O171" s="115">
        <v>208</v>
      </c>
      <c r="P171" s="115">
        <v>98</v>
      </c>
      <c r="Q171" s="115">
        <v>158</v>
      </c>
      <c r="R171" s="228">
        <v>4909.7</v>
      </c>
      <c r="S171" s="230">
        <v>2809.33</v>
      </c>
      <c r="T171" s="115">
        <f t="shared" si="117"/>
        <v>87</v>
      </c>
      <c r="U171" s="203">
        <f t="shared" ref="U171:V187" si="171">R171-X171-AA171</f>
        <v>4435.59</v>
      </c>
      <c r="V171" s="180">
        <f t="shared" si="171"/>
        <v>2515.34</v>
      </c>
      <c r="W171" s="115">
        <v>9</v>
      </c>
      <c r="X171" s="207">
        <v>474.11</v>
      </c>
      <c r="Y171" s="207">
        <v>293.99</v>
      </c>
      <c r="Z171" s="204"/>
      <c r="AA171" s="207"/>
      <c r="AB171" s="207"/>
      <c r="AC171" s="207">
        <f t="shared" si="119"/>
        <v>525.29999999999995</v>
      </c>
      <c r="AD171" s="248">
        <f t="shared" si="120"/>
        <v>239.8</v>
      </c>
      <c r="AE171" s="275"/>
      <c r="AF171" s="248">
        <v>239.8</v>
      </c>
      <c r="AG171" s="207">
        <v>285.5</v>
      </c>
      <c r="AH171" s="207"/>
      <c r="AI171" s="207">
        <f t="shared" si="121"/>
        <v>5435</v>
      </c>
      <c r="AJ171" s="170"/>
      <c r="AK171" s="170">
        <v>3</v>
      </c>
      <c r="AL171" s="170">
        <v>3</v>
      </c>
      <c r="AM171" s="170">
        <v>3</v>
      </c>
      <c r="AN171" s="170"/>
      <c r="AO171" s="170">
        <v>1</v>
      </c>
      <c r="AP171" s="170">
        <v>4384</v>
      </c>
      <c r="AQ171" s="170"/>
      <c r="AR171" s="170">
        <v>767</v>
      </c>
      <c r="AS171" s="170">
        <v>65</v>
      </c>
      <c r="AT171" s="170">
        <v>105</v>
      </c>
      <c r="AU171" s="170">
        <f t="shared" si="107"/>
        <v>7575</v>
      </c>
      <c r="AV171" s="170"/>
      <c r="AW171" s="170">
        <v>7575</v>
      </c>
      <c r="AX171" s="170"/>
      <c r="AY171" s="170">
        <v>230</v>
      </c>
      <c r="AZ171" s="170">
        <v>1014</v>
      </c>
      <c r="BA171" s="170">
        <v>742</v>
      </c>
      <c r="BB171" s="170"/>
      <c r="BC171" s="170">
        <v>9</v>
      </c>
      <c r="BD171" s="170">
        <v>391</v>
      </c>
      <c r="BE171" s="170">
        <v>96</v>
      </c>
      <c r="BF171" s="170"/>
      <c r="BG171" s="170">
        <v>17100</v>
      </c>
      <c r="BH171" s="170">
        <v>4905</v>
      </c>
      <c r="BI171" s="170">
        <v>135</v>
      </c>
      <c r="BJ171" s="115">
        <f t="shared" si="122"/>
        <v>1</v>
      </c>
      <c r="BK171" s="115">
        <f t="shared" si="123"/>
        <v>4909.7</v>
      </c>
      <c r="BL171" s="115">
        <f t="shared" si="124"/>
        <v>2809.33</v>
      </c>
      <c r="BM171" s="115" t="str">
        <f t="shared" si="125"/>
        <v>0</v>
      </c>
      <c r="BN171" s="115" t="str">
        <f t="shared" si="126"/>
        <v>0</v>
      </c>
      <c r="BO171" s="115" t="str">
        <f t="shared" si="127"/>
        <v>0</v>
      </c>
      <c r="BP171" s="115" t="str">
        <f t="shared" si="128"/>
        <v>0</v>
      </c>
      <c r="BQ171" s="115" t="str">
        <f t="shared" si="129"/>
        <v>0</v>
      </c>
      <c r="BR171" s="115" t="str">
        <f t="shared" si="130"/>
        <v>0</v>
      </c>
      <c r="BS171" s="209"/>
      <c r="BT171" s="209">
        <v>2</v>
      </c>
      <c r="BU171" s="115">
        <f>BA171</f>
        <v>742</v>
      </c>
      <c r="BV171" s="209">
        <v>5584</v>
      </c>
      <c r="BW171" s="115"/>
      <c r="BX171" s="115">
        <f>AP171</f>
        <v>4384</v>
      </c>
      <c r="BY171" s="253">
        <v>1928.89</v>
      </c>
      <c r="BZ171" s="253">
        <v>1139.9000000000001</v>
      </c>
      <c r="CA171" s="354">
        <v>1122.3</v>
      </c>
      <c r="CB171" s="354">
        <v>7.42</v>
      </c>
      <c r="CC171" s="354">
        <f>9+8.6</f>
        <v>17.600000000000001</v>
      </c>
      <c r="CD171" s="354">
        <v>741.7</v>
      </c>
      <c r="CE171" s="354">
        <v>8.77</v>
      </c>
      <c r="CF171" s="354"/>
      <c r="CG171" s="354">
        <f>10.47+10.4+10.23</f>
        <v>31.1</v>
      </c>
      <c r="CH171" s="355"/>
      <c r="CI171" s="356">
        <f t="shared" si="131"/>
        <v>1928.8899999999999</v>
      </c>
      <c r="CJ171" s="356">
        <f t="shared" si="116"/>
        <v>1139.8999999999999</v>
      </c>
      <c r="CK171" s="357">
        <v>1014</v>
      </c>
      <c r="CL171" s="358">
        <f t="shared" si="132"/>
        <v>2942.89</v>
      </c>
      <c r="CM171" s="205">
        <v>2400</v>
      </c>
      <c r="CN171" s="282">
        <f t="shared" si="133"/>
        <v>1386</v>
      </c>
      <c r="CO171" s="209" t="str">
        <f t="shared" si="108"/>
        <v>0</v>
      </c>
      <c r="CP171" s="235">
        <f t="shared" si="109"/>
        <v>0</v>
      </c>
      <c r="CQ171" s="209">
        <f t="shared" si="114"/>
        <v>1</v>
      </c>
      <c r="CR171" s="235">
        <f t="shared" si="110"/>
        <v>7575</v>
      </c>
      <c r="CS171" s="235">
        <f t="shared" si="168"/>
        <v>1</v>
      </c>
      <c r="CT171" s="235">
        <f t="shared" si="168"/>
        <v>7575</v>
      </c>
      <c r="CU171" s="156">
        <v>63</v>
      </c>
      <c r="CV171" s="284" t="str">
        <f t="shared" si="134"/>
        <v>0</v>
      </c>
      <c r="CW171" s="284" t="str">
        <f t="shared" si="135"/>
        <v>0</v>
      </c>
      <c r="CX171" s="243">
        <f t="shared" si="136"/>
        <v>9.65659816282054</v>
      </c>
      <c r="CY171" s="216" t="str">
        <f t="shared" si="137"/>
        <v>0</v>
      </c>
      <c r="CZ171" s="216" t="str">
        <f t="shared" si="138"/>
        <v>0</v>
      </c>
      <c r="DA171" s="243">
        <f t="shared" si="139"/>
        <v>13.135418583256673</v>
      </c>
      <c r="DB171" s="306">
        <v>1</v>
      </c>
      <c r="DC171" s="306">
        <v>0</v>
      </c>
      <c r="DD171" s="306">
        <v>0</v>
      </c>
      <c r="DE171" s="306">
        <v>0</v>
      </c>
      <c r="DF171" s="306">
        <v>2</v>
      </c>
      <c r="DG171" s="306">
        <v>0</v>
      </c>
      <c r="DH171" s="306">
        <v>0</v>
      </c>
      <c r="DI171" s="306">
        <v>0</v>
      </c>
      <c r="DJ171" s="306">
        <v>0</v>
      </c>
      <c r="DK171" s="306">
        <v>96</v>
      </c>
      <c r="DL171" s="306">
        <f t="shared" si="112"/>
        <v>83</v>
      </c>
      <c r="DM171" s="306">
        <v>13</v>
      </c>
      <c r="DN171" s="306">
        <v>79</v>
      </c>
      <c r="DO171" s="306">
        <v>31</v>
      </c>
      <c r="DP171" s="306">
        <v>97</v>
      </c>
      <c r="DQ171" s="306">
        <v>48</v>
      </c>
      <c r="DR171" s="306">
        <v>31</v>
      </c>
      <c r="DS171" s="306">
        <v>97</v>
      </c>
      <c r="DT171" s="306">
        <v>48</v>
      </c>
      <c r="DU171" s="306">
        <v>13</v>
      </c>
      <c r="DV171" s="306">
        <v>2</v>
      </c>
      <c r="DW171" s="306">
        <v>19</v>
      </c>
      <c r="DX171" s="306">
        <v>3</v>
      </c>
      <c r="DY171" s="306">
        <v>2</v>
      </c>
      <c r="DZ171" s="306">
        <v>19</v>
      </c>
      <c r="EA171" s="306">
        <v>3</v>
      </c>
      <c r="EB171" s="306">
        <v>96</v>
      </c>
      <c r="EC171" s="306">
        <v>96</v>
      </c>
      <c r="ED171" s="342"/>
      <c r="EE171" s="342"/>
    </row>
    <row r="172" spans="1:135" x14ac:dyDescent="0.2">
      <c r="A172" s="12" t="s">
        <v>197</v>
      </c>
      <c r="B172" s="169">
        <v>162</v>
      </c>
      <c r="C172" s="12" t="s">
        <v>314</v>
      </c>
      <c r="D172" s="200">
        <v>1973</v>
      </c>
      <c r="E172" s="11"/>
      <c r="F172" s="169" t="s">
        <v>20</v>
      </c>
      <c r="G172" s="35">
        <v>1</v>
      </c>
      <c r="H172" s="201">
        <v>5</v>
      </c>
      <c r="I172" s="201" t="s">
        <v>22</v>
      </c>
      <c r="J172" s="115">
        <v>12703</v>
      </c>
      <c r="K172" s="115">
        <v>910</v>
      </c>
      <c r="L172" s="157">
        <v>1033</v>
      </c>
      <c r="M172" s="115"/>
      <c r="N172" s="115">
        <v>80</v>
      </c>
      <c r="O172" s="115">
        <v>160</v>
      </c>
      <c r="P172" s="115">
        <v>80</v>
      </c>
      <c r="Q172" s="115">
        <v>139</v>
      </c>
      <c r="R172" s="228">
        <v>3551.35</v>
      </c>
      <c r="S172" s="230">
        <v>2404.1</v>
      </c>
      <c r="T172" s="115">
        <f t="shared" si="117"/>
        <v>67</v>
      </c>
      <c r="U172" s="203">
        <f t="shared" si="171"/>
        <v>2965.45</v>
      </c>
      <c r="V172" s="180">
        <f t="shared" si="171"/>
        <v>2040.84</v>
      </c>
      <c r="W172" s="115">
        <v>13</v>
      </c>
      <c r="X172" s="207">
        <v>585.9</v>
      </c>
      <c r="Y172" s="207">
        <v>363.26</v>
      </c>
      <c r="Z172" s="204"/>
      <c r="AA172" s="207"/>
      <c r="AB172" s="207"/>
      <c r="AC172" s="207">
        <f t="shared" si="119"/>
        <v>0</v>
      </c>
      <c r="AD172" s="248">
        <f t="shared" si="120"/>
        <v>0</v>
      </c>
      <c r="AE172" s="275"/>
      <c r="AF172" s="275"/>
      <c r="AG172" s="207"/>
      <c r="AH172" s="207"/>
      <c r="AI172" s="207">
        <f t="shared" si="121"/>
        <v>3551.35</v>
      </c>
      <c r="AJ172" s="170"/>
      <c r="AK172" s="170"/>
      <c r="AL172" s="170">
        <v>4</v>
      </c>
      <c r="AM172" s="170"/>
      <c r="AN172" s="170"/>
      <c r="AO172" s="170">
        <v>1</v>
      </c>
      <c r="AP172" s="170">
        <v>2480</v>
      </c>
      <c r="AQ172" s="170"/>
      <c r="AR172" s="170">
        <v>698</v>
      </c>
      <c r="AS172" s="170">
        <v>241</v>
      </c>
      <c r="AT172" s="170">
        <v>70</v>
      </c>
      <c r="AU172" s="170">
        <f t="shared" si="107"/>
        <v>3540</v>
      </c>
      <c r="AV172" s="170"/>
      <c r="AW172" s="170">
        <v>3540</v>
      </c>
      <c r="AX172" s="170">
        <v>1936</v>
      </c>
      <c r="AY172" s="170">
        <v>135</v>
      </c>
      <c r="AZ172" s="170">
        <v>888</v>
      </c>
      <c r="BA172" s="170">
        <v>888</v>
      </c>
      <c r="BB172" s="170">
        <v>16</v>
      </c>
      <c r="BC172" s="170">
        <v>8</v>
      </c>
      <c r="BD172" s="170">
        <v>240</v>
      </c>
      <c r="BE172" s="170">
        <v>80</v>
      </c>
      <c r="BF172" s="170"/>
      <c r="BG172" s="170">
        <v>400</v>
      </c>
      <c r="BH172" s="170">
        <v>80</v>
      </c>
      <c r="BI172" s="170"/>
      <c r="BJ172" s="115" t="str">
        <f t="shared" si="122"/>
        <v>0</v>
      </c>
      <c r="BK172" s="115" t="str">
        <f t="shared" si="123"/>
        <v>0</v>
      </c>
      <c r="BL172" s="115" t="str">
        <f t="shared" si="124"/>
        <v>0</v>
      </c>
      <c r="BM172" s="115">
        <f t="shared" si="125"/>
        <v>1</v>
      </c>
      <c r="BN172" s="115">
        <f t="shared" si="126"/>
        <v>3551.35</v>
      </c>
      <c r="BO172" s="115">
        <f t="shared" si="127"/>
        <v>2404.1</v>
      </c>
      <c r="BP172" s="115" t="str">
        <f t="shared" si="128"/>
        <v>0</v>
      </c>
      <c r="BQ172" s="115" t="str">
        <f t="shared" si="129"/>
        <v>0</v>
      </c>
      <c r="BR172" s="115" t="str">
        <f t="shared" si="130"/>
        <v>0</v>
      </c>
      <c r="BS172" s="209"/>
      <c r="BT172" s="209">
        <v>2</v>
      </c>
      <c r="BU172" s="115">
        <f>BA172</f>
        <v>888</v>
      </c>
      <c r="BV172" s="209">
        <v>3195</v>
      </c>
      <c r="BW172" s="115"/>
      <c r="BX172" s="115"/>
      <c r="BY172" s="253">
        <v>1163.0999999999999</v>
      </c>
      <c r="BZ172" s="253">
        <v>274.8</v>
      </c>
      <c r="CA172" s="354">
        <v>274.8</v>
      </c>
      <c r="CB172" s="354"/>
      <c r="CC172" s="354"/>
      <c r="CD172" s="354">
        <v>888.3</v>
      </c>
      <c r="CE172" s="354"/>
      <c r="CF172" s="354"/>
      <c r="CG172" s="354"/>
      <c r="CH172" s="355"/>
      <c r="CI172" s="356">
        <f t="shared" si="131"/>
        <v>1163.0999999999999</v>
      </c>
      <c r="CJ172" s="356">
        <f t="shared" si="116"/>
        <v>274.8</v>
      </c>
      <c r="CK172" s="357">
        <v>888</v>
      </c>
      <c r="CL172" s="358">
        <f t="shared" si="132"/>
        <v>2051.1</v>
      </c>
      <c r="CM172" s="205">
        <v>2494</v>
      </c>
      <c r="CN172" s="282">
        <f t="shared" si="133"/>
        <v>1584</v>
      </c>
      <c r="CO172" s="209" t="str">
        <f t="shared" si="108"/>
        <v>0</v>
      </c>
      <c r="CP172" s="235">
        <f t="shared" si="109"/>
        <v>0</v>
      </c>
      <c r="CQ172" s="209">
        <f t="shared" si="114"/>
        <v>1</v>
      </c>
      <c r="CR172" s="235">
        <f t="shared" si="110"/>
        <v>3540</v>
      </c>
      <c r="CS172" s="235">
        <f t="shared" si="168"/>
        <v>1</v>
      </c>
      <c r="CT172" s="235">
        <f t="shared" si="168"/>
        <v>3540</v>
      </c>
      <c r="CU172" s="156">
        <v>54</v>
      </c>
      <c r="CV172" s="284" t="str">
        <f>IF(AND((X172+AA172)/R172*100&gt;=50), G172, "0")</f>
        <v>0</v>
      </c>
      <c r="CW172" s="284" t="str">
        <f>IF(AND((X172+AA172)/R172*100&gt;=50), R172, "0")</f>
        <v>0</v>
      </c>
      <c r="CX172" s="243">
        <f>(X172+AA172)/R172*100</f>
        <v>16.497951483238769</v>
      </c>
      <c r="CY172" s="216" t="str">
        <f>IF(AND((X172+AD172)/AI172*100&gt;=50), G172, "0")</f>
        <v>0</v>
      </c>
      <c r="CZ172" s="216" t="str">
        <f>IF(AND((X172+AD172)/AI172*100&gt;=50), AI172, "0")</f>
        <v>0</v>
      </c>
      <c r="DA172" s="243">
        <f t="shared" si="139"/>
        <v>16.497951483238769</v>
      </c>
      <c r="DB172" s="306">
        <v>1</v>
      </c>
      <c r="DC172" s="306">
        <v>0</v>
      </c>
      <c r="DD172" s="306">
        <v>0</v>
      </c>
      <c r="DE172" s="306">
        <v>0</v>
      </c>
      <c r="DF172" s="306">
        <v>1</v>
      </c>
      <c r="DG172" s="306">
        <v>0</v>
      </c>
      <c r="DH172" s="306">
        <v>0</v>
      </c>
      <c r="DI172" s="306">
        <v>0</v>
      </c>
      <c r="DJ172" s="306">
        <v>0</v>
      </c>
      <c r="DK172" s="306">
        <v>80</v>
      </c>
      <c r="DL172" s="306">
        <f t="shared" si="112"/>
        <v>69</v>
      </c>
      <c r="DM172" s="306">
        <v>11</v>
      </c>
      <c r="DN172" s="306">
        <v>67</v>
      </c>
      <c r="DO172" s="306">
        <v>33</v>
      </c>
      <c r="DP172" s="306">
        <v>47</v>
      </c>
      <c r="DQ172" s="306">
        <v>33</v>
      </c>
      <c r="DR172" s="306">
        <v>33</v>
      </c>
      <c r="DS172" s="306">
        <v>47</v>
      </c>
      <c r="DT172" s="306">
        <v>33</v>
      </c>
      <c r="DU172" s="306">
        <v>8</v>
      </c>
      <c r="DV172" s="306">
        <v>1</v>
      </c>
      <c r="DW172" s="306">
        <v>12</v>
      </c>
      <c r="DX172" s="306">
        <v>1</v>
      </c>
      <c r="DY172" s="306">
        <v>1</v>
      </c>
      <c r="DZ172" s="306">
        <v>12</v>
      </c>
      <c r="EA172" s="306">
        <v>1</v>
      </c>
      <c r="EB172" s="306">
        <v>80</v>
      </c>
      <c r="EC172" s="306">
        <v>80</v>
      </c>
      <c r="ED172" s="342"/>
      <c r="EE172" s="342"/>
    </row>
    <row r="173" spans="1:135" x14ac:dyDescent="0.2">
      <c r="A173" s="12" t="s">
        <v>142</v>
      </c>
      <c r="B173" s="169">
        <v>163</v>
      </c>
      <c r="C173" s="12" t="s">
        <v>94</v>
      </c>
      <c r="D173" s="13">
        <v>1969</v>
      </c>
      <c r="E173" s="11"/>
      <c r="F173" s="169" t="s">
        <v>20</v>
      </c>
      <c r="G173" s="35">
        <v>1</v>
      </c>
      <c r="H173" s="45">
        <v>5</v>
      </c>
      <c r="I173" s="1" t="s">
        <v>22</v>
      </c>
      <c r="J173" s="122">
        <v>12530</v>
      </c>
      <c r="K173" s="122">
        <v>915</v>
      </c>
      <c r="L173" s="122">
        <v>1056</v>
      </c>
      <c r="M173" s="122"/>
      <c r="N173" s="122">
        <v>78</v>
      </c>
      <c r="O173" s="122">
        <v>157</v>
      </c>
      <c r="P173" s="122">
        <v>78</v>
      </c>
      <c r="Q173" s="122">
        <v>126</v>
      </c>
      <c r="R173" s="179">
        <v>3488.93</v>
      </c>
      <c r="S173" s="121">
        <v>2350.8000000000002</v>
      </c>
      <c r="T173" s="122">
        <f t="shared" si="117"/>
        <v>64</v>
      </c>
      <c r="U173" s="180">
        <f t="shared" si="171"/>
        <v>2850.79</v>
      </c>
      <c r="V173" s="180">
        <f t="shared" si="171"/>
        <v>1918.8300000000002</v>
      </c>
      <c r="W173" s="122">
        <v>14</v>
      </c>
      <c r="X173" s="180">
        <v>638.14</v>
      </c>
      <c r="Y173" s="180">
        <v>431.97</v>
      </c>
      <c r="Z173" s="122"/>
      <c r="AA173" s="180"/>
      <c r="AB173" s="180"/>
      <c r="AC173" s="180">
        <f t="shared" si="119"/>
        <v>74.099999999999994</v>
      </c>
      <c r="AD173" s="179">
        <f t="shared" si="120"/>
        <v>0</v>
      </c>
      <c r="AE173" s="271"/>
      <c r="AF173" s="179"/>
      <c r="AG173" s="180">
        <v>74.099999999999994</v>
      </c>
      <c r="AH173" s="180"/>
      <c r="AI173" s="180">
        <f t="shared" si="121"/>
        <v>3563.0299999999997</v>
      </c>
      <c r="AJ173" s="122"/>
      <c r="AK173" s="122"/>
      <c r="AL173" s="122">
        <v>4</v>
      </c>
      <c r="AM173" s="122"/>
      <c r="AN173" s="122"/>
      <c r="AO173" s="122">
        <v>1</v>
      </c>
      <c r="AP173" s="122">
        <v>2407</v>
      </c>
      <c r="AQ173" s="35"/>
      <c r="AR173" s="122">
        <f>201+136+140</f>
        <v>477</v>
      </c>
      <c r="AS173" s="122">
        <v>236</v>
      </c>
      <c r="AT173" s="122">
        <v>51</v>
      </c>
      <c r="AU173" s="122">
        <f t="shared" si="107"/>
        <v>2923</v>
      </c>
      <c r="AV173" s="122"/>
      <c r="AW173" s="122">
        <v>2923</v>
      </c>
      <c r="AX173" s="122">
        <v>1850</v>
      </c>
      <c r="AY173" s="122">
        <v>135</v>
      </c>
      <c r="AZ173" s="122">
        <v>887</v>
      </c>
      <c r="BA173" s="122">
        <v>887</v>
      </c>
      <c r="BB173" s="122">
        <v>20</v>
      </c>
      <c r="BC173" s="122">
        <v>13</v>
      </c>
      <c r="BD173" s="122">
        <f>240-2</f>
        <v>238</v>
      </c>
      <c r="BE173" s="122">
        <f>80-1</f>
        <v>79</v>
      </c>
      <c r="BF173" s="122">
        <v>1</v>
      </c>
      <c r="BG173" s="122">
        <v>15032</v>
      </c>
      <c r="BH173" s="122">
        <v>292</v>
      </c>
      <c r="BI173" s="122"/>
      <c r="BJ173" s="115" t="str">
        <f t="shared" si="122"/>
        <v>0</v>
      </c>
      <c r="BK173" s="115" t="str">
        <f t="shared" si="123"/>
        <v>0</v>
      </c>
      <c r="BL173" s="115" t="str">
        <f t="shared" si="124"/>
        <v>0</v>
      </c>
      <c r="BM173" s="115">
        <f t="shared" si="125"/>
        <v>1</v>
      </c>
      <c r="BN173" s="115">
        <f t="shared" si="126"/>
        <v>3488.93</v>
      </c>
      <c r="BO173" s="115">
        <f t="shared" si="127"/>
        <v>2350.8000000000002</v>
      </c>
      <c r="BP173" s="115" t="str">
        <f t="shared" si="128"/>
        <v>0</v>
      </c>
      <c r="BQ173" s="115" t="str">
        <f t="shared" si="129"/>
        <v>0</v>
      </c>
      <c r="BR173" s="115" t="str">
        <f t="shared" si="130"/>
        <v>0</v>
      </c>
      <c r="BS173" s="115"/>
      <c r="BT173" s="115">
        <v>2</v>
      </c>
      <c r="BU173" s="122"/>
      <c r="BV173" s="115"/>
      <c r="BW173" s="115"/>
      <c r="BX173" s="115"/>
      <c r="BY173" s="275">
        <v>1163.0999999999999</v>
      </c>
      <c r="BZ173" s="253">
        <v>274.5</v>
      </c>
      <c r="CA173" s="354">
        <v>274.5</v>
      </c>
      <c r="CB173" s="354"/>
      <c r="CC173" s="354"/>
      <c r="CD173" s="354">
        <f>887*0+888.6</f>
        <v>888.6</v>
      </c>
      <c r="CE173" s="354"/>
      <c r="CF173" s="354"/>
      <c r="CG173" s="354"/>
      <c r="CH173" s="355"/>
      <c r="CI173" s="356">
        <f t="shared" si="131"/>
        <v>1163.0999999999999</v>
      </c>
      <c r="CJ173" s="356">
        <f t="shared" si="116"/>
        <v>274.5</v>
      </c>
      <c r="CK173" s="357">
        <v>887</v>
      </c>
      <c r="CL173" s="358">
        <f t="shared" si="132"/>
        <v>2050.1</v>
      </c>
      <c r="CM173" s="157">
        <v>2308</v>
      </c>
      <c r="CN173" s="275">
        <f t="shared" si="133"/>
        <v>1393</v>
      </c>
      <c r="CO173" s="209" t="str">
        <f t="shared" si="108"/>
        <v>0</v>
      </c>
      <c r="CP173" s="235">
        <f t="shared" si="109"/>
        <v>0</v>
      </c>
      <c r="CQ173" s="209">
        <f t="shared" si="114"/>
        <v>1</v>
      </c>
      <c r="CR173" s="235">
        <f t="shared" si="110"/>
        <v>2923</v>
      </c>
      <c r="CS173" s="235">
        <f t="shared" si="168"/>
        <v>1</v>
      </c>
      <c r="CT173" s="235">
        <f t="shared" si="168"/>
        <v>2923</v>
      </c>
      <c r="CU173" s="14">
        <v>53</v>
      </c>
      <c r="CV173" s="284" t="str">
        <f t="shared" ref="CV173:CV187" si="172">IF((X173/R173*100&gt;=50), G173, "0")</f>
        <v>0</v>
      </c>
      <c r="CW173" s="284" t="str">
        <f t="shared" ref="CW173:CW187" si="173">IF((X173/R173*100&gt;=50), R173, "0")</f>
        <v>0</v>
      </c>
      <c r="CX173" s="243">
        <f t="shared" ref="CX173:CX187" si="174">X173/R173*100</f>
        <v>18.29042141860112</v>
      </c>
      <c r="CY173" s="216" t="str">
        <f t="shared" ref="CY173:CY187" si="175">IF(((X173+AD173)/AI173*100&gt;=50), G173, "0")</f>
        <v>0</v>
      </c>
      <c r="CZ173" s="216" t="str">
        <f t="shared" ref="CZ173:CZ187" si="176">IF(((X173+AD173)/AI173*100&gt;=50), AI173, "0")</f>
        <v>0</v>
      </c>
      <c r="DA173" s="243">
        <f t="shared" si="139"/>
        <v>17.910037243582007</v>
      </c>
      <c r="DB173" s="305">
        <v>1</v>
      </c>
      <c r="DC173" s="305">
        <v>0</v>
      </c>
      <c r="DD173" s="305">
        <v>0</v>
      </c>
      <c r="DE173" s="305">
        <v>0</v>
      </c>
      <c r="DF173" s="305">
        <v>1</v>
      </c>
      <c r="DG173" s="305">
        <v>0</v>
      </c>
      <c r="DH173" s="305">
        <v>0</v>
      </c>
      <c r="DI173" s="305">
        <v>0</v>
      </c>
      <c r="DJ173" s="306">
        <v>0</v>
      </c>
      <c r="DK173" s="306">
        <v>78</v>
      </c>
      <c r="DL173" s="306">
        <f t="shared" si="112"/>
        <v>65</v>
      </c>
      <c r="DM173" s="306">
        <v>13</v>
      </c>
      <c r="DN173" s="306">
        <v>49</v>
      </c>
      <c r="DO173" s="306">
        <v>31</v>
      </c>
      <c r="DP173" s="306">
        <v>47</v>
      </c>
      <c r="DQ173" s="306">
        <v>31</v>
      </c>
      <c r="DR173" s="306">
        <v>32</v>
      </c>
      <c r="DS173" s="306">
        <v>46</v>
      </c>
      <c r="DT173" s="306">
        <v>32</v>
      </c>
      <c r="DU173" s="306">
        <v>6</v>
      </c>
      <c r="DV173" s="306">
        <v>6</v>
      </c>
      <c r="DW173" s="306">
        <v>8</v>
      </c>
      <c r="DX173" s="306">
        <v>6</v>
      </c>
      <c r="DY173" s="306">
        <v>6</v>
      </c>
      <c r="DZ173" s="306">
        <v>8</v>
      </c>
      <c r="EA173" s="306">
        <v>6</v>
      </c>
      <c r="EB173" s="306">
        <v>78</v>
      </c>
      <c r="EC173" s="306">
        <v>78</v>
      </c>
      <c r="ED173" s="342"/>
      <c r="EE173" s="342"/>
    </row>
    <row r="174" spans="1:135" x14ac:dyDescent="0.2">
      <c r="A174" s="12" t="s">
        <v>142</v>
      </c>
      <c r="B174" s="169">
        <v>164</v>
      </c>
      <c r="C174" s="12" t="s">
        <v>185</v>
      </c>
      <c r="D174" s="13">
        <v>1972</v>
      </c>
      <c r="E174" s="11"/>
      <c r="F174" s="169" t="s">
        <v>20</v>
      </c>
      <c r="G174" s="35">
        <v>1</v>
      </c>
      <c r="H174" s="45">
        <v>5</v>
      </c>
      <c r="I174" s="1" t="s">
        <v>22</v>
      </c>
      <c r="J174" s="122">
        <v>13246</v>
      </c>
      <c r="K174" s="122">
        <v>978</v>
      </c>
      <c r="L174" s="122">
        <v>1069</v>
      </c>
      <c r="M174" s="122"/>
      <c r="N174" s="122">
        <v>64</v>
      </c>
      <c r="O174" s="122">
        <v>128</v>
      </c>
      <c r="P174" s="122">
        <v>64</v>
      </c>
      <c r="Q174" s="122">
        <v>123</v>
      </c>
      <c r="R174" s="179">
        <v>2810.12</v>
      </c>
      <c r="S174" s="121">
        <v>1886</v>
      </c>
      <c r="T174" s="122">
        <f t="shared" si="117"/>
        <v>58</v>
      </c>
      <c r="U174" s="180">
        <f t="shared" si="171"/>
        <v>2509.69</v>
      </c>
      <c r="V174" s="180">
        <f t="shared" si="171"/>
        <v>1680.79</v>
      </c>
      <c r="W174" s="122">
        <v>6</v>
      </c>
      <c r="X174" s="180">
        <v>300.43</v>
      </c>
      <c r="Y174" s="180">
        <v>205.21</v>
      </c>
      <c r="Z174" s="122"/>
      <c r="AA174" s="180"/>
      <c r="AB174" s="180"/>
      <c r="AC174" s="180">
        <f t="shared" si="119"/>
        <v>775.2</v>
      </c>
      <c r="AD174" s="179">
        <f t="shared" si="120"/>
        <v>0</v>
      </c>
      <c r="AE174" s="271"/>
      <c r="AF174" s="179"/>
      <c r="AG174" s="180">
        <v>775.2</v>
      </c>
      <c r="AH174" s="180"/>
      <c r="AI174" s="180">
        <f t="shared" si="121"/>
        <v>3585.3199999999997</v>
      </c>
      <c r="AJ174" s="122"/>
      <c r="AK174" s="122"/>
      <c r="AL174" s="122">
        <v>4</v>
      </c>
      <c r="AM174" s="122"/>
      <c r="AN174" s="122"/>
      <c r="AO174" s="122">
        <v>1</v>
      </c>
      <c r="AP174" s="122">
        <v>2398</v>
      </c>
      <c r="AQ174" s="35"/>
      <c r="AR174" s="122">
        <f>159+63+183</f>
        <v>405</v>
      </c>
      <c r="AS174" s="122">
        <v>170</v>
      </c>
      <c r="AT174" s="122">
        <v>51</v>
      </c>
      <c r="AU174" s="122">
        <f t="shared" si="107"/>
        <v>2923</v>
      </c>
      <c r="AV174" s="122"/>
      <c r="AW174" s="122">
        <v>2923</v>
      </c>
      <c r="AX174" s="122">
        <v>1800</v>
      </c>
      <c r="AY174" s="122">
        <v>171</v>
      </c>
      <c r="AZ174" s="122">
        <v>895</v>
      </c>
      <c r="BA174" s="122">
        <v>895</v>
      </c>
      <c r="BB174" s="122">
        <v>20</v>
      </c>
      <c r="BC174" s="122">
        <v>13</v>
      </c>
      <c r="BD174" s="122">
        <v>240</v>
      </c>
      <c r="BE174" s="122">
        <v>64</v>
      </c>
      <c r="BF174" s="122">
        <v>1</v>
      </c>
      <c r="BG174" s="122">
        <v>15032</v>
      </c>
      <c r="BH174" s="122">
        <v>292</v>
      </c>
      <c r="BI174" s="122"/>
      <c r="BJ174" s="115" t="str">
        <f t="shared" si="122"/>
        <v>0</v>
      </c>
      <c r="BK174" s="115" t="str">
        <f t="shared" si="123"/>
        <v>0</v>
      </c>
      <c r="BL174" s="115" t="str">
        <f t="shared" si="124"/>
        <v>0</v>
      </c>
      <c r="BM174" s="115">
        <f t="shared" si="125"/>
        <v>1</v>
      </c>
      <c r="BN174" s="115">
        <f t="shared" si="126"/>
        <v>2810.12</v>
      </c>
      <c r="BO174" s="115">
        <f t="shared" si="127"/>
        <v>1886</v>
      </c>
      <c r="BP174" s="115" t="str">
        <f t="shared" si="128"/>
        <v>0</v>
      </c>
      <c r="BQ174" s="115" t="str">
        <f t="shared" si="129"/>
        <v>0</v>
      </c>
      <c r="BR174" s="115" t="str">
        <f t="shared" si="130"/>
        <v>0</v>
      </c>
      <c r="BS174" s="115">
        <v>1</v>
      </c>
      <c r="BT174" s="115"/>
      <c r="BU174" s="122"/>
      <c r="BV174" s="115"/>
      <c r="BW174" s="115"/>
      <c r="BX174" s="115"/>
      <c r="BY174" s="275">
        <v>1169.27</v>
      </c>
      <c r="BZ174" s="253">
        <v>274.27</v>
      </c>
      <c r="CA174" s="354">
        <v>274.27</v>
      </c>
      <c r="CB174" s="354"/>
      <c r="CC174" s="354"/>
      <c r="CD174" s="354">
        <v>895</v>
      </c>
      <c r="CE174" s="354"/>
      <c r="CF174" s="354"/>
      <c r="CG174" s="354"/>
      <c r="CH174" s="355"/>
      <c r="CI174" s="356">
        <f t="shared" si="131"/>
        <v>1169.27</v>
      </c>
      <c r="CJ174" s="356">
        <f t="shared" si="116"/>
        <v>274.27</v>
      </c>
      <c r="CK174" s="357">
        <v>895</v>
      </c>
      <c r="CL174" s="358">
        <f t="shared" si="132"/>
        <v>2064.27</v>
      </c>
      <c r="CM174" s="157">
        <v>2354</v>
      </c>
      <c r="CN174" s="275">
        <f t="shared" si="133"/>
        <v>1376</v>
      </c>
      <c r="CO174" s="209" t="str">
        <f t="shared" si="108"/>
        <v>0</v>
      </c>
      <c r="CP174" s="235">
        <f t="shared" si="109"/>
        <v>0</v>
      </c>
      <c r="CQ174" s="209">
        <f t="shared" si="114"/>
        <v>1</v>
      </c>
      <c r="CR174" s="235">
        <f t="shared" si="110"/>
        <v>2923</v>
      </c>
      <c r="CS174" s="235">
        <f t="shared" si="168"/>
        <v>1</v>
      </c>
      <c r="CT174" s="235">
        <f t="shared" si="168"/>
        <v>2923</v>
      </c>
      <c r="CU174" s="14">
        <v>52</v>
      </c>
      <c r="CV174" s="284" t="str">
        <f t="shared" si="172"/>
        <v>0</v>
      </c>
      <c r="CW174" s="284" t="str">
        <f t="shared" si="173"/>
        <v>0</v>
      </c>
      <c r="CX174" s="243">
        <f t="shared" si="174"/>
        <v>10.691002519465362</v>
      </c>
      <c r="CY174" s="216" t="str">
        <f t="shared" si="175"/>
        <v>0</v>
      </c>
      <c r="CZ174" s="216" t="str">
        <f t="shared" si="176"/>
        <v>0</v>
      </c>
      <c r="DA174" s="243">
        <f t="shared" si="139"/>
        <v>8.3794473017750164</v>
      </c>
      <c r="DB174" s="305">
        <v>1</v>
      </c>
      <c r="DC174" s="305">
        <v>0</v>
      </c>
      <c r="DD174" s="305">
        <v>0</v>
      </c>
      <c r="DE174" s="305">
        <v>0</v>
      </c>
      <c r="DF174" s="305">
        <v>1</v>
      </c>
      <c r="DG174" s="305">
        <v>0</v>
      </c>
      <c r="DH174" s="305">
        <v>0</v>
      </c>
      <c r="DI174" s="305">
        <v>0</v>
      </c>
      <c r="DJ174" s="306">
        <v>0</v>
      </c>
      <c r="DK174" s="306">
        <v>64</v>
      </c>
      <c r="DL174" s="306">
        <f t="shared" si="112"/>
        <v>57</v>
      </c>
      <c r="DM174" s="306">
        <v>7</v>
      </c>
      <c r="DN174" s="306">
        <v>46</v>
      </c>
      <c r="DO174" s="306">
        <v>29</v>
      </c>
      <c r="DP174" s="306">
        <v>35</v>
      </c>
      <c r="DQ174" s="306">
        <v>29</v>
      </c>
      <c r="DR174" s="306">
        <v>30</v>
      </c>
      <c r="DS174" s="306">
        <v>34</v>
      </c>
      <c r="DT174" s="306">
        <v>30</v>
      </c>
      <c r="DU174" s="306">
        <v>6</v>
      </c>
      <c r="DV174" s="306">
        <v>2</v>
      </c>
      <c r="DW174" s="306">
        <v>4</v>
      </c>
      <c r="DX174" s="306">
        <v>2</v>
      </c>
      <c r="DY174" s="306">
        <v>2</v>
      </c>
      <c r="DZ174" s="306">
        <v>4</v>
      </c>
      <c r="EA174" s="306">
        <v>2</v>
      </c>
      <c r="EB174" s="306">
        <v>64</v>
      </c>
      <c r="EC174" s="306">
        <v>64</v>
      </c>
      <c r="ED174" s="342"/>
      <c r="EE174" s="342"/>
    </row>
    <row r="175" spans="1:135" x14ac:dyDescent="0.2">
      <c r="A175" s="12" t="s">
        <v>142</v>
      </c>
      <c r="B175" s="169">
        <v>165</v>
      </c>
      <c r="C175" s="12" t="s">
        <v>95</v>
      </c>
      <c r="D175" s="13">
        <v>1973</v>
      </c>
      <c r="E175" s="11"/>
      <c r="F175" s="169" t="s">
        <v>21</v>
      </c>
      <c r="G175" s="35">
        <v>1</v>
      </c>
      <c r="H175" s="45">
        <v>9</v>
      </c>
      <c r="I175" s="1" t="s">
        <v>19</v>
      </c>
      <c r="J175" s="122">
        <v>38516</v>
      </c>
      <c r="K175" s="122">
        <v>1571</v>
      </c>
      <c r="L175" s="122">
        <v>1637</v>
      </c>
      <c r="M175" s="122"/>
      <c r="N175" s="122">
        <f>127+1</f>
        <v>128</v>
      </c>
      <c r="O175" s="122">
        <v>322</v>
      </c>
      <c r="P175" s="122">
        <v>128</v>
      </c>
      <c r="Q175" s="122">
        <v>288</v>
      </c>
      <c r="R175" s="179">
        <f>6834.2+63.2</f>
        <v>6897.4</v>
      </c>
      <c r="S175" s="121">
        <v>4386</v>
      </c>
      <c r="T175" s="122">
        <f t="shared" si="117"/>
        <v>122</v>
      </c>
      <c r="U175" s="180">
        <f t="shared" si="171"/>
        <v>6594.9</v>
      </c>
      <c r="V175" s="180">
        <f t="shared" si="171"/>
        <v>4198.45</v>
      </c>
      <c r="W175" s="122">
        <v>6</v>
      </c>
      <c r="X175" s="180">
        <v>302.5</v>
      </c>
      <c r="Y175" s="180">
        <v>187.55</v>
      </c>
      <c r="Z175" s="122"/>
      <c r="AA175" s="180"/>
      <c r="AB175" s="180"/>
      <c r="AC175" s="180">
        <f t="shared" si="119"/>
        <v>1045.2</v>
      </c>
      <c r="AD175" s="179">
        <f t="shared" si="120"/>
        <v>0</v>
      </c>
      <c r="AE175" s="271"/>
      <c r="AF175" s="273"/>
      <c r="AG175" s="273">
        <v>1045.2</v>
      </c>
      <c r="AH175" s="273"/>
      <c r="AI175" s="180">
        <f t="shared" si="121"/>
        <v>7942.5999999999995</v>
      </c>
      <c r="AJ175" s="122"/>
      <c r="AK175" s="122">
        <v>4</v>
      </c>
      <c r="AL175" s="122">
        <v>4</v>
      </c>
      <c r="AM175" s="122">
        <v>4</v>
      </c>
      <c r="AN175" s="122">
        <v>1</v>
      </c>
      <c r="AO175" s="122">
        <v>1</v>
      </c>
      <c r="AP175" s="122">
        <v>5990</v>
      </c>
      <c r="AQ175" s="35">
        <v>862.125</v>
      </c>
      <c r="AR175" s="122">
        <f>252+126+192</f>
        <v>570</v>
      </c>
      <c r="AS175" s="122">
        <v>324</v>
      </c>
      <c r="AT175" s="122">
        <v>160</v>
      </c>
      <c r="AU175" s="122">
        <f t="shared" si="107"/>
        <v>7469</v>
      </c>
      <c r="AV175" s="122">
        <v>6664</v>
      </c>
      <c r="AW175" s="122">
        <v>805</v>
      </c>
      <c r="AX175" s="122"/>
      <c r="AY175" s="122">
        <v>308</v>
      </c>
      <c r="AZ175" s="122">
        <v>1401</v>
      </c>
      <c r="BA175" s="122">
        <v>1401</v>
      </c>
      <c r="BB175" s="122">
        <v>36</v>
      </c>
      <c r="BC175" s="122">
        <v>16</v>
      </c>
      <c r="BD175" s="122">
        <v>448</v>
      </c>
      <c r="BE175" s="122">
        <v>128</v>
      </c>
      <c r="BF175" s="122"/>
      <c r="BG175" s="122">
        <v>29650</v>
      </c>
      <c r="BH175" s="122">
        <v>2088</v>
      </c>
      <c r="BI175" s="122">
        <v>648</v>
      </c>
      <c r="BJ175" s="115">
        <f t="shared" si="122"/>
        <v>1</v>
      </c>
      <c r="BK175" s="115">
        <f t="shared" si="123"/>
        <v>6897.4</v>
      </c>
      <c r="BL175" s="115">
        <f t="shared" si="124"/>
        <v>4386</v>
      </c>
      <c r="BM175" s="115" t="str">
        <f t="shared" si="125"/>
        <v>0</v>
      </c>
      <c r="BN175" s="115" t="str">
        <f t="shared" si="126"/>
        <v>0</v>
      </c>
      <c r="BO175" s="115" t="str">
        <f t="shared" si="127"/>
        <v>0</v>
      </c>
      <c r="BP175" s="115" t="str">
        <f t="shared" si="128"/>
        <v>0</v>
      </c>
      <c r="BQ175" s="115" t="str">
        <f t="shared" si="129"/>
        <v>0</v>
      </c>
      <c r="BR175" s="115" t="str">
        <f t="shared" si="130"/>
        <v>0</v>
      </c>
      <c r="BS175" s="115"/>
      <c r="BT175" s="115">
        <v>2</v>
      </c>
      <c r="BU175" s="122">
        <v>1401</v>
      </c>
      <c r="BV175" s="115">
        <v>360</v>
      </c>
      <c r="BW175" s="115"/>
      <c r="BX175" s="115">
        <f>AP175</f>
        <v>5990</v>
      </c>
      <c r="BY175" s="275">
        <v>2776.1</v>
      </c>
      <c r="BZ175" s="253">
        <v>1249</v>
      </c>
      <c r="CA175" s="354">
        <v>1249</v>
      </c>
      <c r="CB175" s="354">
        <f>10.1+17.4+17+22</f>
        <v>66.5</v>
      </c>
      <c r="CC175" s="354"/>
      <c r="CD175" s="354">
        <v>1400.6</v>
      </c>
      <c r="CE175" s="354">
        <v>20</v>
      </c>
      <c r="CF175" s="354"/>
      <c r="CG175" s="354">
        <v>20.3</v>
      </c>
      <c r="CH175" s="355">
        <v>19.7</v>
      </c>
      <c r="CI175" s="356">
        <f t="shared" si="131"/>
        <v>2776.1</v>
      </c>
      <c r="CJ175" s="356">
        <f t="shared" si="116"/>
        <v>1249</v>
      </c>
      <c r="CK175" s="357">
        <v>1401</v>
      </c>
      <c r="CL175" s="358">
        <f t="shared" si="132"/>
        <v>4177.1000000000004</v>
      </c>
      <c r="CM175" s="157">
        <v>3244</v>
      </c>
      <c r="CN175" s="275">
        <f t="shared" si="133"/>
        <v>1673</v>
      </c>
      <c r="CO175" s="209">
        <f t="shared" si="108"/>
        <v>1</v>
      </c>
      <c r="CP175" s="235">
        <f t="shared" si="109"/>
        <v>6664</v>
      </c>
      <c r="CQ175" s="209"/>
      <c r="CR175" s="235">
        <f t="shared" si="110"/>
        <v>805</v>
      </c>
      <c r="CS175" s="235">
        <f t="shared" si="168"/>
        <v>1</v>
      </c>
      <c r="CT175" s="235">
        <f t="shared" si="168"/>
        <v>7469</v>
      </c>
      <c r="CU175" s="14">
        <v>67</v>
      </c>
      <c r="CV175" s="284" t="str">
        <f t="shared" si="172"/>
        <v>0</v>
      </c>
      <c r="CW175" s="284" t="str">
        <f t="shared" si="173"/>
        <v>0</v>
      </c>
      <c r="CX175" s="243">
        <f t="shared" si="174"/>
        <v>4.3857105576014153</v>
      </c>
      <c r="CY175" s="216" t="str">
        <f t="shared" si="175"/>
        <v>0</v>
      </c>
      <c r="CZ175" s="216" t="str">
        <f t="shared" si="176"/>
        <v>0</v>
      </c>
      <c r="DA175" s="243">
        <f t="shared" si="139"/>
        <v>3.8085765366504676</v>
      </c>
      <c r="DB175" s="305">
        <v>1</v>
      </c>
      <c r="DC175" s="305">
        <v>0</v>
      </c>
      <c r="DD175" s="305">
        <v>0</v>
      </c>
      <c r="DE175" s="305">
        <v>0</v>
      </c>
      <c r="DF175" s="305">
        <v>2</v>
      </c>
      <c r="DG175" s="305">
        <v>0</v>
      </c>
      <c r="DH175" s="305">
        <v>0</v>
      </c>
      <c r="DI175" s="305">
        <v>0</v>
      </c>
      <c r="DJ175" s="306">
        <v>0</v>
      </c>
      <c r="DK175" s="306">
        <v>128</v>
      </c>
      <c r="DL175" s="306">
        <f t="shared" si="112"/>
        <v>118</v>
      </c>
      <c r="DM175" s="306">
        <v>10</v>
      </c>
      <c r="DN175" s="306">
        <v>94</v>
      </c>
      <c r="DO175" s="306">
        <v>69</v>
      </c>
      <c r="DP175" s="306">
        <v>123</v>
      </c>
      <c r="DQ175" s="306">
        <v>69</v>
      </c>
      <c r="DR175" s="306">
        <v>73</v>
      </c>
      <c r="DS175" s="306">
        <v>119</v>
      </c>
      <c r="DT175" s="306">
        <v>73</v>
      </c>
      <c r="DU175" s="306">
        <v>7</v>
      </c>
      <c r="DV175" s="306">
        <v>4</v>
      </c>
      <c r="DW175" s="306">
        <v>9</v>
      </c>
      <c r="DX175" s="306">
        <v>4</v>
      </c>
      <c r="DY175" s="306">
        <v>4</v>
      </c>
      <c r="DZ175" s="306">
        <v>9</v>
      </c>
      <c r="EA175" s="306">
        <v>4</v>
      </c>
      <c r="EB175" s="306">
        <v>128</v>
      </c>
      <c r="EC175" s="306">
        <v>128</v>
      </c>
      <c r="ED175" s="342"/>
      <c r="EE175" s="342"/>
    </row>
    <row r="176" spans="1:135" x14ac:dyDescent="0.2">
      <c r="A176" s="12" t="s">
        <v>142</v>
      </c>
      <c r="B176" s="169">
        <v>166</v>
      </c>
      <c r="C176" s="12" t="s">
        <v>96</v>
      </c>
      <c r="D176" s="13">
        <v>1970</v>
      </c>
      <c r="E176" s="11"/>
      <c r="F176" s="169" t="s">
        <v>20</v>
      </c>
      <c r="G176" s="35">
        <v>1</v>
      </c>
      <c r="H176" s="45">
        <v>5</v>
      </c>
      <c r="I176" s="1" t="s">
        <v>22</v>
      </c>
      <c r="J176" s="122">
        <v>12216</v>
      </c>
      <c r="K176" s="122">
        <v>916</v>
      </c>
      <c r="L176" s="122">
        <v>1016</v>
      </c>
      <c r="M176" s="122"/>
      <c r="N176" s="122">
        <v>76</v>
      </c>
      <c r="O176" s="122">
        <v>148</v>
      </c>
      <c r="P176" s="122">
        <v>76</v>
      </c>
      <c r="Q176" s="122">
        <v>164</v>
      </c>
      <c r="R176" s="179">
        <v>3324</v>
      </c>
      <c r="S176" s="121">
        <v>2363.6</v>
      </c>
      <c r="T176" s="122">
        <f t="shared" si="117"/>
        <v>68</v>
      </c>
      <c r="U176" s="180">
        <f t="shared" si="171"/>
        <v>3013.2</v>
      </c>
      <c r="V176" s="180">
        <f t="shared" si="171"/>
        <v>2154.94</v>
      </c>
      <c r="W176" s="122">
        <v>8</v>
      </c>
      <c r="X176" s="180">
        <v>310.8</v>
      </c>
      <c r="Y176" s="180">
        <v>208.66</v>
      </c>
      <c r="Z176" s="122"/>
      <c r="AA176" s="180"/>
      <c r="AB176" s="180"/>
      <c r="AC176" s="180">
        <f t="shared" si="119"/>
        <v>232.1</v>
      </c>
      <c r="AD176" s="179">
        <f t="shared" si="120"/>
        <v>0</v>
      </c>
      <c r="AE176" s="271"/>
      <c r="AF176" s="179"/>
      <c r="AG176" s="180">
        <v>232.1</v>
      </c>
      <c r="AH176" s="180"/>
      <c r="AI176" s="180">
        <f t="shared" si="121"/>
        <v>3556.1</v>
      </c>
      <c r="AJ176" s="122"/>
      <c r="AK176" s="122"/>
      <c r="AL176" s="122">
        <v>4</v>
      </c>
      <c r="AM176" s="122"/>
      <c r="AN176" s="122">
        <v>1</v>
      </c>
      <c r="AO176" s="122">
        <v>1</v>
      </c>
      <c r="AP176" s="122">
        <v>2349</v>
      </c>
      <c r="AQ176" s="35"/>
      <c r="AR176" s="122">
        <f>79+40+140</f>
        <v>259</v>
      </c>
      <c r="AS176" s="122">
        <v>254</v>
      </c>
      <c r="AT176" s="122">
        <v>51</v>
      </c>
      <c r="AU176" s="122">
        <f t="shared" si="107"/>
        <v>2938</v>
      </c>
      <c r="AV176" s="122"/>
      <c r="AW176" s="122">
        <v>2938</v>
      </c>
      <c r="AX176" s="122">
        <v>1850</v>
      </c>
      <c r="AY176" s="122">
        <v>135</v>
      </c>
      <c r="AZ176" s="122">
        <v>885</v>
      </c>
      <c r="BA176" s="122">
        <v>885</v>
      </c>
      <c r="BB176" s="122">
        <v>20</v>
      </c>
      <c r="BC176" s="122">
        <v>13</v>
      </c>
      <c r="BD176" s="122">
        <v>240</v>
      </c>
      <c r="BE176" s="122">
        <v>78</v>
      </c>
      <c r="BF176" s="122">
        <v>1</v>
      </c>
      <c r="BG176" s="122">
        <v>15032</v>
      </c>
      <c r="BH176" s="122">
        <v>292</v>
      </c>
      <c r="BI176" s="122"/>
      <c r="BJ176" s="115" t="str">
        <f t="shared" si="122"/>
        <v>0</v>
      </c>
      <c r="BK176" s="115" t="str">
        <f t="shared" si="123"/>
        <v>0</v>
      </c>
      <c r="BL176" s="115" t="str">
        <f t="shared" si="124"/>
        <v>0</v>
      </c>
      <c r="BM176" s="115">
        <f t="shared" si="125"/>
        <v>1</v>
      </c>
      <c r="BN176" s="115">
        <f t="shared" si="126"/>
        <v>3324</v>
      </c>
      <c r="BO176" s="115">
        <f t="shared" si="127"/>
        <v>2363.6</v>
      </c>
      <c r="BP176" s="115" t="str">
        <f t="shared" si="128"/>
        <v>0</v>
      </c>
      <c r="BQ176" s="115" t="str">
        <f t="shared" si="129"/>
        <v>0</v>
      </c>
      <c r="BR176" s="115" t="str">
        <f t="shared" si="130"/>
        <v>0</v>
      </c>
      <c r="BS176" s="115">
        <v>1</v>
      </c>
      <c r="BT176" s="115">
        <v>1</v>
      </c>
      <c r="BU176" s="122"/>
      <c r="BV176" s="115"/>
      <c r="BW176" s="115"/>
      <c r="BX176" s="115"/>
      <c r="BY176" s="275">
        <v>1159.5</v>
      </c>
      <c r="BZ176" s="253">
        <v>274.3</v>
      </c>
      <c r="CA176" s="354">
        <v>274.3</v>
      </c>
      <c r="CB176" s="354"/>
      <c r="CC176" s="354"/>
      <c r="CD176" s="354">
        <v>885.2</v>
      </c>
      <c r="CE176" s="354"/>
      <c r="CF176" s="354"/>
      <c r="CG176" s="354"/>
      <c r="CH176" s="355"/>
      <c r="CI176" s="356">
        <f t="shared" si="131"/>
        <v>1159.5</v>
      </c>
      <c r="CJ176" s="356">
        <f t="shared" si="116"/>
        <v>274.3</v>
      </c>
      <c r="CK176" s="357">
        <v>885</v>
      </c>
      <c r="CL176" s="358">
        <f t="shared" si="132"/>
        <v>2044.5</v>
      </c>
      <c r="CM176" s="157">
        <v>2461</v>
      </c>
      <c r="CN176" s="275">
        <f t="shared" si="133"/>
        <v>1545</v>
      </c>
      <c r="CO176" s="209" t="str">
        <f t="shared" si="108"/>
        <v>0</v>
      </c>
      <c r="CP176" s="235">
        <f t="shared" si="109"/>
        <v>0</v>
      </c>
      <c r="CQ176" s="209">
        <f>IF(CR176&gt;0,G176,"0")</f>
        <v>1</v>
      </c>
      <c r="CR176" s="235">
        <f t="shared" si="110"/>
        <v>2938</v>
      </c>
      <c r="CS176" s="235">
        <f t="shared" si="168"/>
        <v>1</v>
      </c>
      <c r="CT176" s="235">
        <f t="shared" si="168"/>
        <v>2938</v>
      </c>
      <c r="CU176" s="14">
        <v>52</v>
      </c>
      <c r="CV176" s="284" t="str">
        <f t="shared" si="172"/>
        <v>0</v>
      </c>
      <c r="CW176" s="284" t="str">
        <f t="shared" si="173"/>
        <v>0</v>
      </c>
      <c r="CX176" s="243">
        <f t="shared" si="174"/>
        <v>9.3501805054151639</v>
      </c>
      <c r="CY176" s="216" t="str">
        <f t="shared" si="175"/>
        <v>0</v>
      </c>
      <c r="CZ176" s="216" t="str">
        <f t="shared" si="176"/>
        <v>0</v>
      </c>
      <c r="DA176" s="243">
        <f t="shared" si="139"/>
        <v>8.7399117010207821</v>
      </c>
      <c r="DB176" s="305">
        <v>1</v>
      </c>
      <c r="DC176" s="305">
        <v>0</v>
      </c>
      <c r="DD176" s="305">
        <v>0</v>
      </c>
      <c r="DE176" s="305">
        <v>0</v>
      </c>
      <c r="DF176" s="305">
        <v>1</v>
      </c>
      <c r="DG176" s="305">
        <v>0</v>
      </c>
      <c r="DH176" s="305">
        <v>0</v>
      </c>
      <c r="DI176" s="305">
        <v>0</v>
      </c>
      <c r="DJ176" s="306">
        <v>0</v>
      </c>
      <c r="DK176" s="306">
        <v>78</v>
      </c>
      <c r="DL176" s="306">
        <f t="shared" si="112"/>
        <v>67</v>
      </c>
      <c r="DM176" s="306">
        <v>11</v>
      </c>
      <c r="DN176" s="306">
        <v>47</v>
      </c>
      <c r="DO176" s="306">
        <v>40</v>
      </c>
      <c r="DP176" s="306">
        <v>38</v>
      </c>
      <c r="DQ176" s="306">
        <v>40</v>
      </c>
      <c r="DR176" s="306">
        <v>41</v>
      </c>
      <c r="DS176" s="306">
        <v>37</v>
      </c>
      <c r="DT176" s="306">
        <v>41</v>
      </c>
      <c r="DU176" s="306">
        <v>5</v>
      </c>
      <c r="DV176" s="306">
        <v>3</v>
      </c>
      <c r="DW176" s="306">
        <v>10</v>
      </c>
      <c r="DX176" s="306">
        <v>3</v>
      </c>
      <c r="DY176" s="306">
        <v>3</v>
      </c>
      <c r="DZ176" s="306">
        <v>10</v>
      </c>
      <c r="EA176" s="306">
        <v>3</v>
      </c>
      <c r="EB176" s="306">
        <v>78</v>
      </c>
      <c r="EC176" s="306">
        <v>78</v>
      </c>
      <c r="ED176" s="342"/>
      <c r="EE176" s="342"/>
    </row>
    <row r="177" spans="1:138" x14ac:dyDescent="0.2">
      <c r="A177" s="12" t="s">
        <v>142</v>
      </c>
      <c r="B177" s="169">
        <v>167</v>
      </c>
      <c r="C177" s="12" t="s">
        <v>97</v>
      </c>
      <c r="D177" s="13">
        <v>1974</v>
      </c>
      <c r="E177" s="11"/>
      <c r="F177" s="169" t="s">
        <v>21</v>
      </c>
      <c r="G177" s="35">
        <v>1</v>
      </c>
      <c r="H177" s="45">
        <v>9</v>
      </c>
      <c r="I177" s="1" t="s">
        <v>19</v>
      </c>
      <c r="J177" s="122">
        <v>18797</v>
      </c>
      <c r="K177" s="122">
        <v>874</v>
      </c>
      <c r="L177" s="122"/>
      <c r="M177" s="122">
        <v>684</v>
      </c>
      <c r="N177" s="122">
        <v>63</v>
      </c>
      <c r="O177" s="122">
        <v>145</v>
      </c>
      <c r="P177" s="122">
        <v>63</v>
      </c>
      <c r="Q177" s="122">
        <v>115</v>
      </c>
      <c r="R177" s="179">
        <v>3397</v>
      </c>
      <c r="S177" s="121">
        <v>1903.1</v>
      </c>
      <c r="T177" s="122">
        <f t="shared" si="117"/>
        <v>60</v>
      </c>
      <c r="U177" s="180">
        <f t="shared" si="171"/>
        <v>3087.7</v>
      </c>
      <c r="V177" s="180">
        <f t="shared" si="171"/>
        <v>1711.33</v>
      </c>
      <c r="W177" s="122">
        <v>3</v>
      </c>
      <c r="X177" s="180">
        <v>309.3</v>
      </c>
      <c r="Y177" s="180">
        <v>191.77</v>
      </c>
      <c r="Z177" s="122"/>
      <c r="AA177" s="180"/>
      <c r="AB177" s="180"/>
      <c r="AC177" s="180">
        <f t="shared" si="119"/>
        <v>543</v>
      </c>
      <c r="AD177" s="179">
        <f t="shared" si="120"/>
        <v>458.59999999999997</v>
      </c>
      <c r="AE177" s="271"/>
      <c r="AF177" s="179">
        <f>361+93.2+4.4</f>
        <v>458.59999999999997</v>
      </c>
      <c r="AG177" s="180">
        <v>84.4</v>
      </c>
      <c r="AH177" s="180"/>
      <c r="AI177" s="180">
        <f t="shared" si="121"/>
        <v>3940</v>
      </c>
      <c r="AJ177" s="122"/>
      <c r="AK177" s="122">
        <v>2</v>
      </c>
      <c r="AL177" s="122">
        <v>2</v>
      </c>
      <c r="AM177" s="122">
        <v>2</v>
      </c>
      <c r="AN177" s="122"/>
      <c r="AO177" s="122">
        <v>1</v>
      </c>
      <c r="AP177" s="122">
        <v>3181</v>
      </c>
      <c r="AQ177" s="315">
        <v>99.75</v>
      </c>
      <c r="AR177" s="122">
        <f>94+47+91</f>
        <v>232</v>
      </c>
      <c r="AS177" s="122">
        <v>195</v>
      </c>
      <c r="AT177" s="122">
        <v>80</v>
      </c>
      <c r="AU177" s="122">
        <f t="shared" si="107"/>
        <v>3797</v>
      </c>
      <c r="AV177" s="122">
        <v>3192</v>
      </c>
      <c r="AW177" s="122">
        <v>605</v>
      </c>
      <c r="AX177" s="122"/>
      <c r="AY177" s="122">
        <v>189</v>
      </c>
      <c r="AZ177" s="122">
        <v>684</v>
      </c>
      <c r="BA177" s="122">
        <v>684</v>
      </c>
      <c r="BB177" s="122">
        <v>10</v>
      </c>
      <c r="BC177" s="122">
        <v>11</v>
      </c>
      <c r="BD177" s="122">
        <f>248-11</f>
        <v>237</v>
      </c>
      <c r="BE177" s="122">
        <f>64-3</f>
        <v>61</v>
      </c>
      <c r="BF177" s="122"/>
      <c r="BG177" s="122">
        <v>14825</v>
      </c>
      <c r="BH177" s="122">
        <v>1134</v>
      </c>
      <c r="BI177" s="122">
        <v>294</v>
      </c>
      <c r="BJ177" s="115">
        <f t="shared" si="122"/>
        <v>1</v>
      </c>
      <c r="BK177" s="115">
        <f t="shared" si="123"/>
        <v>3397</v>
      </c>
      <c r="BL177" s="115">
        <f t="shared" si="124"/>
        <v>1903.1</v>
      </c>
      <c r="BM177" s="115" t="str">
        <f t="shared" si="125"/>
        <v>0</v>
      </c>
      <c r="BN177" s="115" t="str">
        <f t="shared" si="126"/>
        <v>0</v>
      </c>
      <c r="BO177" s="115" t="str">
        <f t="shared" si="127"/>
        <v>0</v>
      </c>
      <c r="BP177" s="115" t="str">
        <f t="shared" si="128"/>
        <v>0</v>
      </c>
      <c r="BQ177" s="115" t="str">
        <f t="shared" si="129"/>
        <v>0</v>
      </c>
      <c r="BR177" s="115" t="str">
        <f t="shared" si="130"/>
        <v>0</v>
      </c>
      <c r="BS177" s="115">
        <v>1</v>
      </c>
      <c r="BT177" s="115"/>
      <c r="BU177" s="122">
        <v>684</v>
      </c>
      <c r="BV177" s="115">
        <v>189</v>
      </c>
      <c r="BW177" s="115"/>
      <c r="BX177" s="115">
        <f>AP177</f>
        <v>3181</v>
      </c>
      <c r="BY177" s="275">
        <v>1424.78</v>
      </c>
      <c r="BZ177" s="253">
        <v>702.87</v>
      </c>
      <c r="CA177" s="354">
        <v>694.67</v>
      </c>
      <c r="CB177" s="354">
        <v>4.88</v>
      </c>
      <c r="CC177" s="354">
        <v>8.1999999999999993</v>
      </c>
      <c r="CD177" s="354">
        <v>684.4</v>
      </c>
      <c r="CE177" s="354">
        <v>8.1999999999999993</v>
      </c>
      <c r="CF177" s="354"/>
      <c r="CG177" s="354">
        <f>19.51+4.92</f>
        <v>24.43</v>
      </c>
      <c r="CH177" s="355"/>
      <c r="CI177" s="356">
        <f t="shared" si="131"/>
        <v>1424.78</v>
      </c>
      <c r="CJ177" s="356">
        <f t="shared" si="116"/>
        <v>702.87</v>
      </c>
      <c r="CK177" s="357">
        <v>684</v>
      </c>
      <c r="CL177" s="358">
        <f t="shared" si="132"/>
        <v>2108.7799999999997</v>
      </c>
      <c r="CM177" s="157">
        <v>1632</v>
      </c>
      <c r="CN177" s="275">
        <f t="shared" si="133"/>
        <v>758</v>
      </c>
      <c r="CO177" s="209">
        <f t="shared" si="108"/>
        <v>1</v>
      </c>
      <c r="CP177" s="235">
        <f t="shared" si="109"/>
        <v>3192</v>
      </c>
      <c r="CQ177" s="209"/>
      <c r="CR177" s="235">
        <f t="shared" si="110"/>
        <v>605</v>
      </c>
      <c r="CS177" s="235">
        <f t="shared" si="168"/>
        <v>1</v>
      </c>
      <c r="CT177" s="235">
        <f t="shared" si="168"/>
        <v>3797</v>
      </c>
      <c r="CU177" s="14">
        <v>67</v>
      </c>
      <c r="CV177" s="284" t="str">
        <f t="shared" si="172"/>
        <v>0</v>
      </c>
      <c r="CW177" s="284" t="str">
        <f t="shared" si="173"/>
        <v>0</v>
      </c>
      <c r="CX177" s="243">
        <f t="shared" si="174"/>
        <v>9.1050927288784216</v>
      </c>
      <c r="CY177" s="216" t="str">
        <f t="shared" si="175"/>
        <v>0</v>
      </c>
      <c r="CZ177" s="216" t="str">
        <f t="shared" si="176"/>
        <v>0</v>
      </c>
      <c r="DA177" s="243">
        <f t="shared" si="139"/>
        <v>19.48984771573604</v>
      </c>
      <c r="DB177" s="305">
        <v>1</v>
      </c>
      <c r="DC177" s="305">
        <v>0</v>
      </c>
      <c r="DD177" s="305">
        <v>0</v>
      </c>
      <c r="DE177" s="305">
        <v>0</v>
      </c>
      <c r="DF177" s="305">
        <v>2</v>
      </c>
      <c r="DG177" s="305">
        <v>0</v>
      </c>
      <c r="DH177" s="305">
        <v>0</v>
      </c>
      <c r="DI177" s="305">
        <v>0</v>
      </c>
      <c r="DJ177" s="306">
        <v>0</v>
      </c>
      <c r="DK177" s="306">
        <v>60</v>
      </c>
      <c r="DL177" s="306">
        <f t="shared" si="112"/>
        <v>56</v>
      </c>
      <c r="DM177" s="306">
        <v>4</v>
      </c>
      <c r="DN177" s="306">
        <v>42</v>
      </c>
      <c r="DO177" s="306">
        <v>27</v>
      </c>
      <c r="DP177" s="306">
        <v>49</v>
      </c>
      <c r="DQ177" s="306">
        <v>45</v>
      </c>
      <c r="DR177" s="306">
        <v>27</v>
      </c>
      <c r="DS177" s="306">
        <v>47</v>
      </c>
      <c r="DT177" s="306">
        <v>47</v>
      </c>
      <c r="DU177" s="306">
        <v>0</v>
      </c>
      <c r="DV177" s="306">
        <v>0</v>
      </c>
      <c r="DW177" s="306">
        <v>6</v>
      </c>
      <c r="DX177" s="306">
        <v>0</v>
      </c>
      <c r="DY177" s="306">
        <v>0</v>
      </c>
      <c r="DZ177" s="306">
        <v>6</v>
      </c>
      <c r="EA177" s="306">
        <v>0</v>
      </c>
      <c r="EB177" s="306">
        <v>60</v>
      </c>
      <c r="EC177" s="306">
        <v>60</v>
      </c>
      <c r="ED177" s="342"/>
      <c r="EE177" s="342"/>
    </row>
    <row r="178" spans="1:138" x14ac:dyDescent="0.2">
      <c r="A178" s="12" t="s">
        <v>142</v>
      </c>
      <c r="B178" s="169">
        <v>168</v>
      </c>
      <c r="C178" s="12" t="s">
        <v>98</v>
      </c>
      <c r="D178" s="13">
        <v>1994</v>
      </c>
      <c r="E178" s="11"/>
      <c r="F178" s="169">
        <v>84</v>
      </c>
      <c r="G178" s="35">
        <v>1</v>
      </c>
      <c r="H178" s="45">
        <v>9</v>
      </c>
      <c r="I178" s="1" t="s">
        <v>22</v>
      </c>
      <c r="J178" s="122">
        <v>12215</v>
      </c>
      <c r="K178" s="122">
        <v>1687</v>
      </c>
      <c r="L178" s="122"/>
      <c r="M178" s="122">
        <v>356</v>
      </c>
      <c r="N178" s="122">
        <v>32</v>
      </c>
      <c r="O178" s="122">
        <v>80</v>
      </c>
      <c r="P178" s="122">
        <v>32</v>
      </c>
      <c r="Q178" s="122">
        <v>84</v>
      </c>
      <c r="R178" s="179">
        <v>2155.9</v>
      </c>
      <c r="S178" s="121">
        <v>1225</v>
      </c>
      <c r="T178" s="122">
        <f t="shared" si="117"/>
        <v>32</v>
      </c>
      <c r="U178" s="180">
        <f t="shared" si="171"/>
        <v>2155.9</v>
      </c>
      <c r="V178" s="180">
        <f t="shared" si="171"/>
        <v>1225</v>
      </c>
      <c r="W178" s="122">
        <v>0</v>
      </c>
      <c r="X178" s="180">
        <v>0</v>
      </c>
      <c r="Y178" s="180">
        <v>0</v>
      </c>
      <c r="Z178" s="122"/>
      <c r="AA178" s="180"/>
      <c r="AB178" s="180"/>
      <c r="AC178" s="180">
        <f t="shared" si="119"/>
        <v>933.7</v>
      </c>
      <c r="AD178" s="179">
        <f t="shared" si="120"/>
        <v>0</v>
      </c>
      <c r="AE178" s="271"/>
      <c r="AF178" s="179"/>
      <c r="AG178" s="179">
        <v>933.7</v>
      </c>
      <c r="AH178" s="179"/>
      <c r="AI178" s="180">
        <f t="shared" si="121"/>
        <v>3089.6000000000004</v>
      </c>
      <c r="AJ178" s="122"/>
      <c r="AK178" s="122">
        <v>1</v>
      </c>
      <c r="AL178" s="122">
        <v>1</v>
      </c>
      <c r="AM178" s="122">
        <v>1</v>
      </c>
      <c r="AN178" s="122"/>
      <c r="AO178" s="122">
        <v>1</v>
      </c>
      <c r="AP178" s="122">
        <v>1776</v>
      </c>
      <c r="AQ178" s="35"/>
      <c r="AR178" s="122">
        <f>159+80+120</f>
        <v>359</v>
      </c>
      <c r="AS178" s="122">
        <v>91</v>
      </c>
      <c r="AT178" s="122">
        <v>54</v>
      </c>
      <c r="AU178" s="122">
        <f t="shared" si="107"/>
        <v>2741</v>
      </c>
      <c r="AV178" s="122">
        <v>2479</v>
      </c>
      <c r="AW178" s="122">
        <v>262</v>
      </c>
      <c r="AX178" s="122">
        <v>1210</v>
      </c>
      <c r="AY178" s="122">
        <v>212</v>
      </c>
      <c r="AZ178" s="122">
        <v>356</v>
      </c>
      <c r="BA178" s="122">
        <v>356</v>
      </c>
      <c r="BB178" s="122">
        <v>16</v>
      </c>
      <c r="BC178" s="122">
        <v>7</v>
      </c>
      <c r="BD178" s="122">
        <v>114</v>
      </c>
      <c r="BE178" s="122">
        <v>32</v>
      </c>
      <c r="BF178" s="122">
        <v>1</v>
      </c>
      <c r="BG178" s="122">
        <v>1806</v>
      </c>
      <c r="BH178" s="122">
        <v>472</v>
      </c>
      <c r="BI178" s="122">
        <v>132</v>
      </c>
      <c r="BJ178" s="115" t="str">
        <f t="shared" si="122"/>
        <v>0</v>
      </c>
      <c r="BK178" s="115" t="str">
        <f t="shared" si="123"/>
        <v>0</v>
      </c>
      <c r="BL178" s="115" t="str">
        <f t="shared" si="124"/>
        <v>0</v>
      </c>
      <c r="BM178" s="115">
        <f t="shared" si="125"/>
        <v>1</v>
      </c>
      <c r="BN178" s="115">
        <f t="shared" si="126"/>
        <v>2155.9</v>
      </c>
      <c r="BO178" s="115">
        <f t="shared" si="127"/>
        <v>1225</v>
      </c>
      <c r="BP178" s="115" t="str">
        <f t="shared" si="128"/>
        <v>0</v>
      </c>
      <c r="BQ178" s="115" t="str">
        <f t="shared" si="129"/>
        <v>0</v>
      </c>
      <c r="BR178" s="115" t="str">
        <f t="shared" si="130"/>
        <v>0</v>
      </c>
      <c r="BS178" s="115"/>
      <c r="BT178" s="115">
        <v>1</v>
      </c>
      <c r="BU178" s="122">
        <v>356</v>
      </c>
      <c r="BV178" s="115">
        <v>94</v>
      </c>
      <c r="BW178" s="115"/>
      <c r="BX178" s="115"/>
      <c r="BY178" s="275">
        <v>679.92</v>
      </c>
      <c r="BZ178" s="253">
        <v>275.5</v>
      </c>
      <c r="CA178" s="354">
        <f>235.9-3.6+40</f>
        <v>272.3</v>
      </c>
      <c r="CB178" s="354">
        <f>3.6+7.4</f>
        <v>11</v>
      </c>
      <c r="CC178" s="354">
        <v>3.2</v>
      </c>
      <c r="CD178" s="354">
        <v>355.52</v>
      </c>
      <c r="CE178" s="354">
        <f>18.7</f>
        <v>18.7</v>
      </c>
      <c r="CF178" s="354"/>
      <c r="CG178" s="354">
        <v>5.9</v>
      </c>
      <c r="CH178" s="354">
        <f>5.8+7.5</f>
        <v>13.3</v>
      </c>
      <c r="CI178" s="356">
        <f t="shared" si="131"/>
        <v>679.92</v>
      </c>
      <c r="CJ178" s="356">
        <f t="shared" si="116"/>
        <v>275.5</v>
      </c>
      <c r="CK178" s="357">
        <v>356</v>
      </c>
      <c r="CL178" s="358">
        <f t="shared" si="132"/>
        <v>1035.92</v>
      </c>
      <c r="CM178" s="157">
        <v>2213</v>
      </c>
      <c r="CN178" s="275">
        <f t="shared" si="133"/>
        <v>526</v>
      </c>
      <c r="CO178" s="209">
        <f t="shared" si="108"/>
        <v>1</v>
      </c>
      <c r="CP178" s="235">
        <f t="shared" si="109"/>
        <v>2479</v>
      </c>
      <c r="CQ178" s="209"/>
      <c r="CR178" s="235">
        <f t="shared" si="110"/>
        <v>262</v>
      </c>
      <c r="CS178" s="235">
        <f t="shared" si="168"/>
        <v>1</v>
      </c>
      <c r="CT178" s="235">
        <f t="shared" si="168"/>
        <v>2741</v>
      </c>
      <c r="CU178" s="14">
        <v>69</v>
      </c>
      <c r="CV178" s="284" t="str">
        <f t="shared" si="172"/>
        <v>0</v>
      </c>
      <c r="CW178" s="284" t="str">
        <f t="shared" si="173"/>
        <v>0</v>
      </c>
      <c r="CX178" s="243">
        <f t="shared" si="174"/>
        <v>0</v>
      </c>
      <c r="CY178" s="216" t="str">
        <f t="shared" si="175"/>
        <v>0</v>
      </c>
      <c r="CZ178" s="216" t="str">
        <f t="shared" si="176"/>
        <v>0</v>
      </c>
      <c r="DA178" s="243">
        <f t="shared" si="139"/>
        <v>0</v>
      </c>
      <c r="DB178" s="305">
        <v>1</v>
      </c>
      <c r="DC178" s="305">
        <v>0</v>
      </c>
      <c r="DD178" s="305">
        <v>0</v>
      </c>
      <c r="DE178" s="305">
        <v>0</v>
      </c>
      <c r="DF178" s="305">
        <v>2</v>
      </c>
      <c r="DG178" s="305">
        <v>0</v>
      </c>
      <c r="DH178" s="305">
        <v>0</v>
      </c>
      <c r="DI178" s="305">
        <v>0</v>
      </c>
      <c r="DJ178" s="306">
        <v>0</v>
      </c>
      <c r="DK178" s="306">
        <v>32</v>
      </c>
      <c r="DL178" s="306">
        <f t="shared" si="112"/>
        <v>32</v>
      </c>
      <c r="DM178" s="306">
        <v>0</v>
      </c>
      <c r="DN178" s="306">
        <v>24</v>
      </c>
      <c r="DO178" s="306">
        <v>21</v>
      </c>
      <c r="DP178" s="306">
        <v>16</v>
      </c>
      <c r="DQ178" s="306">
        <v>32</v>
      </c>
      <c r="DR178" s="306">
        <v>21</v>
      </c>
      <c r="DS178" s="306">
        <v>16</v>
      </c>
      <c r="DT178" s="306">
        <v>32</v>
      </c>
      <c r="DU178" s="306">
        <v>0</v>
      </c>
      <c r="DV178" s="306">
        <v>0</v>
      </c>
      <c r="DW178" s="306">
        <v>0</v>
      </c>
      <c r="DX178" s="306">
        <v>0</v>
      </c>
      <c r="DY178" s="306">
        <v>0</v>
      </c>
      <c r="DZ178" s="306">
        <v>0</v>
      </c>
      <c r="EA178" s="306">
        <v>0</v>
      </c>
      <c r="EB178" s="306">
        <v>32</v>
      </c>
      <c r="EC178" s="306">
        <v>32</v>
      </c>
      <c r="ED178" s="342"/>
      <c r="EE178" s="342"/>
    </row>
    <row r="179" spans="1:138" x14ac:dyDescent="0.2">
      <c r="A179" s="12" t="s">
        <v>142</v>
      </c>
      <c r="B179" s="169">
        <v>169</v>
      </c>
      <c r="C179" s="12" t="s">
        <v>99</v>
      </c>
      <c r="D179" s="13">
        <v>1985</v>
      </c>
      <c r="E179" s="11"/>
      <c r="F179" s="169" t="s">
        <v>24</v>
      </c>
      <c r="G179" s="35">
        <v>1</v>
      </c>
      <c r="H179" s="45">
        <v>9</v>
      </c>
      <c r="I179" s="1" t="s">
        <v>22</v>
      </c>
      <c r="J179" s="122">
        <v>19600</v>
      </c>
      <c r="K179" s="122">
        <v>778</v>
      </c>
      <c r="L179" s="122"/>
      <c r="M179" s="122">
        <v>718</v>
      </c>
      <c r="N179" s="122">
        <v>69</v>
      </c>
      <c r="O179" s="122">
        <v>192</v>
      </c>
      <c r="P179" s="122">
        <v>70</v>
      </c>
      <c r="Q179" s="122">
        <v>166</v>
      </c>
      <c r="R179" s="179">
        <v>4473.3999999999996</v>
      </c>
      <c r="S179" s="121">
        <v>2817</v>
      </c>
      <c r="T179" s="122">
        <f t="shared" si="117"/>
        <v>65</v>
      </c>
      <c r="U179" s="180">
        <f t="shared" si="171"/>
        <v>4224.0999999999995</v>
      </c>
      <c r="V179" s="180">
        <f t="shared" si="171"/>
        <v>2652.46</v>
      </c>
      <c r="W179" s="122">
        <v>4</v>
      </c>
      <c r="X179" s="180">
        <v>249.3</v>
      </c>
      <c r="Y179" s="180">
        <v>164.54</v>
      </c>
      <c r="Z179" s="122"/>
      <c r="AA179" s="180"/>
      <c r="AB179" s="180"/>
      <c r="AC179" s="180">
        <f t="shared" si="119"/>
        <v>83.5</v>
      </c>
      <c r="AD179" s="179">
        <f t="shared" si="120"/>
        <v>0</v>
      </c>
      <c r="AE179" s="271"/>
      <c r="AF179" s="179"/>
      <c r="AG179" s="180">
        <v>83.5</v>
      </c>
      <c r="AH179" s="180"/>
      <c r="AI179" s="180">
        <f t="shared" si="121"/>
        <v>4556.8999999999996</v>
      </c>
      <c r="AJ179" s="122"/>
      <c r="AK179" s="122">
        <v>2</v>
      </c>
      <c r="AL179" s="122">
        <v>2</v>
      </c>
      <c r="AM179" s="122">
        <v>2</v>
      </c>
      <c r="AN179" s="122"/>
      <c r="AO179" s="122">
        <v>2</v>
      </c>
      <c r="AP179" s="122">
        <v>3532</v>
      </c>
      <c r="AQ179" s="35"/>
      <c r="AR179" s="122">
        <f>56+28+91</f>
        <v>175</v>
      </c>
      <c r="AS179" s="122">
        <v>280</v>
      </c>
      <c r="AT179" s="122">
        <v>108</v>
      </c>
      <c r="AU179" s="122">
        <f t="shared" si="107"/>
        <v>4326</v>
      </c>
      <c r="AV179" s="122">
        <v>3430</v>
      </c>
      <c r="AW179" s="122">
        <v>896</v>
      </c>
      <c r="AX179" s="122">
        <v>2480</v>
      </c>
      <c r="AY179" s="122">
        <v>175</v>
      </c>
      <c r="AZ179" s="122">
        <v>718</v>
      </c>
      <c r="BA179" s="122">
        <v>718</v>
      </c>
      <c r="BB179" s="122">
        <v>36</v>
      </c>
      <c r="BC179" s="122">
        <v>48</v>
      </c>
      <c r="BD179" s="122">
        <v>268</v>
      </c>
      <c r="BE179" s="122">
        <v>70</v>
      </c>
      <c r="BF179" s="122">
        <v>1</v>
      </c>
      <c r="BG179" s="122">
        <v>11588</v>
      </c>
      <c r="BH179" s="122">
        <v>944</v>
      </c>
      <c r="BI179" s="122">
        <v>294</v>
      </c>
      <c r="BJ179" s="115" t="str">
        <f t="shared" si="122"/>
        <v>0</v>
      </c>
      <c r="BK179" s="115" t="str">
        <f t="shared" si="123"/>
        <v>0</v>
      </c>
      <c r="BL179" s="115" t="str">
        <f t="shared" si="124"/>
        <v>0</v>
      </c>
      <c r="BM179" s="115">
        <f t="shared" si="125"/>
        <v>1</v>
      </c>
      <c r="BN179" s="115">
        <f t="shared" si="126"/>
        <v>4473.3999999999996</v>
      </c>
      <c r="BO179" s="115">
        <f t="shared" si="127"/>
        <v>2817</v>
      </c>
      <c r="BP179" s="115" t="str">
        <f t="shared" si="128"/>
        <v>0</v>
      </c>
      <c r="BQ179" s="115" t="str">
        <f t="shared" si="129"/>
        <v>0</v>
      </c>
      <c r="BR179" s="115" t="str">
        <f t="shared" si="130"/>
        <v>0</v>
      </c>
      <c r="BS179" s="115"/>
      <c r="BT179" s="115"/>
      <c r="BU179" s="122">
        <v>718</v>
      </c>
      <c r="BV179" s="115">
        <v>36</v>
      </c>
      <c r="BW179" s="115"/>
      <c r="BX179" s="115"/>
      <c r="BY179" s="275">
        <v>1518.5</v>
      </c>
      <c r="BZ179" s="253">
        <v>761</v>
      </c>
      <c r="CA179" s="354">
        <f>304.6+462.9-6.5</f>
        <v>761</v>
      </c>
      <c r="CB179" s="354">
        <f>6.5+33.3</f>
        <v>39.799999999999997</v>
      </c>
      <c r="CC179" s="354"/>
      <c r="CD179" s="354">
        <v>717.7</v>
      </c>
      <c r="CE179" s="354"/>
      <c r="CF179" s="354"/>
      <c r="CG179" s="354"/>
      <c r="CH179" s="355"/>
      <c r="CI179" s="356">
        <f t="shared" si="131"/>
        <v>1518.5</v>
      </c>
      <c r="CJ179" s="356">
        <f t="shared" si="116"/>
        <v>761</v>
      </c>
      <c r="CK179" s="357">
        <v>718</v>
      </c>
      <c r="CL179" s="358">
        <f t="shared" si="132"/>
        <v>2236.5</v>
      </c>
      <c r="CM179" s="157">
        <v>2142</v>
      </c>
      <c r="CN179" s="275">
        <f t="shared" si="133"/>
        <v>1364</v>
      </c>
      <c r="CO179" s="209">
        <f t="shared" si="108"/>
        <v>1</v>
      </c>
      <c r="CP179" s="235">
        <f t="shared" si="109"/>
        <v>3430</v>
      </c>
      <c r="CQ179" s="209"/>
      <c r="CR179" s="235">
        <f t="shared" si="110"/>
        <v>896</v>
      </c>
      <c r="CS179" s="235">
        <f t="shared" si="168"/>
        <v>1</v>
      </c>
      <c r="CT179" s="235">
        <f t="shared" si="168"/>
        <v>4326</v>
      </c>
      <c r="CU179" s="14">
        <v>61</v>
      </c>
      <c r="CV179" s="284" t="str">
        <f t="shared" si="172"/>
        <v>0</v>
      </c>
      <c r="CW179" s="284" t="str">
        <f t="shared" si="173"/>
        <v>0</v>
      </c>
      <c r="CX179" s="243">
        <f t="shared" si="174"/>
        <v>5.5729422810390314</v>
      </c>
      <c r="CY179" s="216" t="str">
        <f t="shared" si="175"/>
        <v>0</v>
      </c>
      <c r="CZ179" s="216" t="str">
        <f t="shared" si="176"/>
        <v>0</v>
      </c>
      <c r="DA179" s="243">
        <f t="shared" si="139"/>
        <v>5.4708244639996497</v>
      </c>
      <c r="DB179" s="305">
        <v>1</v>
      </c>
      <c r="DC179" s="305">
        <v>0</v>
      </c>
      <c r="DD179" s="305">
        <v>0</v>
      </c>
      <c r="DE179" s="305">
        <v>0</v>
      </c>
      <c r="DF179" s="305">
        <v>2</v>
      </c>
      <c r="DG179" s="305">
        <v>0</v>
      </c>
      <c r="DH179" s="305">
        <v>0</v>
      </c>
      <c r="DI179" s="305">
        <v>0</v>
      </c>
      <c r="DJ179" s="306">
        <v>0</v>
      </c>
      <c r="DK179" s="306">
        <v>69</v>
      </c>
      <c r="DL179" s="306">
        <f t="shared" si="112"/>
        <v>61</v>
      </c>
      <c r="DM179" s="306">
        <v>8</v>
      </c>
      <c r="DN179" s="306">
        <v>53</v>
      </c>
      <c r="DO179" s="306">
        <v>35</v>
      </c>
      <c r="DP179" s="306">
        <v>40</v>
      </c>
      <c r="DQ179" s="306">
        <v>46</v>
      </c>
      <c r="DR179" s="306">
        <v>38</v>
      </c>
      <c r="DS179" s="306">
        <v>36</v>
      </c>
      <c r="DT179" s="306">
        <v>50</v>
      </c>
      <c r="DU179" s="306">
        <v>6</v>
      </c>
      <c r="DV179" s="306">
        <v>3</v>
      </c>
      <c r="DW179" s="306">
        <v>5</v>
      </c>
      <c r="DX179" s="306">
        <v>3</v>
      </c>
      <c r="DY179" s="306">
        <v>3</v>
      </c>
      <c r="DZ179" s="306">
        <v>5</v>
      </c>
      <c r="EA179" s="306">
        <v>3</v>
      </c>
      <c r="EB179" s="306">
        <v>69</v>
      </c>
      <c r="EC179" s="306">
        <v>69</v>
      </c>
      <c r="ED179" s="342"/>
      <c r="EE179" s="342"/>
    </row>
    <row r="180" spans="1:138" x14ac:dyDescent="0.2">
      <c r="A180" s="12" t="s">
        <v>142</v>
      </c>
      <c r="B180" s="169">
        <v>170</v>
      </c>
      <c r="C180" s="12" t="s">
        <v>164</v>
      </c>
      <c r="D180" s="13">
        <v>1970</v>
      </c>
      <c r="E180" s="11"/>
      <c r="F180" s="169" t="s">
        <v>13</v>
      </c>
      <c r="G180" s="35">
        <v>1</v>
      </c>
      <c r="H180" s="45">
        <v>5</v>
      </c>
      <c r="I180" s="1" t="s">
        <v>173</v>
      </c>
      <c r="J180" s="122">
        <f>12670+12351</f>
        <v>25021</v>
      </c>
      <c r="K180" s="122">
        <f>951+920</f>
        <v>1871</v>
      </c>
      <c r="L180" s="122">
        <f>1053+1062</f>
        <v>2115</v>
      </c>
      <c r="M180" s="122"/>
      <c r="N180" s="122">
        <v>143</v>
      </c>
      <c r="O180" s="122">
        <v>270</v>
      </c>
      <c r="P180" s="122">
        <v>144</v>
      </c>
      <c r="Q180" s="122">
        <v>252</v>
      </c>
      <c r="R180" s="179">
        <f>6027.69-0.02</f>
        <v>6027.6699999999992</v>
      </c>
      <c r="S180" s="121">
        <v>4022.87</v>
      </c>
      <c r="T180" s="122">
        <f t="shared" si="117"/>
        <v>127</v>
      </c>
      <c r="U180" s="179">
        <f t="shared" si="171"/>
        <v>5371.8199999999988</v>
      </c>
      <c r="V180" s="180">
        <f t="shared" si="171"/>
        <v>3609.68</v>
      </c>
      <c r="W180" s="122">
        <v>16</v>
      </c>
      <c r="X180" s="180">
        <v>655.85</v>
      </c>
      <c r="Y180" s="180">
        <v>413.19</v>
      </c>
      <c r="Z180" s="122"/>
      <c r="AA180" s="180"/>
      <c r="AB180" s="180"/>
      <c r="AC180" s="180">
        <f t="shared" si="119"/>
        <v>605</v>
      </c>
      <c r="AD180" s="179">
        <f t="shared" si="120"/>
        <v>478.3</v>
      </c>
      <c r="AE180" s="271"/>
      <c r="AF180" s="179">
        <f>605.01-0.01-126.7</f>
        <v>478.3</v>
      </c>
      <c r="AG180" s="180">
        <v>126.7</v>
      </c>
      <c r="AH180" s="180"/>
      <c r="AI180" s="180">
        <f t="shared" si="121"/>
        <v>6632.6699999999992</v>
      </c>
      <c r="AJ180" s="122"/>
      <c r="AK180" s="122"/>
      <c r="AL180" s="122">
        <f>4+4</f>
        <v>8</v>
      </c>
      <c r="AM180" s="122"/>
      <c r="AN180" s="122"/>
      <c r="AO180" s="122">
        <f>1+1</f>
        <v>2</v>
      </c>
      <c r="AP180" s="122">
        <f>2333+2363</f>
        <v>4696</v>
      </c>
      <c r="AQ180" s="35"/>
      <c r="AR180" s="122">
        <f>320+338</f>
        <v>658</v>
      </c>
      <c r="AS180" s="122">
        <f>228+187</f>
        <v>415</v>
      </c>
      <c r="AT180" s="122">
        <f>51+51</f>
        <v>102</v>
      </c>
      <c r="AU180" s="122">
        <f t="shared" si="107"/>
        <v>5876</v>
      </c>
      <c r="AV180" s="122"/>
      <c r="AW180" s="122">
        <f>2938+2938</f>
        <v>5876</v>
      </c>
      <c r="AX180" s="122">
        <f>0+1850</f>
        <v>1850</v>
      </c>
      <c r="AY180" s="122">
        <f>120+148</f>
        <v>268</v>
      </c>
      <c r="AZ180" s="122">
        <f>886+892</f>
        <v>1778</v>
      </c>
      <c r="BA180" s="122">
        <f>886+892</f>
        <v>1778</v>
      </c>
      <c r="BB180" s="122">
        <f>20+20</f>
        <v>40</v>
      </c>
      <c r="BC180" s="122">
        <f>13+13</f>
        <v>26</v>
      </c>
      <c r="BD180" s="122">
        <f>176+238</f>
        <v>414</v>
      </c>
      <c r="BE180" s="122">
        <f>64+79</f>
        <v>143</v>
      </c>
      <c r="BF180" s="122">
        <f>4+1</f>
        <v>5</v>
      </c>
      <c r="BG180" s="122">
        <f>14872+11274</f>
        <v>26146</v>
      </c>
      <c r="BH180" s="122">
        <f>492+292</f>
        <v>784</v>
      </c>
      <c r="BI180" s="122"/>
      <c r="BJ180" s="115" t="str">
        <f t="shared" si="122"/>
        <v>0</v>
      </c>
      <c r="BK180" s="115" t="str">
        <f t="shared" si="123"/>
        <v>0</v>
      </c>
      <c r="BL180" s="115" t="str">
        <f t="shared" si="124"/>
        <v>0</v>
      </c>
      <c r="BM180" s="115" t="str">
        <f t="shared" si="125"/>
        <v>0</v>
      </c>
      <c r="BN180" s="115" t="str">
        <f t="shared" si="126"/>
        <v>0</v>
      </c>
      <c r="BO180" s="115" t="str">
        <f t="shared" si="127"/>
        <v>0</v>
      </c>
      <c r="BP180" s="115">
        <f t="shared" si="128"/>
        <v>1</v>
      </c>
      <c r="BQ180" s="115">
        <f t="shared" si="129"/>
        <v>6027.6699999999992</v>
      </c>
      <c r="BR180" s="115">
        <f t="shared" si="130"/>
        <v>4022.87</v>
      </c>
      <c r="BS180" s="115"/>
      <c r="BT180" s="115">
        <f>2+2</f>
        <v>4</v>
      </c>
      <c r="BU180" s="122">
        <f>886+892</f>
        <v>1778</v>
      </c>
      <c r="BV180" s="36">
        <f>95+95</f>
        <v>190</v>
      </c>
      <c r="BW180" s="115"/>
      <c r="BX180" s="115">
        <f>AP180</f>
        <v>4696</v>
      </c>
      <c r="BY180" s="275">
        <v>2344.94</v>
      </c>
      <c r="BZ180" s="253">
        <v>536.41999999999996</v>
      </c>
      <c r="CA180" s="354">
        <f>264.27+272.15</f>
        <v>536.41999999999996</v>
      </c>
      <c r="CB180" s="354"/>
      <c r="CC180" s="354"/>
      <c r="CD180" s="354">
        <f>891.8+886</f>
        <v>1777.8</v>
      </c>
      <c r="CE180" s="354">
        <f>10.87+16.95+2.9</f>
        <v>30.72</v>
      </c>
      <c r="CF180" s="354"/>
      <c r="CG180" s="354"/>
      <c r="CH180" s="355"/>
      <c r="CI180" s="356">
        <f t="shared" si="131"/>
        <v>2344.94</v>
      </c>
      <c r="CJ180" s="356">
        <f t="shared" si="116"/>
        <v>536.41999999999996</v>
      </c>
      <c r="CK180" s="357">
        <v>1778</v>
      </c>
      <c r="CL180" s="358">
        <f t="shared" si="132"/>
        <v>4122.9400000000005</v>
      </c>
      <c r="CM180" s="157">
        <f>2375+2704</f>
        <v>5079</v>
      </c>
      <c r="CN180" s="275">
        <f t="shared" si="133"/>
        <v>3208</v>
      </c>
      <c r="CO180" s="209" t="str">
        <f t="shared" si="108"/>
        <v>0</v>
      </c>
      <c r="CP180" s="235">
        <f t="shared" si="109"/>
        <v>0</v>
      </c>
      <c r="CQ180" s="209">
        <f>IF(CR180&gt;0,G180,"0")</f>
        <v>1</v>
      </c>
      <c r="CR180" s="235">
        <f t="shared" si="110"/>
        <v>5876</v>
      </c>
      <c r="CS180" s="235">
        <f t="shared" si="168"/>
        <v>1</v>
      </c>
      <c r="CT180" s="235">
        <f t="shared" si="168"/>
        <v>5876</v>
      </c>
      <c r="CU180" s="156">
        <v>45</v>
      </c>
      <c r="CV180" s="284" t="str">
        <f t="shared" si="172"/>
        <v>0</v>
      </c>
      <c r="CW180" s="284" t="str">
        <f t="shared" si="173"/>
        <v>0</v>
      </c>
      <c r="CX180" s="243">
        <f t="shared" si="174"/>
        <v>10.880655377616891</v>
      </c>
      <c r="CY180" s="216" t="str">
        <f t="shared" si="175"/>
        <v>0</v>
      </c>
      <c r="CZ180" s="216" t="str">
        <f t="shared" si="176"/>
        <v>0</v>
      </c>
      <c r="DA180" s="243">
        <f t="shared" si="139"/>
        <v>17.099448638331175</v>
      </c>
      <c r="DB180" s="305">
        <v>1</v>
      </c>
      <c r="DC180" s="305">
        <v>0</v>
      </c>
      <c r="DD180" s="305">
        <v>0</v>
      </c>
      <c r="DE180" s="305">
        <v>0</v>
      </c>
      <c r="DF180" s="305">
        <v>2</v>
      </c>
      <c r="DG180" s="305">
        <v>0</v>
      </c>
      <c r="DH180" s="305">
        <v>0</v>
      </c>
      <c r="DI180" s="305">
        <v>0</v>
      </c>
      <c r="DJ180" s="306">
        <v>0</v>
      </c>
      <c r="DK180" s="306">
        <v>142</v>
      </c>
      <c r="DL180" s="306">
        <f t="shared" si="112"/>
        <v>127</v>
      </c>
      <c r="DM180" s="306">
        <v>15</v>
      </c>
      <c r="DN180" s="306">
        <v>95</v>
      </c>
      <c r="DO180" s="306">
        <v>66</v>
      </c>
      <c r="DP180" s="306">
        <v>77</v>
      </c>
      <c r="DQ180" s="306">
        <v>66</v>
      </c>
      <c r="DR180" s="306">
        <v>68</v>
      </c>
      <c r="DS180" s="306">
        <v>75</v>
      </c>
      <c r="DT180" s="306">
        <v>68</v>
      </c>
      <c r="DU180" s="306">
        <v>7</v>
      </c>
      <c r="DV180" s="306">
        <v>7</v>
      </c>
      <c r="DW180" s="306">
        <v>4</v>
      </c>
      <c r="DX180" s="306">
        <v>7</v>
      </c>
      <c r="DY180" s="306">
        <v>7</v>
      </c>
      <c r="DZ180" s="306">
        <v>4</v>
      </c>
      <c r="EA180" s="306">
        <v>7</v>
      </c>
      <c r="EB180" s="306">
        <v>142</v>
      </c>
      <c r="EC180" s="306">
        <v>142</v>
      </c>
      <c r="ED180" s="342"/>
      <c r="EE180" s="342"/>
    </row>
    <row r="181" spans="1:138" x14ac:dyDescent="0.2">
      <c r="A181" s="12" t="s">
        <v>142</v>
      </c>
      <c r="B181" s="169">
        <v>171</v>
      </c>
      <c r="C181" s="12" t="s">
        <v>100</v>
      </c>
      <c r="D181" s="13">
        <v>1974</v>
      </c>
      <c r="E181" s="11"/>
      <c r="F181" s="169" t="s">
        <v>21</v>
      </c>
      <c r="G181" s="35">
        <v>1</v>
      </c>
      <c r="H181" s="45">
        <v>9</v>
      </c>
      <c r="I181" s="1" t="s">
        <v>19</v>
      </c>
      <c r="J181" s="122">
        <v>18358</v>
      </c>
      <c r="K181" s="122">
        <v>705</v>
      </c>
      <c r="L181" s="122"/>
      <c r="M181" s="122">
        <v>670</v>
      </c>
      <c r="N181" s="122">
        <v>65</v>
      </c>
      <c r="O181" s="122">
        <v>150</v>
      </c>
      <c r="P181" s="122">
        <v>65</v>
      </c>
      <c r="Q181" s="122">
        <v>113</v>
      </c>
      <c r="R181" s="179">
        <f>3441.22+1.88</f>
        <v>3443.1</v>
      </c>
      <c r="S181" s="121">
        <v>2030.44</v>
      </c>
      <c r="T181" s="122">
        <f t="shared" si="117"/>
        <v>62</v>
      </c>
      <c r="U181" s="180">
        <f t="shared" si="171"/>
        <v>3299.4</v>
      </c>
      <c r="V181" s="180">
        <f t="shared" si="171"/>
        <v>1947.0900000000001</v>
      </c>
      <c r="W181" s="122">
        <v>3</v>
      </c>
      <c r="X181" s="180">
        <v>143.69999999999999</v>
      </c>
      <c r="Y181" s="180">
        <v>83.35</v>
      </c>
      <c r="Z181" s="122"/>
      <c r="AA181" s="180"/>
      <c r="AB181" s="180"/>
      <c r="AC181" s="180">
        <f t="shared" si="119"/>
        <v>242.3</v>
      </c>
      <c r="AD181" s="179">
        <f t="shared" si="120"/>
        <v>195.8</v>
      </c>
      <c r="AE181" s="271"/>
      <c r="AF181" s="179">
        <v>195.8</v>
      </c>
      <c r="AG181" s="180">
        <v>46.5</v>
      </c>
      <c r="AH181" s="180"/>
      <c r="AI181" s="180">
        <f t="shared" si="121"/>
        <v>3685.4</v>
      </c>
      <c r="AJ181" s="122"/>
      <c r="AK181" s="122">
        <v>2</v>
      </c>
      <c r="AL181" s="122">
        <v>2</v>
      </c>
      <c r="AM181" s="122">
        <v>2</v>
      </c>
      <c r="AN181" s="122"/>
      <c r="AO181" s="122">
        <v>1</v>
      </c>
      <c r="AP181" s="122">
        <v>3178</v>
      </c>
      <c r="AQ181" s="35"/>
      <c r="AR181" s="122">
        <f>64+32+91</f>
        <v>187</v>
      </c>
      <c r="AS181" s="122">
        <v>215</v>
      </c>
      <c r="AT181" s="122">
        <v>80</v>
      </c>
      <c r="AU181" s="122">
        <f t="shared" si="107"/>
        <v>4437</v>
      </c>
      <c r="AV181" s="122">
        <v>3555</v>
      </c>
      <c r="AW181" s="122">
        <v>882</v>
      </c>
      <c r="AX181" s="122"/>
      <c r="AY181" s="122">
        <v>151</v>
      </c>
      <c r="AZ181" s="122">
        <v>670</v>
      </c>
      <c r="BA181" s="122">
        <v>670</v>
      </c>
      <c r="BB181" s="122">
        <v>36</v>
      </c>
      <c r="BC181" s="122">
        <v>10</v>
      </c>
      <c r="BD181" s="122">
        <v>257</v>
      </c>
      <c r="BE181" s="122">
        <v>66</v>
      </c>
      <c r="BF181" s="122">
        <v>1</v>
      </c>
      <c r="BG181" s="122">
        <v>14825</v>
      </c>
      <c r="BH181" s="122">
        <v>1134</v>
      </c>
      <c r="BI181" s="122">
        <v>294</v>
      </c>
      <c r="BJ181" s="115">
        <f t="shared" si="122"/>
        <v>1</v>
      </c>
      <c r="BK181" s="115">
        <f t="shared" si="123"/>
        <v>3443.1</v>
      </c>
      <c r="BL181" s="115">
        <f t="shared" si="124"/>
        <v>2030.44</v>
      </c>
      <c r="BM181" s="115" t="str">
        <f t="shared" si="125"/>
        <v>0</v>
      </c>
      <c r="BN181" s="115" t="str">
        <f t="shared" si="126"/>
        <v>0</v>
      </c>
      <c r="BO181" s="115" t="str">
        <f t="shared" si="127"/>
        <v>0</v>
      </c>
      <c r="BP181" s="115" t="str">
        <f t="shared" si="128"/>
        <v>0</v>
      </c>
      <c r="BQ181" s="115" t="str">
        <f t="shared" si="129"/>
        <v>0</v>
      </c>
      <c r="BR181" s="115" t="str">
        <f t="shared" si="130"/>
        <v>0</v>
      </c>
      <c r="BS181" s="115"/>
      <c r="BT181" s="115">
        <v>1</v>
      </c>
      <c r="BU181" s="122">
        <v>670</v>
      </c>
      <c r="BV181" s="115">
        <v>189</v>
      </c>
      <c r="BW181" s="115"/>
      <c r="BX181" s="115">
        <f>AP181</f>
        <v>3178</v>
      </c>
      <c r="BY181" s="275">
        <v>1519.6</v>
      </c>
      <c r="BZ181" s="253">
        <v>769.9</v>
      </c>
      <c r="CA181" s="354">
        <v>769.9</v>
      </c>
      <c r="CB181" s="354">
        <f>2.2*2+12.4*2</f>
        <v>29.200000000000003</v>
      </c>
      <c r="CC181" s="354"/>
      <c r="CD181" s="354">
        <v>670</v>
      </c>
      <c r="CE181" s="354"/>
      <c r="CF181" s="354">
        <v>18.600000000000001</v>
      </c>
      <c r="CG181" s="354">
        <f>29.4+2.5</f>
        <v>31.9</v>
      </c>
      <c r="CH181" s="355"/>
      <c r="CI181" s="356">
        <f t="shared" si="131"/>
        <v>1519.6</v>
      </c>
      <c r="CJ181" s="356">
        <f t="shared" si="116"/>
        <v>769.9</v>
      </c>
      <c r="CK181" s="357">
        <v>670</v>
      </c>
      <c r="CL181" s="358">
        <f t="shared" si="132"/>
        <v>2189.6</v>
      </c>
      <c r="CM181" s="157">
        <v>1648</v>
      </c>
      <c r="CN181" s="275">
        <f t="shared" si="133"/>
        <v>943</v>
      </c>
      <c r="CO181" s="209">
        <f t="shared" si="108"/>
        <v>1</v>
      </c>
      <c r="CP181" s="235">
        <f t="shared" si="109"/>
        <v>3555</v>
      </c>
      <c r="CQ181" s="209"/>
      <c r="CR181" s="235">
        <f t="shared" si="110"/>
        <v>882</v>
      </c>
      <c r="CS181" s="235">
        <f t="shared" si="168"/>
        <v>1</v>
      </c>
      <c r="CT181" s="235">
        <f t="shared" si="168"/>
        <v>4437</v>
      </c>
      <c r="CU181" s="14">
        <v>66</v>
      </c>
      <c r="CV181" s="284" t="str">
        <f t="shared" si="172"/>
        <v>0</v>
      </c>
      <c r="CW181" s="284" t="str">
        <f t="shared" si="173"/>
        <v>0</v>
      </c>
      <c r="CX181" s="243">
        <f t="shared" si="174"/>
        <v>4.173564520345038</v>
      </c>
      <c r="CY181" s="216" t="str">
        <f t="shared" si="175"/>
        <v>0</v>
      </c>
      <c r="CZ181" s="216" t="str">
        <f t="shared" si="176"/>
        <v>0</v>
      </c>
      <c r="DA181" s="243">
        <f t="shared" si="139"/>
        <v>9.2120258316600641</v>
      </c>
      <c r="DB181" s="305">
        <v>1</v>
      </c>
      <c r="DC181" s="305">
        <v>0</v>
      </c>
      <c r="DD181" s="305">
        <v>0</v>
      </c>
      <c r="DE181" s="305">
        <v>0</v>
      </c>
      <c r="DF181" s="305">
        <v>2</v>
      </c>
      <c r="DG181" s="305">
        <v>0</v>
      </c>
      <c r="DH181" s="305">
        <v>0</v>
      </c>
      <c r="DI181" s="305">
        <v>0</v>
      </c>
      <c r="DJ181" s="306">
        <v>0</v>
      </c>
      <c r="DK181" s="306">
        <v>66</v>
      </c>
      <c r="DL181" s="306">
        <f t="shared" si="112"/>
        <v>61</v>
      </c>
      <c r="DM181" s="306">
        <v>5</v>
      </c>
      <c r="DN181" s="306">
        <v>42</v>
      </c>
      <c r="DO181" s="306">
        <v>28</v>
      </c>
      <c r="DP181" s="306">
        <v>54</v>
      </c>
      <c r="DQ181" s="306">
        <v>44</v>
      </c>
      <c r="DR181" s="306">
        <v>28</v>
      </c>
      <c r="DS181" s="306">
        <v>54</v>
      </c>
      <c r="DT181" s="306">
        <v>44</v>
      </c>
      <c r="DU181" s="306">
        <v>3</v>
      </c>
      <c r="DV181" s="306">
        <v>2</v>
      </c>
      <c r="DW181" s="306">
        <v>7</v>
      </c>
      <c r="DX181" s="306">
        <v>2</v>
      </c>
      <c r="DY181" s="306">
        <v>2</v>
      </c>
      <c r="DZ181" s="306">
        <v>7</v>
      </c>
      <c r="EA181" s="306">
        <v>2</v>
      </c>
      <c r="EB181" s="306">
        <v>66</v>
      </c>
      <c r="EC181" s="306">
        <v>66</v>
      </c>
      <c r="ED181" s="342"/>
      <c r="EE181" s="342"/>
    </row>
    <row r="182" spans="1:138" x14ac:dyDescent="0.2">
      <c r="A182" s="12" t="s">
        <v>142</v>
      </c>
      <c r="B182" s="169">
        <v>172</v>
      </c>
      <c r="C182" s="12" t="s">
        <v>101</v>
      </c>
      <c r="D182" s="13">
        <v>1973</v>
      </c>
      <c r="E182" s="11"/>
      <c r="F182" s="169" t="s">
        <v>21</v>
      </c>
      <c r="G182" s="35">
        <v>1</v>
      </c>
      <c r="H182" s="45">
        <v>9</v>
      </c>
      <c r="I182" s="1" t="s">
        <v>19</v>
      </c>
      <c r="J182" s="122">
        <v>38406</v>
      </c>
      <c r="K182" s="122">
        <v>1466</v>
      </c>
      <c r="L182" s="122">
        <v>1650</v>
      </c>
      <c r="M182" s="122"/>
      <c r="N182" s="122">
        <v>127</v>
      </c>
      <c r="O182" s="122">
        <v>320</v>
      </c>
      <c r="P182" s="122">
        <v>127</v>
      </c>
      <c r="Q182" s="122">
        <v>290</v>
      </c>
      <c r="R182" s="179">
        <v>6902.01</v>
      </c>
      <c r="S182" s="121">
        <v>4375.37</v>
      </c>
      <c r="T182" s="122">
        <f t="shared" si="117"/>
        <v>120</v>
      </c>
      <c r="U182" s="180">
        <f t="shared" si="171"/>
        <v>6500.21</v>
      </c>
      <c r="V182" s="180">
        <f t="shared" si="171"/>
        <v>4110.18</v>
      </c>
      <c r="W182" s="122">
        <v>7</v>
      </c>
      <c r="X182" s="180">
        <v>401.8</v>
      </c>
      <c r="Y182" s="180">
        <v>265.19</v>
      </c>
      <c r="Z182" s="122"/>
      <c r="AA182" s="180"/>
      <c r="AB182" s="180"/>
      <c r="AC182" s="180">
        <f t="shared" si="119"/>
        <v>1071.5999999999999</v>
      </c>
      <c r="AD182" s="179">
        <f t="shared" si="120"/>
        <v>0</v>
      </c>
      <c r="AE182" s="271"/>
      <c r="AF182" s="179"/>
      <c r="AG182" s="180">
        <v>1071.5999999999999</v>
      </c>
      <c r="AH182" s="180"/>
      <c r="AI182" s="180">
        <f t="shared" si="121"/>
        <v>7973.6100000000006</v>
      </c>
      <c r="AJ182" s="122"/>
      <c r="AK182" s="122">
        <v>4</v>
      </c>
      <c r="AL182" s="122">
        <v>4</v>
      </c>
      <c r="AM182" s="122">
        <v>4</v>
      </c>
      <c r="AN182" s="122">
        <v>1</v>
      </c>
      <c r="AO182" s="122">
        <v>1</v>
      </c>
      <c r="AP182" s="122">
        <v>5993</v>
      </c>
      <c r="AQ182" s="35"/>
      <c r="AR182" s="122">
        <f>252+126+196</f>
        <v>574</v>
      </c>
      <c r="AS182" s="122">
        <v>262</v>
      </c>
      <c r="AT182" s="122">
        <v>160</v>
      </c>
      <c r="AU182" s="122">
        <f t="shared" si="107"/>
        <v>7452</v>
      </c>
      <c r="AV182" s="122">
        <v>6664</v>
      </c>
      <c r="AW182" s="122">
        <v>788</v>
      </c>
      <c r="AX182" s="122"/>
      <c r="AY182" s="122">
        <v>299</v>
      </c>
      <c r="AZ182" s="122">
        <v>1397</v>
      </c>
      <c r="BA182" s="122">
        <v>1397</v>
      </c>
      <c r="BB182" s="122">
        <v>20</v>
      </c>
      <c r="BC182" s="122">
        <v>17</v>
      </c>
      <c r="BD182" s="122">
        <v>448</v>
      </c>
      <c r="BE182" s="122">
        <v>128</v>
      </c>
      <c r="BF182" s="122">
        <v>1</v>
      </c>
      <c r="BG182" s="122">
        <v>29650</v>
      </c>
      <c r="BH182" s="122">
        <v>2088</v>
      </c>
      <c r="BI182" s="122">
        <v>648</v>
      </c>
      <c r="BJ182" s="115">
        <f t="shared" si="122"/>
        <v>1</v>
      </c>
      <c r="BK182" s="115">
        <f t="shared" si="123"/>
        <v>6902.01</v>
      </c>
      <c r="BL182" s="115">
        <f t="shared" si="124"/>
        <v>4375.37</v>
      </c>
      <c r="BM182" s="115" t="str">
        <f t="shared" si="125"/>
        <v>0</v>
      </c>
      <c r="BN182" s="115" t="str">
        <f t="shared" si="126"/>
        <v>0</v>
      </c>
      <c r="BO182" s="115" t="str">
        <f t="shared" si="127"/>
        <v>0</v>
      </c>
      <c r="BP182" s="115" t="str">
        <f t="shared" si="128"/>
        <v>0</v>
      </c>
      <c r="BQ182" s="115" t="str">
        <f t="shared" si="129"/>
        <v>0</v>
      </c>
      <c r="BR182" s="115" t="str">
        <f t="shared" si="130"/>
        <v>0</v>
      </c>
      <c r="BS182" s="115"/>
      <c r="BT182" s="115">
        <v>1</v>
      </c>
      <c r="BU182" s="122">
        <v>1397</v>
      </c>
      <c r="BV182" s="115">
        <v>370</v>
      </c>
      <c r="BW182" s="115"/>
      <c r="BX182" s="115">
        <f>AP182</f>
        <v>5993</v>
      </c>
      <c r="BY182" s="275">
        <v>2643.32</v>
      </c>
      <c r="BZ182" s="253">
        <v>1255.94</v>
      </c>
      <c r="CA182" s="354">
        <v>1255.94</v>
      </c>
      <c r="CB182" s="354">
        <v>9.68</v>
      </c>
      <c r="CC182" s="354"/>
      <c r="CD182" s="354">
        <f>1255.94+82.99</f>
        <v>1338.93</v>
      </c>
      <c r="CE182" s="354">
        <v>13.3</v>
      </c>
      <c r="CF182" s="354"/>
      <c r="CG182" s="354">
        <v>20.61</v>
      </c>
      <c r="CH182" s="355">
        <v>4.8600000000000003</v>
      </c>
      <c r="CI182" s="356">
        <f t="shared" si="131"/>
        <v>2643.32</v>
      </c>
      <c r="CJ182" s="356">
        <f t="shared" si="116"/>
        <v>1255.94</v>
      </c>
      <c r="CK182" s="357">
        <v>1397</v>
      </c>
      <c r="CL182" s="358">
        <f t="shared" si="132"/>
        <v>4040.32</v>
      </c>
      <c r="CM182" s="157">
        <v>3261</v>
      </c>
      <c r="CN182" s="275">
        <f t="shared" si="133"/>
        <v>1795</v>
      </c>
      <c r="CO182" s="209">
        <f t="shared" si="108"/>
        <v>1</v>
      </c>
      <c r="CP182" s="235">
        <f t="shared" si="109"/>
        <v>6664</v>
      </c>
      <c r="CQ182" s="209"/>
      <c r="CR182" s="235">
        <f t="shared" si="110"/>
        <v>788</v>
      </c>
      <c r="CS182" s="235">
        <f t="shared" si="168"/>
        <v>1</v>
      </c>
      <c r="CT182" s="235">
        <f t="shared" si="168"/>
        <v>7452</v>
      </c>
      <c r="CU182" s="14">
        <v>68</v>
      </c>
      <c r="CV182" s="284" t="str">
        <f t="shared" si="172"/>
        <v>0</v>
      </c>
      <c r="CW182" s="284" t="str">
        <f t="shared" si="173"/>
        <v>0</v>
      </c>
      <c r="CX182" s="243">
        <f t="shared" si="174"/>
        <v>5.8214925796977983</v>
      </c>
      <c r="CY182" s="216" t="str">
        <f t="shared" si="175"/>
        <v>0</v>
      </c>
      <c r="CZ182" s="216" t="str">
        <f t="shared" si="176"/>
        <v>0</v>
      </c>
      <c r="DA182" s="243">
        <f t="shared" si="139"/>
        <v>5.0391228063574722</v>
      </c>
      <c r="DB182" s="305">
        <v>1</v>
      </c>
      <c r="DC182" s="305">
        <v>0</v>
      </c>
      <c r="DD182" s="305">
        <v>0</v>
      </c>
      <c r="DE182" s="305">
        <v>0</v>
      </c>
      <c r="DF182" s="305">
        <v>2</v>
      </c>
      <c r="DG182" s="305">
        <v>0</v>
      </c>
      <c r="DH182" s="305">
        <v>0</v>
      </c>
      <c r="DI182" s="305">
        <v>0</v>
      </c>
      <c r="DJ182" s="306">
        <v>0</v>
      </c>
      <c r="DK182" s="306">
        <v>128</v>
      </c>
      <c r="DL182" s="306">
        <f t="shared" si="112"/>
        <v>120</v>
      </c>
      <c r="DM182" s="306">
        <v>8</v>
      </c>
      <c r="DN182" s="306">
        <v>95</v>
      </c>
      <c r="DO182" s="306">
        <v>77</v>
      </c>
      <c r="DP182" s="306">
        <v>51</v>
      </c>
      <c r="DQ182" s="306">
        <v>77</v>
      </c>
      <c r="DR182" s="306">
        <v>77</v>
      </c>
      <c r="DS182" s="306">
        <v>51</v>
      </c>
      <c r="DT182" s="306">
        <v>77</v>
      </c>
      <c r="DU182" s="306">
        <v>6</v>
      </c>
      <c r="DV182" s="306">
        <v>3</v>
      </c>
      <c r="DW182" s="306">
        <v>2</v>
      </c>
      <c r="DX182" s="306">
        <v>3</v>
      </c>
      <c r="DY182" s="306">
        <v>3</v>
      </c>
      <c r="DZ182" s="306">
        <v>2</v>
      </c>
      <c r="EA182" s="306">
        <v>3</v>
      </c>
      <c r="EB182" s="306">
        <v>128</v>
      </c>
      <c r="EC182" s="306">
        <v>128</v>
      </c>
      <c r="ED182" s="342"/>
      <c r="EE182" s="342"/>
    </row>
    <row r="183" spans="1:138" x14ac:dyDescent="0.2">
      <c r="A183" s="12" t="s">
        <v>142</v>
      </c>
      <c r="B183" s="169">
        <v>173</v>
      </c>
      <c r="C183" s="12" t="s">
        <v>165</v>
      </c>
      <c r="D183" s="13">
        <v>1970</v>
      </c>
      <c r="E183" s="11"/>
      <c r="F183" s="169" t="s">
        <v>13</v>
      </c>
      <c r="G183" s="35">
        <v>1</v>
      </c>
      <c r="H183" s="45">
        <v>5</v>
      </c>
      <c r="I183" s="1" t="s">
        <v>173</v>
      </c>
      <c r="J183" s="122">
        <f>12756+12318</f>
        <v>25074</v>
      </c>
      <c r="K183" s="122">
        <f>947+917</f>
        <v>1864</v>
      </c>
      <c r="L183" s="122">
        <f>1057+1062</f>
        <v>2119</v>
      </c>
      <c r="M183" s="122"/>
      <c r="N183" s="122">
        <v>142</v>
      </c>
      <c r="O183" s="122">
        <v>269</v>
      </c>
      <c r="P183" s="122">
        <v>142</v>
      </c>
      <c r="Q183" s="122">
        <v>264</v>
      </c>
      <c r="R183" s="179">
        <f>5994.61+0.22</f>
        <v>5994.83</v>
      </c>
      <c r="S183" s="121">
        <v>4113</v>
      </c>
      <c r="T183" s="122">
        <f t="shared" si="117"/>
        <v>126</v>
      </c>
      <c r="U183" s="179">
        <f t="shared" si="171"/>
        <v>5331.07</v>
      </c>
      <c r="V183" s="180">
        <f t="shared" si="171"/>
        <v>3661.64</v>
      </c>
      <c r="W183" s="122">
        <v>16</v>
      </c>
      <c r="X183" s="180">
        <v>663.76</v>
      </c>
      <c r="Y183" s="180">
        <v>451.36</v>
      </c>
      <c r="Z183" s="122"/>
      <c r="AA183" s="180"/>
      <c r="AB183" s="180"/>
      <c r="AC183" s="180">
        <f t="shared" si="119"/>
        <v>680.4</v>
      </c>
      <c r="AD183" s="179">
        <f t="shared" si="120"/>
        <v>360.4</v>
      </c>
      <c r="AE183" s="271"/>
      <c r="AF183" s="180">
        <v>360.4</v>
      </c>
      <c r="AG183" s="180">
        <v>320</v>
      </c>
      <c r="AH183" s="180"/>
      <c r="AI183" s="180">
        <f t="shared" si="121"/>
        <v>6675.23</v>
      </c>
      <c r="AJ183" s="122"/>
      <c r="AK183" s="122"/>
      <c r="AL183" s="122">
        <f>4+4</f>
        <v>8</v>
      </c>
      <c r="AM183" s="122"/>
      <c r="AN183" s="122">
        <v>1</v>
      </c>
      <c r="AO183" s="122">
        <f>1+1</f>
        <v>2</v>
      </c>
      <c r="AP183" s="122">
        <f>2341+2367</f>
        <v>4708</v>
      </c>
      <c r="AQ183" s="35"/>
      <c r="AR183" s="122">
        <f>320+338</f>
        <v>658</v>
      </c>
      <c r="AS183" s="122">
        <f>245+256</f>
        <v>501</v>
      </c>
      <c r="AT183" s="122">
        <f>51+51</f>
        <v>102</v>
      </c>
      <c r="AU183" s="122">
        <f t="shared" si="107"/>
        <v>5861</v>
      </c>
      <c r="AV183" s="122"/>
      <c r="AW183" s="122">
        <f>2938+2923</f>
        <v>5861</v>
      </c>
      <c r="AX183" s="122">
        <f>0+1850</f>
        <v>1850</v>
      </c>
      <c r="AY183" s="122">
        <f>133+139</f>
        <v>272</v>
      </c>
      <c r="AZ183" s="122">
        <f>889+889</f>
        <v>1778</v>
      </c>
      <c r="BA183" s="122">
        <f>889+889</f>
        <v>1778</v>
      </c>
      <c r="BB183" s="122">
        <f>20+20</f>
        <v>40</v>
      </c>
      <c r="BC183" s="122">
        <f>13+13</f>
        <v>26</v>
      </c>
      <c r="BD183" s="122">
        <f>176+238</f>
        <v>414</v>
      </c>
      <c r="BE183" s="122">
        <f>64+79</f>
        <v>143</v>
      </c>
      <c r="BF183" s="122">
        <f>4+1</f>
        <v>5</v>
      </c>
      <c r="BG183" s="122">
        <f>14872+15032</f>
        <v>29904</v>
      </c>
      <c r="BH183" s="122">
        <f>492+292</f>
        <v>784</v>
      </c>
      <c r="BI183" s="122"/>
      <c r="BJ183" s="115" t="str">
        <f t="shared" si="122"/>
        <v>0</v>
      </c>
      <c r="BK183" s="115" t="str">
        <f t="shared" si="123"/>
        <v>0</v>
      </c>
      <c r="BL183" s="115" t="str">
        <f t="shared" si="124"/>
        <v>0</v>
      </c>
      <c r="BM183" s="115" t="str">
        <f t="shared" si="125"/>
        <v>0</v>
      </c>
      <c r="BN183" s="115" t="str">
        <f t="shared" si="126"/>
        <v>0</v>
      </c>
      <c r="BO183" s="115" t="str">
        <f t="shared" si="127"/>
        <v>0</v>
      </c>
      <c r="BP183" s="115">
        <f t="shared" si="128"/>
        <v>1</v>
      </c>
      <c r="BQ183" s="115">
        <f t="shared" si="129"/>
        <v>5994.83</v>
      </c>
      <c r="BR183" s="115">
        <f t="shared" si="130"/>
        <v>4113</v>
      </c>
      <c r="BS183" s="115">
        <v>2</v>
      </c>
      <c r="BT183" s="115">
        <f>0+2</f>
        <v>2</v>
      </c>
      <c r="BU183" s="122">
        <f>889+889</f>
        <v>1778</v>
      </c>
      <c r="BV183" s="36">
        <f>96+96</f>
        <v>192</v>
      </c>
      <c r="BW183" s="115"/>
      <c r="BX183" s="115">
        <f>AP183</f>
        <v>4708</v>
      </c>
      <c r="BY183" s="275">
        <v>2350.0100000000002</v>
      </c>
      <c r="BZ183" s="253">
        <v>517.61</v>
      </c>
      <c r="CA183" s="354">
        <v>517.61</v>
      </c>
      <c r="CB183" s="354"/>
      <c r="CC183" s="354"/>
      <c r="CD183" s="354">
        <f>888.9+889.4</f>
        <v>1778.3</v>
      </c>
      <c r="CE183" s="354">
        <v>11.38</v>
      </c>
      <c r="CF183" s="354"/>
      <c r="CG183" s="354"/>
      <c r="CH183" s="355">
        <v>42.72</v>
      </c>
      <c r="CI183" s="356">
        <f t="shared" si="131"/>
        <v>2350.0099999999998</v>
      </c>
      <c r="CJ183" s="356">
        <f t="shared" si="116"/>
        <v>517.61</v>
      </c>
      <c r="CK183" s="357">
        <v>1778</v>
      </c>
      <c r="CL183" s="358">
        <f t="shared" si="132"/>
        <v>4128.01</v>
      </c>
      <c r="CM183" s="157">
        <f>1960+2634</f>
        <v>4594</v>
      </c>
      <c r="CN183" s="275">
        <f t="shared" si="133"/>
        <v>2730</v>
      </c>
      <c r="CO183" s="209" t="str">
        <f t="shared" si="108"/>
        <v>0</v>
      </c>
      <c r="CP183" s="235">
        <f t="shared" si="109"/>
        <v>0</v>
      </c>
      <c r="CQ183" s="209">
        <f>IF(CR183&gt;0,G183,"0")</f>
        <v>1</v>
      </c>
      <c r="CR183" s="235">
        <f t="shared" si="110"/>
        <v>5861</v>
      </c>
      <c r="CS183" s="235">
        <f t="shared" si="168"/>
        <v>1</v>
      </c>
      <c r="CT183" s="235">
        <f t="shared" si="168"/>
        <v>5861</v>
      </c>
      <c r="CU183" s="156">
        <v>48</v>
      </c>
      <c r="CV183" s="284" t="str">
        <f t="shared" si="172"/>
        <v>0</v>
      </c>
      <c r="CW183" s="284" t="str">
        <f t="shared" si="173"/>
        <v>0</v>
      </c>
      <c r="CX183" s="243">
        <f t="shared" si="174"/>
        <v>11.07220721855332</v>
      </c>
      <c r="CY183" s="216" t="str">
        <f t="shared" si="175"/>
        <v>0</v>
      </c>
      <c r="CZ183" s="216" t="str">
        <f t="shared" si="176"/>
        <v>0</v>
      </c>
      <c r="DA183" s="243">
        <f t="shared" si="139"/>
        <v>15.342692311725587</v>
      </c>
      <c r="DB183" s="305">
        <v>1</v>
      </c>
      <c r="DC183" s="305">
        <v>0</v>
      </c>
      <c r="DD183" s="305">
        <v>0</v>
      </c>
      <c r="DE183" s="305">
        <v>0</v>
      </c>
      <c r="DF183" s="305">
        <v>2</v>
      </c>
      <c r="DG183" s="305">
        <v>0</v>
      </c>
      <c r="DH183" s="305">
        <v>0</v>
      </c>
      <c r="DI183" s="305">
        <v>0</v>
      </c>
      <c r="DJ183" s="306">
        <v>0</v>
      </c>
      <c r="DK183" s="306">
        <v>143</v>
      </c>
      <c r="DL183" s="306">
        <f t="shared" si="112"/>
        <v>125</v>
      </c>
      <c r="DM183" s="306">
        <v>18</v>
      </c>
      <c r="DN183" s="306">
        <v>105</v>
      </c>
      <c r="DO183" s="306">
        <v>63</v>
      </c>
      <c r="DP183" s="306">
        <v>79</v>
      </c>
      <c r="DQ183" s="306">
        <v>63</v>
      </c>
      <c r="DR183" s="306">
        <v>67</v>
      </c>
      <c r="DS183" s="306">
        <v>75</v>
      </c>
      <c r="DT183" s="306">
        <v>67</v>
      </c>
      <c r="DU183" s="306">
        <v>12</v>
      </c>
      <c r="DV183" s="306">
        <v>5</v>
      </c>
      <c r="DW183" s="306">
        <v>9</v>
      </c>
      <c r="DX183" s="306">
        <v>5</v>
      </c>
      <c r="DY183" s="306">
        <v>5</v>
      </c>
      <c r="DZ183" s="306">
        <v>9</v>
      </c>
      <c r="EA183" s="306">
        <v>5</v>
      </c>
      <c r="EB183" s="306">
        <v>143</v>
      </c>
      <c r="EC183" s="306">
        <v>143</v>
      </c>
      <c r="ED183" s="342"/>
      <c r="EE183" s="342"/>
    </row>
    <row r="184" spans="1:138" x14ac:dyDescent="0.2">
      <c r="A184" s="12" t="s">
        <v>142</v>
      </c>
      <c r="B184" s="169">
        <v>174</v>
      </c>
      <c r="C184" s="12" t="s">
        <v>102</v>
      </c>
      <c r="D184" s="13">
        <v>1996</v>
      </c>
      <c r="E184" s="11"/>
      <c r="F184" s="169">
        <v>84</v>
      </c>
      <c r="G184" s="35">
        <v>1</v>
      </c>
      <c r="H184" s="45">
        <v>9</v>
      </c>
      <c r="I184" s="1" t="s">
        <v>22</v>
      </c>
      <c r="J184" s="122">
        <v>8281</v>
      </c>
      <c r="K184" s="122">
        <v>360</v>
      </c>
      <c r="L184" s="122"/>
      <c r="M184" s="122">
        <v>360</v>
      </c>
      <c r="N184" s="122">
        <v>32</v>
      </c>
      <c r="O184" s="122">
        <v>80</v>
      </c>
      <c r="P184" s="122">
        <v>32</v>
      </c>
      <c r="Q184" s="122">
        <v>83</v>
      </c>
      <c r="R184" s="179">
        <v>2184.6999999999998</v>
      </c>
      <c r="S184" s="121">
        <v>1235</v>
      </c>
      <c r="T184" s="122">
        <f t="shared" si="117"/>
        <v>31</v>
      </c>
      <c r="U184" s="180">
        <f t="shared" si="171"/>
        <v>2128.6999999999998</v>
      </c>
      <c r="V184" s="180">
        <f t="shared" si="171"/>
        <v>1204.4000000000001</v>
      </c>
      <c r="W184" s="122">
        <v>1</v>
      </c>
      <c r="X184" s="180">
        <v>56</v>
      </c>
      <c r="Y184" s="180">
        <v>30.6</v>
      </c>
      <c r="Z184" s="122"/>
      <c r="AA184" s="180"/>
      <c r="AB184" s="180"/>
      <c r="AC184" s="180">
        <f t="shared" si="119"/>
        <v>940.9</v>
      </c>
      <c r="AD184" s="179">
        <f t="shared" si="120"/>
        <v>0</v>
      </c>
      <c r="AE184" s="271"/>
      <c r="AF184" s="179"/>
      <c r="AG184" s="180">
        <v>940.9</v>
      </c>
      <c r="AH184" s="180"/>
      <c r="AI184" s="180">
        <f t="shared" si="121"/>
        <v>3125.6</v>
      </c>
      <c r="AJ184" s="122"/>
      <c r="AK184" s="122">
        <v>1</v>
      </c>
      <c r="AL184" s="122">
        <v>1</v>
      </c>
      <c r="AM184" s="122">
        <v>1</v>
      </c>
      <c r="AN184" s="122"/>
      <c r="AO184" s="122">
        <v>1</v>
      </c>
      <c r="AP184" s="122">
        <v>1863</v>
      </c>
      <c r="AQ184" s="35"/>
      <c r="AR184" s="122">
        <f>159+80+102</f>
        <v>341</v>
      </c>
      <c r="AS184" s="122">
        <v>47</v>
      </c>
      <c r="AT184" s="122">
        <v>54</v>
      </c>
      <c r="AU184" s="122">
        <f t="shared" si="107"/>
        <v>2734</v>
      </c>
      <c r="AV184" s="122">
        <v>2479</v>
      </c>
      <c r="AW184" s="122">
        <v>255</v>
      </c>
      <c r="AX184" s="122">
        <v>2480</v>
      </c>
      <c r="AY184" s="122">
        <v>197</v>
      </c>
      <c r="AZ184" s="122">
        <v>352</v>
      </c>
      <c r="BA184" s="122">
        <v>352</v>
      </c>
      <c r="BB184" s="122">
        <v>16</v>
      </c>
      <c r="BC184" s="122">
        <v>7</v>
      </c>
      <c r="BD184" s="122">
        <v>112</v>
      </c>
      <c r="BE184" s="122">
        <v>32</v>
      </c>
      <c r="BF184" s="122">
        <v>1</v>
      </c>
      <c r="BG184" s="122">
        <v>1806</v>
      </c>
      <c r="BH184" s="122">
        <v>472</v>
      </c>
      <c r="BI184" s="122">
        <v>132</v>
      </c>
      <c r="BJ184" s="115" t="str">
        <f t="shared" si="122"/>
        <v>0</v>
      </c>
      <c r="BK184" s="115" t="str">
        <f t="shared" si="123"/>
        <v>0</v>
      </c>
      <c r="BL184" s="115" t="str">
        <f t="shared" si="124"/>
        <v>0</v>
      </c>
      <c r="BM184" s="115">
        <f t="shared" si="125"/>
        <v>1</v>
      </c>
      <c r="BN184" s="115">
        <f t="shared" si="126"/>
        <v>2184.6999999999998</v>
      </c>
      <c r="BO184" s="115">
        <f t="shared" si="127"/>
        <v>1235</v>
      </c>
      <c r="BP184" s="115" t="str">
        <f t="shared" si="128"/>
        <v>0</v>
      </c>
      <c r="BQ184" s="115" t="str">
        <f t="shared" si="129"/>
        <v>0</v>
      </c>
      <c r="BR184" s="115" t="str">
        <f t="shared" si="130"/>
        <v>0</v>
      </c>
      <c r="BS184" s="115">
        <v>1</v>
      </c>
      <c r="BT184" s="115"/>
      <c r="BU184" s="122">
        <v>352</v>
      </c>
      <c r="BV184" s="115">
        <v>96</v>
      </c>
      <c r="BW184" s="115"/>
      <c r="BX184" s="115"/>
      <c r="BY184" s="275">
        <v>600.6</v>
      </c>
      <c r="BZ184" s="253">
        <v>280.10000000000002</v>
      </c>
      <c r="CA184" s="354">
        <f>243.7-3.6+40</f>
        <v>280.10000000000002</v>
      </c>
      <c r="CB184" s="354">
        <f>3.6+8.3</f>
        <v>11.9</v>
      </c>
      <c r="CC184" s="354"/>
      <c r="CD184" s="354">
        <v>302.7</v>
      </c>
      <c r="CE184" s="354"/>
      <c r="CF184" s="354"/>
      <c r="CG184" s="354">
        <v>5.9</v>
      </c>
      <c r="CH184" s="355"/>
      <c r="CI184" s="356">
        <f t="shared" si="131"/>
        <v>600.59999999999991</v>
      </c>
      <c r="CJ184" s="356">
        <f t="shared" si="116"/>
        <v>280.10000000000002</v>
      </c>
      <c r="CK184" s="357">
        <v>352</v>
      </c>
      <c r="CL184" s="358">
        <f t="shared" si="132"/>
        <v>952.59999999999991</v>
      </c>
      <c r="CM184" s="157">
        <v>1728</v>
      </c>
      <c r="CN184" s="275">
        <f t="shared" si="133"/>
        <v>1368</v>
      </c>
      <c r="CO184" s="209">
        <f t="shared" si="108"/>
        <v>1</v>
      </c>
      <c r="CP184" s="235">
        <f t="shared" si="109"/>
        <v>2479</v>
      </c>
      <c r="CQ184" s="209"/>
      <c r="CR184" s="235">
        <f t="shared" si="110"/>
        <v>255</v>
      </c>
      <c r="CS184" s="235">
        <f t="shared" si="168"/>
        <v>1</v>
      </c>
      <c r="CT184" s="235">
        <f t="shared" si="168"/>
        <v>2734</v>
      </c>
      <c r="CU184" s="14">
        <v>55</v>
      </c>
      <c r="CV184" s="284" t="str">
        <f t="shared" si="172"/>
        <v>0</v>
      </c>
      <c r="CW184" s="284" t="str">
        <f t="shared" si="173"/>
        <v>0</v>
      </c>
      <c r="CX184" s="243">
        <f t="shared" si="174"/>
        <v>2.5632809996795904</v>
      </c>
      <c r="CY184" s="216" t="str">
        <f t="shared" si="175"/>
        <v>0</v>
      </c>
      <c r="CZ184" s="216" t="str">
        <f t="shared" si="176"/>
        <v>0</v>
      </c>
      <c r="DA184" s="243">
        <f t="shared" si="139"/>
        <v>1.7916560020476071</v>
      </c>
      <c r="DB184" s="305">
        <v>1</v>
      </c>
      <c r="DC184" s="305">
        <v>0</v>
      </c>
      <c r="DD184" s="305">
        <v>0</v>
      </c>
      <c r="DE184" s="305">
        <v>1</v>
      </c>
      <c r="DF184" s="305">
        <v>2</v>
      </c>
      <c r="DG184" s="305">
        <v>0</v>
      </c>
      <c r="DH184" s="305">
        <v>0</v>
      </c>
      <c r="DI184" s="305">
        <v>1</v>
      </c>
      <c r="DJ184" s="306">
        <v>0</v>
      </c>
      <c r="DK184" s="306">
        <v>32</v>
      </c>
      <c r="DL184" s="306">
        <f t="shared" si="112"/>
        <v>31</v>
      </c>
      <c r="DM184" s="306">
        <v>1</v>
      </c>
      <c r="DN184" s="306">
        <v>24</v>
      </c>
      <c r="DO184" s="306">
        <v>19</v>
      </c>
      <c r="DP184" s="306">
        <v>20</v>
      </c>
      <c r="DQ184" s="306">
        <v>28</v>
      </c>
      <c r="DR184" s="306">
        <v>20</v>
      </c>
      <c r="DS184" s="306">
        <v>18</v>
      </c>
      <c r="DT184" s="306">
        <v>30</v>
      </c>
      <c r="DU184" s="306">
        <v>0</v>
      </c>
      <c r="DV184" s="306">
        <v>0</v>
      </c>
      <c r="DW184" s="306">
        <v>3</v>
      </c>
      <c r="DX184" s="306">
        <v>0</v>
      </c>
      <c r="DY184" s="306">
        <v>0</v>
      </c>
      <c r="DZ184" s="306">
        <v>3</v>
      </c>
      <c r="EA184" s="306">
        <v>0</v>
      </c>
      <c r="EB184" s="306">
        <v>32</v>
      </c>
      <c r="EC184" s="306">
        <v>32</v>
      </c>
      <c r="ED184" s="342"/>
      <c r="EE184" s="342"/>
    </row>
    <row r="185" spans="1:138" x14ac:dyDescent="0.2">
      <c r="A185" s="27" t="s">
        <v>142</v>
      </c>
      <c r="B185" s="169">
        <v>175</v>
      </c>
      <c r="C185" s="12" t="s">
        <v>103</v>
      </c>
      <c r="D185" s="13">
        <v>1969</v>
      </c>
      <c r="E185" s="11"/>
      <c r="F185" s="169" t="s">
        <v>20</v>
      </c>
      <c r="G185" s="35">
        <v>1</v>
      </c>
      <c r="H185" s="45">
        <v>5</v>
      </c>
      <c r="I185" s="1" t="s">
        <v>22</v>
      </c>
      <c r="J185" s="122">
        <v>12231</v>
      </c>
      <c r="K185" s="122">
        <v>918</v>
      </c>
      <c r="L185" s="122">
        <v>1059</v>
      </c>
      <c r="M185" s="122"/>
      <c r="N185" s="122">
        <v>79</v>
      </c>
      <c r="O185" s="122">
        <v>158</v>
      </c>
      <c r="P185" s="122">
        <v>80</v>
      </c>
      <c r="Q185" s="122">
        <v>130</v>
      </c>
      <c r="R185" s="179">
        <v>3490.57</v>
      </c>
      <c r="S185" s="121">
        <v>2398</v>
      </c>
      <c r="T185" s="122">
        <f t="shared" si="117"/>
        <v>75</v>
      </c>
      <c r="U185" s="180">
        <f t="shared" si="171"/>
        <v>3326.4100000000003</v>
      </c>
      <c r="V185" s="180">
        <f t="shared" si="171"/>
        <v>2288.8000000000002</v>
      </c>
      <c r="W185" s="122">
        <v>4</v>
      </c>
      <c r="X185" s="180">
        <v>164.16</v>
      </c>
      <c r="Y185" s="180">
        <v>109.2</v>
      </c>
      <c r="Z185" s="122"/>
      <c r="AA185" s="180"/>
      <c r="AB185" s="180"/>
      <c r="AC185" s="180">
        <f t="shared" si="119"/>
        <v>0</v>
      </c>
      <c r="AD185" s="179">
        <f t="shared" si="120"/>
        <v>0</v>
      </c>
      <c r="AE185" s="271"/>
      <c r="AF185" s="179"/>
      <c r="AG185" s="180"/>
      <c r="AH185" s="180"/>
      <c r="AI185" s="180">
        <f t="shared" si="121"/>
        <v>3490.57</v>
      </c>
      <c r="AJ185" s="122"/>
      <c r="AK185" s="122"/>
      <c r="AL185" s="122">
        <v>4</v>
      </c>
      <c r="AM185" s="122"/>
      <c r="AN185" s="122">
        <v>1</v>
      </c>
      <c r="AO185" s="122">
        <v>1</v>
      </c>
      <c r="AP185" s="122">
        <v>2353</v>
      </c>
      <c r="AQ185" s="35"/>
      <c r="AR185" s="122">
        <f>159+85+143</f>
        <v>387</v>
      </c>
      <c r="AS185" s="122">
        <v>180</v>
      </c>
      <c r="AT185" s="122">
        <v>51</v>
      </c>
      <c r="AU185" s="122">
        <f t="shared" ref="AU185:AU187" si="177">AV185+AW185</f>
        <v>2923</v>
      </c>
      <c r="AV185" s="122"/>
      <c r="AW185" s="122">
        <v>2923</v>
      </c>
      <c r="AX185" s="122">
        <v>1850</v>
      </c>
      <c r="AY185" s="122">
        <v>139</v>
      </c>
      <c r="AZ185" s="122">
        <v>886</v>
      </c>
      <c r="BA185" s="122">
        <v>886</v>
      </c>
      <c r="BB185" s="122">
        <v>20</v>
      </c>
      <c r="BC185" s="122">
        <v>13</v>
      </c>
      <c r="BD185" s="122">
        <v>240</v>
      </c>
      <c r="BE185" s="122">
        <v>79</v>
      </c>
      <c r="BF185" s="122">
        <v>1</v>
      </c>
      <c r="BG185" s="122">
        <v>15032</v>
      </c>
      <c r="BH185" s="122">
        <v>292</v>
      </c>
      <c r="BI185" s="122"/>
      <c r="BJ185" s="115" t="str">
        <f t="shared" si="122"/>
        <v>0</v>
      </c>
      <c r="BK185" s="115" t="str">
        <f t="shared" si="123"/>
        <v>0</v>
      </c>
      <c r="BL185" s="115" t="str">
        <f t="shared" si="124"/>
        <v>0</v>
      </c>
      <c r="BM185" s="115">
        <f t="shared" si="125"/>
        <v>1</v>
      </c>
      <c r="BN185" s="115">
        <f t="shared" si="126"/>
        <v>3490.57</v>
      </c>
      <c r="BO185" s="115">
        <f t="shared" si="127"/>
        <v>2398</v>
      </c>
      <c r="BP185" s="115" t="str">
        <f t="shared" si="128"/>
        <v>0</v>
      </c>
      <c r="BQ185" s="115" t="str">
        <f t="shared" si="129"/>
        <v>0</v>
      </c>
      <c r="BR185" s="115" t="str">
        <f t="shared" si="130"/>
        <v>0</v>
      </c>
      <c r="BS185" s="115">
        <v>1</v>
      </c>
      <c r="BT185" s="115"/>
      <c r="BU185" s="122"/>
      <c r="BV185" s="115"/>
      <c r="BW185" s="115"/>
      <c r="BX185" s="115"/>
      <c r="BY185" s="275">
        <v>1193.98</v>
      </c>
      <c r="BZ185" s="253">
        <v>270.36</v>
      </c>
      <c r="CA185" s="354">
        <v>270.36</v>
      </c>
      <c r="CB185" s="354"/>
      <c r="CC185" s="354"/>
      <c r="CD185" s="354">
        <v>886.34</v>
      </c>
      <c r="CE185" s="354"/>
      <c r="CF185" s="354"/>
      <c r="CG185" s="354"/>
      <c r="CH185" s="354">
        <f>34.52+2.76</f>
        <v>37.28</v>
      </c>
      <c r="CI185" s="356">
        <f t="shared" si="131"/>
        <v>1193.98</v>
      </c>
      <c r="CJ185" s="356">
        <f t="shared" si="116"/>
        <v>270.36</v>
      </c>
      <c r="CK185" s="357">
        <v>886</v>
      </c>
      <c r="CL185" s="358">
        <f t="shared" si="132"/>
        <v>2079.98</v>
      </c>
      <c r="CM185" s="157">
        <v>2399</v>
      </c>
      <c r="CN185" s="275">
        <f t="shared" si="133"/>
        <v>1481</v>
      </c>
      <c r="CO185" s="209" t="str">
        <f t="shared" ref="CO185:CO187" si="178">IF(CP185&gt;0,G185,"0")</f>
        <v>0</v>
      </c>
      <c r="CP185" s="235">
        <f t="shared" ref="CP185:CP187" si="179">AV185</f>
        <v>0</v>
      </c>
      <c r="CQ185" s="209">
        <f t="shared" ref="CQ185:CQ187" si="180">IF(CR185&gt;0,G185,"0")</f>
        <v>1</v>
      </c>
      <c r="CR185" s="235">
        <f t="shared" ref="CR185:CR187" si="181">AW185</f>
        <v>2923</v>
      </c>
      <c r="CS185" s="235">
        <f t="shared" ref="CS185:CT187" si="182">CO185+CQ185</f>
        <v>1</v>
      </c>
      <c r="CT185" s="235">
        <f t="shared" si="182"/>
        <v>2923</v>
      </c>
      <c r="CU185" s="156">
        <v>52</v>
      </c>
      <c r="CV185" s="284" t="str">
        <f t="shared" si="172"/>
        <v>0</v>
      </c>
      <c r="CW185" s="284" t="str">
        <f t="shared" si="173"/>
        <v>0</v>
      </c>
      <c r="CX185" s="243">
        <f t="shared" si="174"/>
        <v>4.7029568236706325</v>
      </c>
      <c r="CY185" s="216" t="str">
        <f t="shared" si="175"/>
        <v>0</v>
      </c>
      <c r="CZ185" s="216" t="str">
        <f t="shared" si="176"/>
        <v>0</v>
      </c>
      <c r="DA185" s="243">
        <f t="shared" si="139"/>
        <v>4.7029568236706325</v>
      </c>
      <c r="DB185" s="305">
        <v>1</v>
      </c>
      <c r="DC185" s="305">
        <v>0</v>
      </c>
      <c r="DD185" s="305">
        <v>0</v>
      </c>
      <c r="DE185" s="305">
        <v>0</v>
      </c>
      <c r="DF185" s="305">
        <v>1</v>
      </c>
      <c r="DG185" s="305">
        <v>0</v>
      </c>
      <c r="DH185" s="305">
        <v>0</v>
      </c>
      <c r="DI185" s="305">
        <v>0</v>
      </c>
      <c r="DJ185" s="306">
        <v>0</v>
      </c>
      <c r="DK185" s="306">
        <v>79</v>
      </c>
      <c r="DL185" s="306">
        <f t="shared" ref="DL185:DL187" si="183">DK185-DM185</f>
        <v>73</v>
      </c>
      <c r="DM185" s="306">
        <v>6</v>
      </c>
      <c r="DN185" s="306">
        <v>54</v>
      </c>
      <c r="DO185" s="306">
        <v>35</v>
      </c>
      <c r="DP185" s="306">
        <v>44</v>
      </c>
      <c r="DQ185" s="306">
        <v>35</v>
      </c>
      <c r="DR185" s="306">
        <v>36</v>
      </c>
      <c r="DS185" s="306">
        <v>43</v>
      </c>
      <c r="DT185" s="306">
        <v>36</v>
      </c>
      <c r="DU185" s="306">
        <v>2</v>
      </c>
      <c r="DV185" s="306">
        <v>3</v>
      </c>
      <c r="DW185" s="306">
        <v>3</v>
      </c>
      <c r="DX185" s="306">
        <v>3</v>
      </c>
      <c r="DY185" s="306">
        <v>3</v>
      </c>
      <c r="DZ185" s="306">
        <v>3</v>
      </c>
      <c r="EA185" s="306">
        <v>3</v>
      </c>
      <c r="EB185" s="306">
        <v>79</v>
      </c>
      <c r="EC185" s="306">
        <v>79</v>
      </c>
      <c r="ED185" s="342"/>
      <c r="EE185" s="342"/>
      <c r="EF185" s="52"/>
      <c r="EG185" s="52"/>
      <c r="EH185" s="52"/>
    </row>
    <row r="186" spans="1:138" x14ac:dyDescent="0.2">
      <c r="A186" s="12" t="s">
        <v>142</v>
      </c>
      <c r="B186" s="169">
        <v>176</v>
      </c>
      <c r="C186" s="12" t="s">
        <v>104</v>
      </c>
      <c r="D186" s="13">
        <v>1972</v>
      </c>
      <c r="E186" s="11"/>
      <c r="F186" s="169" t="s">
        <v>20</v>
      </c>
      <c r="G186" s="35">
        <v>1</v>
      </c>
      <c r="H186" s="45">
        <v>5</v>
      </c>
      <c r="I186" s="1" t="s">
        <v>22</v>
      </c>
      <c r="J186" s="122">
        <v>17033</v>
      </c>
      <c r="K186" s="122">
        <v>1268</v>
      </c>
      <c r="L186" s="122">
        <v>1459</v>
      </c>
      <c r="M186" s="122"/>
      <c r="N186" s="122">
        <v>120</v>
      </c>
      <c r="O186" s="122">
        <v>210</v>
      </c>
      <c r="P186" s="122">
        <v>120</v>
      </c>
      <c r="Q186" s="122">
        <v>204</v>
      </c>
      <c r="R186" s="179">
        <v>4866.22</v>
      </c>
      <c r="S186" s="121">
        <v>3191</v>
      </c>
      <c r="T186" s="122">
        <f t="shared" si="117"/>
        <v>109</v>
      </c>
      <c r="U186" s="180">
        <f t="shared" si="171"/>
        <v>4426.54</v>
      </c>
      <c r="V186" s="180">
        <f t="shared" si="171"/>
        <v>2904.89</v>
      </c>
      <c r="W186" s="122">
        <v>11</v>
      </c>
      <c r="X186" s="180">
        <v>439.68</v>
      </c>
      <c r="Y186" s="180">
        <v>286.11</v>
      </c>
      <c r="Z186" s="122"/>
      <c r="AA186" s="180"/>
      <c r="AB186" s="180"/>
      <c r="AC186" s="180">
        <f t="shared" si="119"/>
        <v>0</v>
      </c>
      <c r="AD186" s="179">
        <f t="shared" si="120"/>
        <v>0</v>
      </c>
      <c r="AE186" s="271"/>
      <c r="AF186" s="179"/>
      <c r="AG186" s="180"/>
      <c r="AH186" s="180"/>
      <c r="AI186" s="180">
        <f t="shared" si="121"/>
        <v>4866.22</v>
      </c>
      <c r="AJ186" s="122"/>
      <c r="AK186" s="122"/>
      <c r="AL186" s="122">
        <v>6</v>
      </c>
      <c r="AM186" s="122"/>
      <c r="AN186" s="122">
        <v>1</v>
      </c>
      <c r="AO186" s="122">
        <v>1</v>
      </c>
      <c r="AP186" s="122">
        <v>3152</v>
      </c>
      <c r="AQ186" s="35"/>
      <c r="AR186" s="122">
        <f>272+136+150</f>
        <v>558</v>
      </c>
      <c r="AS186" s="122">
        <v>267</v>
      </c>
      <c r="AT186" s="122">
        <v>77</v>
      </c>
      <c r="AU186" s="122">
        <f t="shared" si="177"/>
        <v>4386</v>
      </c>
      <c r="AV186" s="122"/>
      <c r="AW186" s="122">
        <v>4386</v>
      </c>
      <c r="AX186" s="122">
        <v>2700</v>
      </c>
      <c r="AY186" s="122">
        <v>190</v>
      </c>
      <c r="AZ186" s="122">
        <v>1226</v>
      </c>
      <c r="BA186" s="122">
        <v>1226</v>
      </c>
      <c r="BB186" s="122">
        <v>30</v>
      </c>
      <c r="BC186" s="122">
        <v>19</v>
      </c>
      <c r="BD186" s="122">
        <v>340</v>
      </c>
      <c r="BE186" s="122">
        <v>120</v>
      </c>
      <c r="BF186" s="122">
        <v>1</v>
      </c>
      <c r="BG186" s="122">
        <v>22548</v>
      </c>
      <c r="BH186" s="122">
        <v>438</v>
      </c>
      <c r="BI186" s="122"/>
      <c r="BJ186" s="115" t="str">
        <f t="shared" si="122"/>
        <v>0</v>
      </c>
      <c r="BK186" s="115" t="str">
        <f t="shared" si="123"/>
        <v>0</v>
      </c>
      <c r="BL186" s="115" t="str">
        <f t="shared" si="124"/>
        <v>0</v>
      </c>
      <c r="BM186" s="115">
        <f t="shared" si="125"/>
        <v>1</v>
      </c>
      <c r="BN186" s="115">
        <f t="shared" si="126"/>
        <v>4866.22</v>
      </c>
      <c r="BO186" s="115">
        <f t="shared" si="127"/>
        <v>3191</v>
      </c>
      <c r="BP186" s="115" t="str">
        <f t="shared" si="128"/>
        <v>0</v>
      </c>
      <c r="BQ186" s="115" t="str">
        <f t="shared" si="129"/>
        <v>0</v>
      </c>
      <c r="BR186" s="115" t="str">
        <f t="shared" si="130"/>
        <v>0</v>
      </c>
      <c r="BS186" s="115">
        <v>2</v>
      </c>
      <c r="BT186" s="115"/>
      <c r="BU186" s="122"/>
      <c r="BV186" s="115"/>
      <c r="BW186" s="115"/>
      <c r="BX186" s="115"/>
      <c r="BY186" s="275">
        <v>1637.16</v>
      </c>
      <c r="BZ186" s="253">
        <v>410.86</v>
      </c>
      <c r="CA186" s="354">
        <v>410.86</v>
      </c>
      <c r="CB186" s="354"/>
      <c r="CC186" s="354"/>
      <c r="CD186" s="354">
        <v>1226.3</v>
      </c>
      <c r="CE186" s="354"/>
      <c r="CF186" s="354"/>
      <c r="CG186" s="354"/>
      <c r="CH186" s="355"/>
      <c r="CI186" s="356">
        <f t="shared" si="131"/>
        <v>1637.1599999999999</v>
      </c>
      <c r="CJ186" s="356">
        <f t="shared" si="116"/>
        <v>410.86</v>
      </c>
      <c r="CK186" s="357">
        <v>1226</v>
      </c>
      <c r="CL186" s="358">
        <f t="shared" si="132"/>
        <v>2863.16</v>
      </c>
      <c r="CM186" s="157">
        <v>3887</v>
      </c>
      <c r="CN186" s="275">
        <f t="shared" si="133"/>
        <v>2619</v>
      </c>
      <c r="CO186" s="209" t="str">
        <f t="shared" si="178"/>
        <v>0</v>
      </c>
      <c r="CP186" s="235">
        <f t="shared" si="179"/>
        <v>0</v>
      </c>
      <c r="CQ186" s="209">
        <f t="shared" si="180"/>
        <v>1</v>
      </c>
      <c r="CR186" s="235">
        <f t="shared" si="181"/>
        <v>4386</v>
      </c>
      <c r="CS186" s="235">
        <f t="shared" si="182"/>
        <v>1</v>
      </c>
      <c r="CT186" s="235">
        <f t="shared" si="182"/>
        <v>4386</v>
      </c>
      <c r="CU186" s="14">
        <v>52</v>
      </c>
      <c r="CV186" s="284" t="str">
        <f t="shared" si="172"/>
        <v>0</v>
      </c>
      <c r="CW186" s="284" t="str">
        <f t="shared" si="173"/>
        <v>0</v>
      </c>
      <c r="CX186" s="243">
        <f t="shared" si="174"/>
        <v>9.0353498197779789</v>
      </c>
      <c r="CY186" s="216" t="str">
        <f t="shared" si="175"/>
        <v>0</v>
      </c>
      <c r="CZ186" s="216" t="str">
        <f t="shared" si="176"/>
        <v>0</v>
      </c>
      <c r="DA186" s="243">
        <f t="shared" si="139"/>
        <v>9.0353498197779789</v>
      </c>
      <c r="DB186" s="305">
        <v>1</v>
      </c>
      <c r="DC186" s="305">
        <v>0</v>
      </c>
      <c r="DD186" s="305">
        <v>0</v>
      </c>
      <c r="DE186" s="305">
        <v>0</v>
      </c>
      <c r="DF186" s="305">
        <v>1</v>
      </c>
      <c r="DG186" s="305">
        <v>0</v>
      </c>
      <c r="DH186" s="305">
        <v>0</v>
      </c>
      <c r="DI186" s="305">
        <v>0</v>
      </c>
      <c r="DJ186" s="306">
        <v>0</v>
      </c>
      <c r="DK186" s="306">
        <v>120</v>
      </c>
      <c r="DL186" s="306">
        <f t="shared" si="183"/>
        <v>111</v>
      </c>
      <c r="DM186" s="306">
        <v>9</v>
      </c>
      <c r="DN186" s="306">
        <v>109</v>
      </c>
      <c r="DO186" s="306">
        <v>52</v>
      </c>
      <c r="DP186" s="306">
        <v>68</v>
      </c>
      <c r="DQ186" s="306">
        <v>52</v>
      </c>
      <c r="DR186" s="306">
        <v>53</v>
      </c>
      <c r="DS186" s="306">
        <v>67</v>
      </c>
      <c r="DT186" s="306">
        <v>53</v>
      </c>
      <c r="DU186" s="306">
        <v>8</v>
      </c>
      <c r="DV186" s="306">
        <v>2</v>
      </c>
      <c r="DW186" s="306">
        <v>5</v>
      </c>
      <c r="DX186" s="306">
        <v>2</v>
      </c>
      <c r="DY186" s="306">
        <v>2</v>
      </c>
      <c r="DZ186" s="306">
        <v>5</v>
      </c>
      <c r="EA186" s="306">
        <v>2</v>
      </c>
      <c r="EB186" s="306">
        <v>120</v>
      </c>
      <c r="EC186" s="306">
        <v>120</v>
      </c>
      <c r="ED186" s="342"/>
      <c r="EE186" s="342"/>
    </row>
    <row r="187" spans="1:138" x14ac:dyDescent="0.2">
      <c r="A187" s="12" t="s">
        <v>142</v>
      </c>
      <c r="B187" s="169">
        <v>177</v>
      </c>
      <c r="C187" s="12" t="s">
        <v>166</v>
      </c>
      <c r="D187" s="13">
        <v>1970</v>
      </c>
      <c r="E187" s="11"/>
      <c r="F187" s="169" t="s">
        <v>20</v>
      </c>
      <c r="G187" s="35">
        <v>1</v>
      </c>
      <c r="H187" s="45">
        <v>5</v>
      </c>
      <c r="I187" s="1" t="s">
        <v>22</v>
      </c>
      <c r="J187" s="122">
        <f>12423</f>
        <v>12423</v>
      </c>
      <c r="K187" s="122">
        <f>960</f>
        <v>960</v>
      </c>
      <c r="L187" s="122">
        <f>1059</f>
        <v>1059</v>
      </c>
      <c r="M187" s="122"/>
      <c r="N187" s="122">
        <v>64</v>
      </c>
      <c r="O187" s="122">
        <v>128</v>
      </c>
      <c r="P187" s="122">
        <v>65</v>
      </c>
      <c r="Q187" s="122">
        <v>106</v>
      </c>
      <c r="R187" s="179">
        <v>2845.86</v>
      </c>
      <c r="S187" s="121">
        <v>1959.98</v>
      </c>
      <c r="T187" s="122">
        <f t="shared" si="117"/>
        <v>62</v>
      </c>
      <c r="U187" s="179">
        <f t="shared" si="171"/>
        <v>2770.9900000000002</v>
      </c>
      <c r="V187" s="180">
        <f t="shared" si="171"/>
        <v>1913.26</v>
      </c>
      <c r="W187" s="122">
        <v>2</v>
      </c>
      <c r="X187" s="180">
        <v>74.87</v>
      </c>
      <c r="Y187" s="180">
        <v>46.72</v>
      </c>
      <c r="Z187" s="122"/>
      <c r="AA187" s="180"/>
      <c r="AB187" s="180"/>
      <c r="AC187" s="180">
        <f t="shared" si="119"/>
        <v>756.97</v>
      </c>
      <c r="AD187" s="179">
        <f t="shared" si="120"/>
        <v>0</v>
      </c>
      <c r="AE187" s="271"/>
      <c r="AF187" s="179"/>
      <c r="AG187" s="180">
        <v>756.97</v>
      </c>
      <c r="AH187" s="180"/>
      <c r="AI187" s="180">
        <f t="shared" si="121"/>
        <v>3602.83</v>
      </c>
      <c r="AJ187" s="122"/>
      <c r="AK187" s="122"/>
      <c r="AL187" s="122">
        <f>4</f>
        <v>4</v>
      </c>
      <c r="AM187" s="122"/>
      <c r="AN187" s="122">
        <v>1</v>
      </c>
      <c r="AO187" s="122">
        <f>1</f>
        <v>1</v>
      </c>
      <c r="AP187" s="122">
        <f>2429</f>
        <v>2429</v>
      </c>
      <c r="AQ187" s="35"/>
      <c r="AR187" s="122">
        <f>467</f>
        <v>467</v>
      </c>
      <c r="AS187" s="122">
        <f>231</f>
        <v>231</v>
      </c>
      <c r="AT187" s="122">
        <f>51</f>
        <v>51</v>
      </c>
      <c r="AU187" s="122">
        <f t="shared" si="177"/>
        <v>2938</v>
      </c>
      <c r="AV187" s="122"/>
      <c r="AW187" s="122">
        <f>2938</f>
        <v>2938</v>
      </c>
      <c r="AX187" s="122">
        <f>1800</f>
        <v>1800</v>
      </c>
      <c r="AY187" s="122">
        <f>163</f>
        <v>163</v>
      </c>
      <c r="AZ187" s="122">
        <f>886</f>
        <v>886</v>
      </c>
      <c r="BA187" s="122">
        <f>886</f>
        <v>886</v>
      </c>
      <c r="BB187" s="122">
        <f>20</f>
        <v>20</v>
      </c>
      <c r="BC187" s="122">
        <f>13</f>
        <v>13</v>
      </c>
      <c r="BD187" s="122">
        <f>200</f>
        <v>200</v>
      </c>
      <c r="BE187" s="122">
        <f>64</f>
        <v>64</v>
      </c>
      <c r="BF187" s="122">
        <f>1</f>
        <v>1</v>
      </c>
      <c r="BG187" s="122">
        <f>15032</f>
        <v>15032</v>
      </c>
      <c r="BH187" s="122">
        <f>292</f>
        <v>292</v>
      </c>
      <c r="BI187" s="122"/>
      <c r="BJ187" s="115" t="str">
        <f t="shared" si="122"/>
        <v>0</v>
      </c>
      <c r="BK187" s="115" t="str">
        <f t="shared" si="123"/>
        <v>0</v>
      </c>
      <c r="BL187" s="115" t="str">
        <f t="shared" si="124"/>
        <v>0</v>
      </c>
      <c r="BM187" s="115">
        <f t="shared" si="125"/>
        <v>1</v>
      </c>
      <c r="BN187" s="115">
        <f t="shared" si="126"/>
        <v>2845.86</v>
      </c>
      <c r="BO187" s="115">
        <f t="shared" si="127"/>
        <v>1959.98</v>
      </c>
      <c r="BP187" s="115" t="str">
        <f t="shared" si="128"/>
        <v>0</v>
      </c>
      <c r="BQ187" s="115" t="str">
        <f t="shared" si="129"/>
        <v>0</v>
      </c>
      <c r="BR187" s="115" t="str">
        <f t="shared" si="130"/>
        <v>0</v>
      </c>
      <c r="BS187" s="115">
        <f>1</f>
        <v>1</v>
      </c>
      <c r="BT187" s="115">
        <f>1</f>
        <v>1</v>
      </c>
      <c r="BU187" s="122"/>
      <c r="BV187" s="115"/>
      <c r="BW187" s="115"/>
      <c r="BX187" s="115"/>
      <c r="BY187" s="275">
        <v>1159.51</v>
      </c>
      <c r="BZ187" s="253">
        <v>274.11</v>
      </c>
      <c r="CA187" s="354">
        <v>274.11</v>
      </c>
      <c r="CB187" s="354"/>
      <c r="CC187" s="354"/>
      <c r="CD187" s="354">
        <v>885.4</v>
      </c>
      <c r="CE187" s="354"/>
      <c r="CF187" s="354"/>
      <c r="CG187" s="354"/>
      <c r="CH187" s="355"/>
      <c r="CI187" s="356">
        <f t="shared" si="131"/>
        <v>1159.51</v>
      </c>
      <c r="CJ187" s="356">
        <f t="shared" si="116"/>
        <v>274.11</v>
      </c>
      <c r="CK187" s="357">
        <v>886</v>
      </c>
      <c r="CL187" s="358">
        <f t="shared" si="132"/>
        <v>2045.51</v>
      </c>
      <c r="CM187" s="157">
        <f>2661</f>
        <v>2661</v>
      </c>
      <c r="CN187" s="275">
        <f t="shared" si="133"/>
        <v>1701</v>
      </c>
      <c r="CO187" s="209" t="str">
        <f t="shared" si="178"/>
        <v>0</v>
      </c>
      <c r="CP187" s="235">
        <f t="shared" si="179"/>
        <v>0</v>
      </c>
      <c r="CQ187" s="209">
        <f t="shared" si="180"/>
        <v>1</v>
      </c>
      <c r="CR187" s="235">
        <f t="shared" si="181"/>
        <v>2938</v>
      </c>
      <c r="CS187" s="235">
        <f t="shared" si="182"/>
        <v>1</v>
      </c>
      <c r="CT187" s="235">
        <f t="shared" si="182"/>
        <v>2938</v>
      </c>
      <c r="CU187" s="156">
        <v>55</v>
      </c>
      <c r="CV187" s="284" t="str">
        <f t="shared" si="172"/>
        <v>0</v>
      </c>
      <c r="CW187" s="284" t="str">
        <f t="shared" si="173"/>
        <v>0</v>
      </c>
      <c r="CX187" s="243">
        <f t="shared" si="174"/>
        <v>2.6308391839373684</v>
      </c>
      <c r="CY187" s="216" t="str">
        <f t="shared" si="175"/>
        <v>0</v>
      </c>
      <c r="CZ187" s="216" t="str">
        <f t="shared" si="176"/>
        <v>0</v>
      </c>
      <c r="DA187" s="243">
        <f t="shared" si="139"/>
        <v>2.0780886136731405</v>
      </c>
      <c r="DB187" s="305">
        <v>1</v>
      </c>
      <c r="DC187" s="305">
        <v>0</v>
      </c>
      <c r="DD187" s="305">
        <v>0</v>
      </c>
      <c r="DE187" s="305">
        <v>0</v>
      </c>
      <c r="DF187" s="305">
        <f>2-1</f>
        <v>1</v>
      </c>
      <c r="DG187" s="305">
        <v>0</v>
      </c>
      <c r="DH187" s="305">
        <v>0</v>
      </c>
      <c r="DI187" s="305">
        <v>0</v>
      </c>
      <c r="DJ187" s="306">
        <v>0</v>
      </c>
      <c r="DK187" s="306">
        <f>143-79</f>
        <v>64</v>
      </c>
      <c r="DL187" s="306">
        <f t="shared" si="183"/>
        <v>57</v>
      </c>
      <c r="DM187" s="306">
        <v>7</v>
      </c>
      <c r="DN187" s="306">
        <v>57</v>
      </c>
      <c r="DO187" s="306">
        <v>28</v>
      </c>
      <c r="DP187" s="306">
        <v>36</v>
      </c>
      <c r="DQ187" s="306">
        <v>28</v>
      </c>
      <c r="DR187" s="306">
        <v>29</v>
      </c>
      <c r="DS187" s="306">
        <v>35</v>
      </c>
      <c r="DT187" s="306">
        <v>29</v>
      </c>
      <c r="DU187" s="306">
        <v>6</v>
      </c>
      <c r="DV187" s="306">
        <v>0</v>
      </c>
      <c r="DW187" s="306">
        <v>14</v>
      </c>
      <c r="DX187" s="306">
        <v>0</v>
      </c>
      <c r="DY187" s="306">
        <v>0</v>
      </c>
      <c r="DZ187" s="306">
        <v>14</v>
      </c>
      <c r="EA187" s="306">
        <v>0</v>
      </c>
      <c r="EB187" s="306">
        <f>143-79</f>
        <v>64</v>
      </c>
      <c r="EC187" s="306">
        <f>143-79</f>
        <v>64</v>
      </c>
      <c r="ED187" s="342"/>
      <c r="EE187" s="342"/>
    </row>
    <row r="188" spans="1:138" s="7" customFormat="1" ht="12.75" hidden="1" customHeight="1" outlineLevel="1" x14ac:dyDescent="0.2">
      <c r="A188" s="12"/>
      <c r="B188" s="169"/>
      <c r="C188" s="12"/>
      <c r="D188" s="13"/>
      <c r="E188" s="11"/>
      <c r="F188" s="169"/>
      <c r="G188" s="35"/>
      <c r="H188" s="1"/>
      <c r="I188" s="1"/>
      <c r="J188" s="122"/>
      <c r="K188" s="122"/>
      <c r="L188" s="122"/>
      <c r="M188" s="122"/>
      <c r="N188" s="122"/>
      <c r="O188" s="122"/>
      <c r="P188" s="122"/>
      <c r="Q188" s="122"/>
      <c r="R188" s="121"/>
      <c r="S188" s="121"/>
      <c r="T188" s="122"/>
      <c r="U188" s="122"/>
      <c r="V188" s="122"/>
      <c r="W188" s="122"/>
      <c r="X188" s="180"/>
      <c r="Y188" s="180"/>
      <c r="Z188" s="122"/>
      <c r="AA188" s="180"/>
      <c r="AB188" s="180"/>
      <c r="AC188" s="180"/>
      <c r="AD188" s="179"/>
      <c r="AE188" s="271"/>
      <c r="AF188" s="180"/>
      <c r="AG188" s="180"/>
      <c r="AH188" s="180"/>
      <c r="AI188" s="180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22"/>
      <c r="BV188" s="115"/>
      <c r="BW188" s="115"/>
      <c r="BX188" s="115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74"/>
      <c r="CN188" s="174"/>
      <c r="CU188" s="14"/>
      <c r="CV188" s="39"/>
      <c r="CW188" s="39"/>
      <c r="CX188" s="222"/>
      <c r="CY188" s="222"/>
      <c r="CZ188" s="222"/>
      <c r="DA188" s="222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342"/>
      <c r="EE188" s="342"/>
    </row>
    <row r="189" spans="1:138" s="7" customFormat="1" ht="12.75" hidden="1" customHeight="1" outlineLevel="1" x14ac:dyDescent="0.2">
      <c r="A189" s="12"/>
      <c r="B189" s="169"/>
      <c r="C189" s="12"/>
      <c r="D189" s="13"/>
      <c r="E189" s="11"/>
      <c r="F189" s="169"/>
      <c r="G189" s="35"/>
      <c r="H189" s="1"/>
      <c r="I189" s="1"/>
      <c r="J189" s="122"/>
      <c r="K189" s="122"/>
      <c r="L189" s="122"/>
      <c r="M189" s="122"/>
      <c r="N189" s="122"/>
      <c r="O189" s="122"/>
      <c r="P189" s="122"/>
      <c r="Q189" s="122"/>
      <c r="R189" s="121"/>
      <c r="S189" s="121"/>
      <c r="T189" s="122"/>
      <c r="U189" s="122"/>
      <c r="V189" s="122"/>
      <c r="W189" s="122"/>
      <c r="X189" s="180"/>
      <c r="Y189" s="180"/>
      <c r="Z189" s="122"/>
      <c r="AA189" s="180"/>
      <c r="AB189" s="180"/>
      <c r="AC189" s="180"/>
      <c r="AD189" s="179"/>
      <c r="AE189" s="271"/>
      <c r="AF189" s="180"/>
      <c r="AG189" s="180"/>
      <c r="AH189" s="180"/>
      <c r="AI189" s="180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22"/>
      <c r="BV189" s="115"/>
      <c r="BW189" s="115"/>
      <c r="BX189" s="115"/>
      <c r="BY189" s="183"/>
      <c r="BZ189" s="183"/>
      <c r="CA189" s="183"/>
      <c r="CB189" s="183"/>
      <c r="CC189" s="183"/>
      <c r="CD189" s="183"/>
      <c r="CE189" s="183"/>
      <c r="CF189" s="183"/>
      <c r="CG189" s="183"/>
      <c r="CH189" s="183"/>
      <c r="CI189" s="183"/>
      <c r="CJ189" s="183"/>
      <c r="CK189" s="183"/>
      <c r="CL189" s="183"/>
      <c r="CM189" s="174"/>
      <c r="CN189" s="174"/>
      <c r="CU189" s="14"/>
      <c r="CV189" s="39"/>
      <c r="CW189" s="39"/>
      <c r="CX189" s="222"/>
      <c r="CY189" s="222"/>
      <c r="CZ189" s="222"/>
      <c r="DA189" s="222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342"/>
      <c r="EE189" s="342"/>
    </row>
    <row r="190" spans="1:138" s="7" customFormat="1" ht="12.75" hidden="1" customHeight="1" outlineLevel="1" x14ac:dyDescent="0.2">
      <c r="A190" s="12"/>
      <c r="B190" s="169"/>
      <c r="C190" s="12"/>
      <c r="D190" s="13"/>
      <c r="E190" s="11"/>
      <c r="F190" s="169"/>
      <c r="G190" s="35"/>
      <c r="H190" s="1"/>
      <c r="I190" s="1"/>
      <c r="J190" s="122"/>
      <c r="K190" s="122"/>
      <c r="L190" s="122"/>
      <c r="M190" s="122"/>
      <c r="N190" s="122"/>
      <c r="O190" s="122"/>
      <c r="P190" s="122"/>
      <c r="Q190" s="122"/>
      <c r="R190" s="121"/>
      <c r="S190" s="121"/>
      <c r="T190" s="122"/>
      <c r="U190" s="122"/>
      <c r="V190" s="122"/>
      <c r="W190" s="122"/>
      <c r="X190" s="180"/>
      <c r="Y190" s="180"/>
      <c r="Z190" s="122"/>
      <c r="AA190" s="180"/>
      <c r="AB190" s="180"/>
      <c r="AC190" s="180"/>
      <c r="AD190" s="179"/>
      <c r="AE190" s="271"/>
      <c r="AF190" s="180"/>
      <c r="AG190" s="180"/>
      <c r="AH190" s="180"/>
      <c r="AI190" s="180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22"/>
      <c r="BV190" s="115"/>
      <c r="BW190" s="115"/>
      <c r="BX190" s="115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74"/>
      <c r="CN190" s="174"/>
      <c r="CU190" s="14"/>
      <c r="CV190" s="39"/>
      <c r="CW190" s="39"/>
      <c r="CX190" s="222"/>
      <c r="CY190" s="222"/>
      <c r="CZ190" s="222"/>
      <c r="DA190" s="222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342"/>
      <c r="EE190" s="342"/>
    </row>
    <row r="191" spans="1:138" s="7" customFormat="1" ht="12.75" hidden="1" customHeight="1" outlineLevel="1" x14ac:dyDescent="0.2">
      <c r="A191" s="12"/>
      <c r="B191" s="169"/>
      <c r="C191" s="12"/>
      <c r="D191" s="13"/>
      <c r="E191" s="11"/>
      <c r="F191" s="169"/>
      <c r="G191" s="35"/>
      <c r="H191" s="1"/>
      <c r="I191" s="1"/>
      <c r="J191" s="122"/>
      <c r="K191" s="122"/>
      <c r="L191" s="122"/>
      <c r="M191" s="122"/>
      <c r="N191" s="122"/>
      <c r="O191" s="122"/>
      <c r="P191" s="122"/>
      <c r="Q191" s="122"/>
      <c r="R191" s="121"/>
      <c r="S191" s="121"/>
      <c r="T191" s="122"/>
      <c r="U191" s="122"/>
      <c r="V191" s="122"/>
      <c r="W191" s="122"/>
      <c r="X191" s="180"/>
      <c r="Y191" s="180"/>
      <c r="Z191" s="122"/>
      <c r="AA191" s="180"/>
      <c r="AB191" s="180"/>
      <c r="AC191" s="180"/>
      <c r="AD191" s="179"/>
      <c r="AE191" s="271"/>
      <c r="AF191" s="180"/>
      <c r="AG191" s="180"/>
      <c r="AH191" s="180"/>
      <c r="AI191" s="180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22"/>
      <c r="BV191" s="115"/>
      <c r="BW191" s="115"/>
      <c r="BX191" s="115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74"/>
      <c r="CN191" s="174"/>
      <c r="CU191" s="14"/>
      <c r="CV191" s="39"/>
      <c r="CW191" s="39"/>
      <c r="CX191" s="222"/>
      <c r="CY191" s="222"/>
      <c r="CZ191" s="222"/>
      <c r="DA191" s="222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342"/>
      <c r="EE191" s="342"/>
    </row>
    <row r="192" spans="1:138" s="7" customFormat="1" ht="12.75" hidden="1" customHeight="1" outlineLevel="1" x14ac:dyDescent="0.2">
      <c r="A192" s="12"/>
      <c r="B192" s="169"/>
      <c r="C192" s="12"/>
      <c r="D192" s="13"/>
      <c r="E192" s="11"/>
      <c r="F192" s="169"/>
      <c r="G192" s="35"/>
      <c r="H192" s="1"/>
      <c r="I192" s="1"/>
      <c r="J192" s="122"/>
      <c r="K192" s="122"/>
      <c r="L192" s="122"/>
      <c r="M192" s="122"/>
      <c r="N192" s="122"/>
      <c r="O192" s="122"/>
      <c r="P192" s="122"/>
      <c r="Q192" s="122"/>
      <c r="R192" s="121"/>
      <c r="S192" s="121"/>
      <c r="T192" s="122"/>
      <c r="U192" s="122"/>
      <c r="V192" s="122"/>
      <c r="W192" s="122"/>
      <c r="X192" s="180"/>
      <c r="Y192" s="180"/>
      <c r="Z192" s="122"/>
      <c r="AA192" s="180"/>
      <c r="AB192" s="180"/>
      <c r="AC192" s="180"/>
      <c r="AD192" s="179"/>
      <c r="AE192" s="271"/>
      <c r="AF192" s="180"/>
      <c r="AG192" s="180"/>
      <c r="AH192" s="180"/>
      <c r="AI192" s="180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22"/>
      <c r="BV192" s="115"/>
      <c r="BW192" s="115"/>
      <c r="BX192" s="115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74"/>
      <c r="CN192" s="174"/>
      <c r="CU192" s="14"/>
      <c r="CV192" s="39"/>
      <c r="CW192" s="39"/>
      <c r="CX192" s="222"/>
      <c r="CY192" s="222"/>
      <c r="CZ192" s="222"/>
      <c r="DA192" s="222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342"/>
      <c r="EE192" s="342"/>
    </row>
    <row r="193" spans="1:135" s="7" customFormat="1" ht="12.75" hidden="1" customHeight="1" outlineLevel="1" x14ac:dyDescent="0.2">
      <c r="A193" s="12"/>
      <c r="B193" s="169"/>
      <c r="C193" s="12"/>
      <c r="D193" s="13"/>
      <c r="E193" s="11"/>
      <c r="F193" s="169"/>
      <c r="G193" s="35"/>
      <c r="H193" s="1"/>
      <c r="I193" s="1"/>
      <c r="J193" s="122"/>
      <c r="K193" s="122"/>
      <c r="L193" s="122"/>
      <c r="M193" s="122"/>
      <c r="N193" s="122"/>
      <c r="O193" s="122"/>
      <c r="P193" s="122"/>
      <c r="Q193" s="122"/>
      <c r="R193" s="121"/>
      <c r="S193" s="121"/>
      <c r="T193" s="122"/>
      <c r="U193" s="122"/>
      <c r="V193" s="122"/>
      <c r="W193" s="122"/>
      <c r="X193" s="180"/>
      <c r="Y193" s="180"/>
      <c r="Z193" s="122"/>
      <c r="AA193" s="180"/>
      <c r="AB193" s="180"/>
      <c r="AC193" s="180"/>
      <c r="AD193" s="179"/>
      <c r="AE193" s="271"/>
      <c r="AF193" s="180"/>
      <c r="AG193" s="180"/>
      <c r="AH193" s="180"/>
      <c r="AI193" s="180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22"/>
      <c r="BV193" s="115"/>
      <c r="BW193" s="115"/>
      <c r="BX193" s="115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74"/>
      <c r="CN193" s="174"/>
      <c r="CU193" s="14"/>
      <c r="CV193" s="39"/>
      <c r="CW193" s="39"/>
      <c r="CX193" s="222"/>
      <c r="CY193" s="222"/>
      <c r="CZ193" s="222"/>
      <c r="DA193" s="222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342"/>
      <c r="EE193" s="342"/>
    </row>
    <row r="194" spans="1:135" s="7" customFormat="1" ht="12.75" hidden="1" customHeight="1" outlineLevel="1" x14ac:dyDescent="0.2">
      <c r="A194" s="12"/>
      <c r="B194" s="169"/>
      <c r="C194" s="12"/>
      <c r="D194" s="13"/>
      <c r="E194" s="11"/>
      <c r="F194" s="169"/>
      <c r="G194" s="35"/>
      <c r="H194" s="1"/>
      <c r="I194" s="1"/>
      <c r="J194" s="122"/>
      <c r="K194" s="122"/>
      <c r="L194" s="122"/>
      <c r="M194" s="122"/>
      <c r="N194" s="122"/>
      <c r="O194" s="122"/>
      <c r="P194" s="122"/>
      <c r="Q194" s="122"/>
      <c r="R194" s="121"/>
      <c r="S194" s="121"/>
      <c r="T194" s="122"/>
      <c r="U194" s="122"/>
      <c r="V194" s="122"/>
      <c r="W194" s="122"/>
      <c r="X194" s="180"/>
      <c r="Y194" s="180"/>
      <c r="Z194" s="122"/>
      <c r="AA194" s="180"/>
      <c r="AB194" s="180"/>
      <c r="AC194" s="180"/>
      <c r="AD194" s="179"/>
      <c r="AE194" s="271"/>
      <c r="AF194" s="180"/>
      <c r="AG194" s="180"/>
      <c r="AH194" s="180"/>
      <c r="AI194" s="180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22"/>
      <c r="BV194" s="115"/>
      <c r="BW194" s="115"/>
      <c r="BX194" s="115"/>
      <c r="BY194" s="183"/>
      <c r="BZ194" s="183"/>
      <c r="CA194" s="183"/>
      <c r="CB194" s="183"/>
      <c r="CC194" s="183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74"/>
      <c r="CN194" s="174"/>
      <c r="CU194" s="14"/>
      <c r="CV194" s="39"/>
      <c r="CW194" s="39"/>
      <c r="CX194" s="222"/>
      <c r="CY194" s="222"/>
      <c r="CZ194" s="222"/>
      <c r="DA194" s="222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342"/>
      <c r="EE194" s="342"/>
    </row>
    <row r="195" spans="1:135" s="7" customFormat="1" ht="12.75" hidden="1" customHeight="1" outlineLevel="1" x14ac:dyDescent="0.2">
      <c r="A195" s="12"/>
      <c r="B195" s="169"/>
      <c r="C195" s="12"/>
      <c r="D195" s="13"/>
      <c r="E195" s="11"/>
      <c r="F195" s="169"/>
      <c r="G195" s="35"/>
      <c r="H195" s="1"/>
      <c r="I195" s="1"/>
      <c r="J195" s="122"/>
      <c r="K195" s="122"/>
      <c r="L195" s="122"/>
      <c r="M195" s="122"/>
      <c r="N195" s="122"/>
      <c r="O195" s="122"/>
      <c r="P195" s="122"/>
      <c r="Q195" s="122"/>
      <c r="R195" s="121"/>
      <c r="S195" s="121"/>
      <c r="T195" s="122"/>
      <c r="U195" s="122"/>
      <c r="V195" s="122"/>
      <c r="W195" s="122"/>
      <c r="X195" s="180"/>
      <c r="Y195" s="180"/>
      <c r="Z195" s="122"/>
      <c r="AA195" s="180"/>
      <c r="AB195" s="180"/>
      <c r="AC195" s="180"/>
      <c r="AD195" s="179"/>
      <c r="AE195" s="271"/>
      <c r="AF195" s="180"/>
      <c r="AG195" s="180"/>
      <c r="AH195" s="180"/>
      <c r="AI195" s="180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22"/>
      <c r="BV195" s="115"/>
      <c r="BW195" s="115"/>
      <c r="BX195" s="115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74"/>
      <c r="CN195" s="174"/>
      <c r="CU195" s="14"/>
      <c r="CV195" s="39"/>
      <c r="CW195" s="39"/>
      <c r="CX195" s="222"/>
      <c r="CY195" s="222"/>
      <c r="CZ195" s="222"/>
      <c r="DA195" s="222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342"/>
      <c r="EE195" s="342"/>
    </row>
    <row r="196" spans="1:135" s="7" customFormat="1" ht="12.75" hidden="1" customHeight="1" outlineLevel="1" x14ac:dyDescent="0.2">
      <c r="A196" s="12"/>
      <c r="B196" s="169"/>
      <c r="C196" s="12"/>
      <c r="D196" s="13"/>
      <c r="E196" s="11"/>
      <c r="F196" s="169"/>
      <c r="G196" s="35"/>
      <c r="H196" s="1"/>
      <c r="I196" s="1"/>
      <c r="J196" s="122"/>
      <c r="K196" s="122"/>
      <c r="L196" s="122"/>
      <c r="M196" s="122"/>
      <c r="N196" s="122"/>
      <c r="O196" s="122"/>
      <c r="P196" s="122"/>
      <c r="Q196" s="122"/>
      <c r="R196" s="121"/>
      <c r="S196" s="121"/>
      <c r="T196" s="122"/>
      <c r="U196" s="122"/>
      <c r="V196" s="122"/>
      <c r="W196" s="122"/>
      <c r="X196" s="180"/>
      <c r="Y196" s="180"/>
      <c r="Z196" s="122"/>
      <c r="AA196" s="180"/>
      <c r="AB196" s="180"/>
      <c r="AC196" s="180"/>
      <c r="AD196" s="179"/>
      <c r="AE196" s="271"/>
      <c r="AF196" s="180"/>
      <c r="AG196" s="180"/>
      <c r="AH196" s="180"/>
      <c r="AI196" s="180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22"/>
      <c r="BV196" s="115"/>
      <c r="BW196" s="115"/>
      <c r="BX196" s="115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74"/>
      <c r="CN196" s="174"/>
      <c r="CU196" s="14"/>
      <c r="CV196" s="39"/>
      <c r="CW196" s="39"/>
      <c r="CX196" s="222"/>
      <c r="CY196" s="222"/>
      <c r="CZ196" s="222"/>
      <c r="DA196" s="222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342"/>
      <c r="EE196" s="342"/>
    </row>
    <row r="197" spans="1:135" s="7" customFormat="1" ht="12.75" hidden="1" customHeight="1" outlineLevel="1" x14ac:dyDescent="0.2">
      <c r="A197" s="12"/>
      <c r="B197" s="169"/>
      <c r="C197" s="12"/>
      <c r="D197" s="13"/>
      <c r="E197" s="11"/>
      <c r="F197" s="169"/>
      <c r="G197" s="35"/>
      <c r="H197" s="1"/>
      <c r="I197" s="1"/>
      <c r="J197" s="122"/>
      <c r="K197" s="122"/>
      <c r="L197" s="122"/>
      <c r="M197" s="122"/>
      <c r="N197" s="122"/>
      <c r="O197" s="122"/>
      <c r="P197" s="122"/>
      <c r="Q197" s="122"/>
      <c r="R197" s="121"/>
      <c r="S197" s="121"/>
      <c r="T197" s="122"/>
      <c r="U197" s="122"/>
      <c r="V197" s="122"/>
      <c r="W197" s="122"/>
      <c r="X197" s="180"/>
      <c r="Y197" s="180"/>
      <c r="Z197" s="122"/>
      <c r="AA197" s="180"/>
      <c r="AB197" s="180"/>
      <c r="AC197" s="180"/>
      <c r="AD197" s="179"/>
      <c r="AE197" s="271"/>
      <c r="AF197" s="180"/>
      <c r="AG197" s="180"/>
      <c r="AH197" s="180"/>
      <c r="AI197" s="180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22"/>
      <c r="BV197" s="115"/>
      <c r="BW197" s="115"/>
      <c r="BX197" s="115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74"/>
      <c r="CN197" s="174"/>
      <c r="CU197" s="14"/>
      <c r="CV197" s="39"/>
      <c r="CW197" s="39"/>
      <c r="CX197" s="222"/>
      <c r="CY197" s="222"/>
      <c r="CZ197" s="222"/>
      <c r="DA197" s="222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342"/>
      <c r="EE197" s="342"/>
    </row>
    <row r="198" spans="1:135" s="7" customFormat="1" ht="12.75" hidden="1" customHeight="1" outlineLevel="1" x14ac:dyDescent="0.2">
      <c r="A198" s="12"/>
      <c r="B198" s="169"/>
      <c r="C198" s="12"/>
      <c r="D198" s="13"/>
      <c r="E198" s="11"/>
      <c r="F198" s="169"/>
      <c r="G198" s="35"/>
      <c r="H198" s="1"/>
      <c r="I198" s="1"/>
      <c r="J198" s="122"/>
      <c r="K198" s="122"/>
      <c r="L198" s="122"/>
      <c r="M198" s="122"/>
      <c r="N198" s="122"/>
      <c r="O198" s="122"/>
      <c r="P198" s="122"/>
      <c r="Q198" s="122"/>
      <c r="R198" s="121"/>
      <c r="S198" s="121"/>
      <c r="T198" s="122"/>
      <c r="U198" s="122"/>
      <c r="V198" s="122"/>
      <c r="W198" s="122"/>
      <c r="X198" s="180"/>
      <c r="Y198" s="180"/>
      <c r="Z198" s="122"/>
      <c r="AA198" s="180"/>
      <c r="AB198" s="180"/>
      <c r="AC198" s="180"/>
      <c r="AD198" s="179"/>
      <c r="AE198" s="271"/>
      <c r="AF198" s="180"/>
      <c r="AG198" s="180"/>
      <c r="AH198" s="180"/>
      <c r="AI198" s="180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22"/>
      <c r="BV198" s="115"/>
      <c r="BW198" s="115"/>
      <c r="BX198" s="115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74"/>
      <c r="CN198" s="174"/>
      <c r="CU198" s="14"/>
      <c r="CV198" s="39"/>
      <c r="CW198" s="39"/>
      <c r="CX198" s="222"/>
      <c r="CY198" s="222"/>
      <c r="CZ198" s="222"/>
      <c r="DA198" s="222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342"/>
      <c r="EE198" s="342"/>
    </row>
    <row r="199" spans="1:135" s="7" customFormat="1" ht="12.75" hidden="1" customHeight="1" outlineLevel="1" x14ac:dyDescent="0.2">
      <c r="A199" s="12"/>
      <c r="B199" s="169"/>
      <c r="C199" s="12"/>
      <c r="D199" s="13"/>
      <c r="E199" s="11"/>
      <c r="F199" s="169"/>
      <c r="G199" s="35"/>
      <c r="H199" s="1"/>
      <c r="I199" s="1"/>
      <c r="J199" s="122"/>
      <c r="K199" s="122"/>
      <c r="L199" s="122"/>
      <c r="M199" s="122"/>
      <c r="N199" s="122"/>
      <c r="O199" s="122"/>
      <c r="P199" s="122"/>
      <c r="Q199" s="122"/>
      <c r="R199" s="121"/>
      <c r="S199" s="121"/>
      <c r="T199" s="122"/>
      <c r="U199" s="122"/>
      <c r="V199" s="122"/>
      <c r="W199" s="122"/>
      <c r="X199" s="180"/>
      <c r="Y199" s="180"/>
      <c r="Z199" s="122"/>
      <c r="AA199" s="180"/>
      <c r="AB199" s="180"/>
      <c r="AC199" s="180"/>
      <c r="AD199" s="179"/>
      <c r="AE199" s="271"/>
      <c r="AF199" s="180"/>
      <c r="AG199" s="180"/>
      <c r="AH199" s="180"/>
      <c r="AI199" s="180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22"/>
      <c r="BV199" s="115"/>
      <c r="BW199" s="115"/>
      <c r="BX199" s="115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74"/>
      <c r="CN199" s="174"/>
      <c r="CU199" s="14"/>
      <c r="CV199" s="39"/>
      <c r="CW199" s="39"/>
      <c r="CX199" s="222"/>
      <c r="CY199" s="222"/>
      <c r="CZ199" s="222"/>
      <c r="DA199" s="222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342"/>
      <c r="EE199" s="342"/>
    </row>
    <row r="200" spans="1:135" s="7" customFormat="1" ht="12.75" hidden="1" customHeight="1" outlineLevel="1" x14ac:dyDescent="0.2">
      <c r="A200" s="12"/>
      <c r="B200" s="169"/>
      <c r="C200" s="12"/>
      <c r="D200" s="13"/>
      <c r="E200" s="11"/>
      <c r="F200" s="169"/>
      <c r="G200" s="35"/>
      <c r="H200" s="1"/>
      <c r="I200" s="1"/>
      <c r="J200" s="122"/>
      <c r="K200" s="122"/>
      <c r="L200" s="122"/>
      <c r="M200" s="122"/>
      <c r="N200" s="122"/>
      <c r="O200" s="122"/>
      <c r="P200" s="122"/>
      <c r="Q200" s="122"/>
      <c r="R200" s="121"/>
      <c r="S200" s="121"/>
      <c r="T200" s="122"/>
      <c r="U200" s="122"/>
      <c r="V200" s="122"/>
      <c r="W200" s="122"/>
      <c r="X200" s="180"/>
      <c r="Y200" s="180"/>
      <c r="Z200" s="122"/>
      <c r="AA200" s="180"/>
      <c r="AB200" s="180"/>
      <c r="AC200" s="180"/>
      <c r="AD200" s="179"/>
      <c r="AE200" s="271"/>
      <c r="AF200" s="180"/>
      <c r="AG200" s="180"/>
      <c r="AH200" s="180"/>
      <c r="AI200" s="180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22"/>
      <c r="BV200" s="115"/>
      <c r="BW200" s="115"/>
      <c r="BX200" s="115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74"/>
      <c r="CN200" s="174"/>
      <c r="CU200" s="14"/>
      <c r="CV200" s="39"/>
      <c r="CW200" s="39"/>
      <c r="CX200" s="222"/>
      <c r="CY200" s="222"/>
      <c r="CZ200" s="222"/>
      <c r="DA200" s="222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342"/>
      <c r="EE200" s="342"/>
    </row>
    <row r="201" spans="1:135" s="7" customFormat="1" ht="12.75" hidden="1" customHeight="1" outlineLevel="1" x14ac:dyDescent="0.2">
      <c r="A201" s="12"/>
      <c r="B201" s="169"/>
      <c r="C201" s="12"/>
      <c r="D201" s="13"/>
      <c r="E201" s="11"/>
      <c r="F201" s="169"/>
      <c r="G201" s="35"/>
      <c r="H201" s="1"/>
      <c r="I201" s="1"/>
      <c r="J201" s="122"/>
      <c r="K201" s="122"/>
      <c r="L201" s="122"/>
      <c r="M201" s="122"/>
      <c r="N201" s="122"/>
      <c r="O201" s="122"/>
      <c r="P201" s="122"/>
      <c r="Q201" s="122"/>
      <c r="R201" s="121"/>
      <c r="S201" s="121"/>
      <c r="T201" s="122"/>
      <c r="U201" s="122"/>
      <c r="V201" s="122"/>
      <c r="W201" s="122"/>
      <c r="X201" s="180"/>
      <c r="Y201" s="180"/>
      <c r="Z201" s="122"/>
      <c r="AA201" s="180"/>
      <c r="AB201" s="180"/>
      <c r="AC201" s="180"/>
      <c r="AD201" s="179"/>
      <c r="AE201" s="271"/>
      <c r="AF201" s="180"/>
      <c r="AG201" s="180"/>
      <c r="AH201" s="180"/>
      <c r="AI201" s="180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22"/>
      <c r="BV201" s="115"/>
      <c r="BW201" s="115"/>
      <c r="BX201" s="115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74"/>
      <c r="CN201" s="174"/>
      <c r="CU201" s="14"/>
      <c r="CV201" s="39"/>
      <c r="CW201" s="39"/>
      <c r="CX201" s="222"/>
      <c r="CY201" s="222"/>
      <c r="CZ201" s="222"/>
      <c r="DA201" s="222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342"/>
      <c r="EE201" s="342"/>
    </row>
    <row r="202" spans="1:135" s="7" customFormat="1" ht="12.75" hidden="1" customHeight="1" outlineLevel="1" x14ac:dyDescent="0.2">
      <c r="A202" s="12"/>
      <c r="B202" s="169"/>
      <c r="C202" s="12"/>
      <c r="D202" s="13"/>
      <c r="E202" s="11"/>
      <c r="F202" s="169"/>
      <c r="G202" s="35"/>
      <c r="H202" s="1"/>
      <c r="I202" s="1"/>
      <c r="J202" s="122"/>
      <c r="K202" s="122"/>
      <c r="L202" s="122"/>
      <c r="M202" s="122"/>
      <c r="N202" s="122"/>
      <c r="O202" s="122"/>
      <c r="P202" s="122"/>
      <c r="Q202" s="122"/>
      <c r="R202" s="121"/>
      <c r="S202" s="121"/>
      <c r="T202" s="122"/>
      <c r="U202" s="122"/>
      <c r="V202" s="122"/>
      <c r="W202" s="122"/>
      <c r="X202" s="180"/>
      <c r="Y202" s="180"/>
      <c r="Z202" s="122"/>
      <c r="AA202" s="180"/>
      <c r="AB202" s="180"/>
      <c r="AC202" s="180"/>
      <c r="AD202" s="179"/>
      <c r="AE202" s="271"/>
      <c r="AF202" s="180"/>
      <c r="AG202" s="180"/>
      <c r="AH202" s="180"/>
      <c r="AI202" s="180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22"/>
      <c r="BV202" s="115"/>
      <c r="BW202" s="115"/>
      <c r="BX202" s="115"/>
      <c r="BY202" s="183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74"/>
      <c r="CN202" s="174"/>
      <c r="CU202" s="14"/>
      <c r="CV202" s="39"/>
      <c r="CW202" s="39"/>
      <c r="CX202" s="222"/>
      <c r="CY202" s="222"/>
      <c r="CZ202" s="222"/>
      <c r="DA202" s="222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342"/>
      <c r="EE202" s="342"/>
    </row>
    <row r="203" spans="1:135" s="7" customFormat="1" ht="12.75" hidden="1" customHeight="1" outlineLevel="1" x14ac:dyDescent="0.2">
      <c r="A203" s="12"/>
      <c r="B203" s="169"/>
      <c r="C203" s="12"/>
      <c r="D203" s="13"/>
      <c r="E203" s="11"/>
      <c r="F203" s="169"/>
      <c r="G203" s="35"/>
      <c r="H203" s="1"/>
      <c r="I203" s="1"/>
      <c r="J203" s="122"/>
      <c r="K203" s="122"/>
      <c r="L203" s="122"/>
      <c r="M203" s="122"/>
      <c r="N203" s="122"/>
      <c r="O203" s="122"/>
      <c r="P203" s="122"/>
      <c r="Q203" s="122"/>
      <c r="R203" s="121"/>
      <c r="S203" s="121"/>
      <c r="T203" s="122"/>
      <c r="U203" s="122"/>
      <c r="V203" s="122"/>
      <c r="W203" s="122"/>
      <c r="X203" s="180"/>
      <c r="Y203" s="180"/>
      <c r="Z203" s="122"/>
      <c r="AA203" s="180"/>
      <c r="AB203" s="180"/>
      <c r="AC203" s="180"/>
      <c r="AD203" s="179"/>
      <c r="AE203" s="271"/>
      <c r="AF203" s="180"/>
      <c r="AG203" s="180"/>
      <c r="AH203" s="180"/>
      <c r="AI203" s="180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22"/>
      <c r="BV203" s="115"/>
      <c r="BW203" s="115"/>
      <c r="BX203" s="115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74"/>
      <c r="CN203" s="174"/>
      <c r="CU203" s="14"/>
      <c r="CV203" s="39"/>
      <c r="CW203" s="39"/>
      <c r="CX203" s="222"/>
      <c r="CY203" s="222"/>
      <c r="CZ203" s="222"/>
      <c r="DA203" s="222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342"/>
      <c r="EE203" s="342"/>
    </row>
    <row r="204" spans="1:135" s="7" customFormat="1" ht="12.75" hidden="1" customHeight="1" outlineLevel="1" x14ac:dyDescent="0.2">
      <c r="A204" s="12"/>
      <c r="B204" s="169"/>
      <c r="C204" s="12"/>
      <c r="D204" s="13"/>
      <c r="E204" s="11"/>
      <c r="F204" s="169"/>
      <c r="G204" s="35"/>
      <c r="H204" s="1"/>
      <c r="I204" s="1"/>
      <c r="J204" s="122"/>
      <c r="K204" s="122"/>
      <c r="L204" s="122"/>
      <c r="M204" s="122"/>
      <c r="N204" s="122"/>
      <c r="O204" s="122"/>
      <c r="P204" s="122"/>
      <c r="Q204" s="122"/>
      <c r="R204" s="121"/>
      <c r="S204" s="121"/>
      <c r="T204" s="122"/>
      <c r="U204" s="122"/>
      <c r="V204" s="122"/>
      <c r="W204" s="122"/>
      <c r="X204" s="180"/>
      <c r="Y204" s="180"/>
      <c r="Z204" s="122"/>
      <c r="AA204" s="180"/>
      <c r="AB204" s="180"/>
      <c r="AC204" s="180"/>
      <c r="AD204" s="179"/>
      <c r="AE204" s="271"/>
      <c r="AF204" s="180"/>
      <c r="AG204" s="180"/>
      <c r="AH204" s="180"/>
      <c r="AI204" s="180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22"/>
      <c r="BV204" s="115"/>
      <c r="BW204" s="115"/>
      <c r="BX204" s="115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74"/>
      <c r="CN204" s="174"/>
      <c r="CU204" s="14"/>
      <c r="CV204" s="39"/>
      <c r="CW204" s="39"/>
      <c r="CX204" s="222"/>
      <c r="CY204" s="222"/>
      <c r="CZ204" s="222"/>
      <c r="DA204" s="222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342"/>
      <c r="EE204" s="342"/>
    </row>
    <row r="205" spans="1:135" s="7" customFormat="1" ht="12.75" hidden="1" customHeight="1" outlineLevel="1" x14ac:dyDescent="0.2">
      <c r="A205" s="12"/>
      <c r="B205" s="169"/>
      <c r="C205" s="12"/>
      <c r="D205" s="13"/>
      <c r="E205" s="11"/>
      <c r="F205" s="169"/>
      <c r="G205" s="35"/>
      <c r="H205" s="1"/>
      <c r="I205" s="1"/>
      <c r="J205" s="122"/>
      <c r="K205" s="122"/>
      <c r="L205" s="122"/>
      <c r="M205" s="122"/>
      <c r="N205" s="122"/>
      <c r="O205" s="122"/>
      <c r="P205" s="122"/>
      <c r="Q205" s="122"/>
      <c r="R205" s="121"/>
      <c r="S205" s="121"/>
      <c r="T205" s="122"/>
      <c r="U205" s="122"/>
      <c r="V205" s="122"/>
      <c r="W205" s="122"/>
      <c r="X205" s="180"/>
      <c r="Y205" s="180"/>
      <c r="Z205" s="122"/>
      <c r="AA205" s="180"/>
      <c r="AB205" s="180"/>
      <c r="AC205" s="180"/>
      <c r="AD205" s="179"/>
      <c r="AE205" s="271"/>
      <c r="AF205" s="180"/>
      <c r="AG205" s="180"/>
      <c r="AH205" s="180"/>
      <c r="AI205" s="180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22"/>
      <c r="BV205" s="115"/>
      <c r="BW205" s="115"/>
      <c r="BX205" s="115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74"/>
      <c r="CN205" s="174"/>
      <c r="CU205" s="14"/>
      <c r="CV205" s="39"/>
      <c r="CW205" s="39"/>
      <c r="CX205" s="222"/>
      <c r="CY205" s="222"/>
      <c r="CZ205" s="222"/>
      <c r="DA205" s="222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342"/>
      <c r="EE205" s="342"/>
    </row>
    <row r="206" spans="1:135" s="7" customFormat="1" ht="12.75" hidden="1" customHeight="1" outlineLevel="1" x14ac:dyDescent="0.2">
      <c r="A206" s="12"/>
      <c r="B206" s="169"/>
      <c r="C206" s="12"/>
      <c r="D206" s="13"/>
      <c r="E206" s="11"/>
      <c r="F206" s="169"/>
      <c r="G206" s="35"/>
      <c r="H206" s="1"/>
      <c r="I206" s="1"/>
      <c r="J206" s="122"/>
      <c r="K206" s="122"/>
      <c r="L206" s="122"/>
      <c r="M206" s="122"/>
      <c r="N206" s="122"/>
      <c r="O206" s="122"/>
      <c r="P206" s="122"/>
      <c r="Q206" s="122"/>
      <c r="R206" s="121"/>
      <c r="S206" s="121"/>
      <c r="T206" s="122"/>
      <c r="U206" s="122"/>
      <c r="V206" s="122"/>
      <c r="W206" s="122"/>
      <c r="X206" s="180"/>
      <c r="Y206" s="180"/>
      <c r="Z206" s="122"/>
      <c r="AA206" s="180"/>
      <c r="AB206" s="180"/>
      <c r="AC206" s="180"/>
      <c r="AD206" s="179"/>
      <c r="AE206" s="271"/>
      <c r="AF206" s="180"/>
      <c r="AG206" s="180"/>
      <c r="AH206" s="180"/>
      <c r="AI206" s="180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22"/>
      <c r="BV206" s="115"/>
      <c r="BW206" s="115"/>
      <c r="BX206" s="115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74"/>
      <c r="CN206" s="174"/>
      <c r="CU206" s="14"/>
      <c r="CV206" s="39"/>
      <c r="CW206" s="39"/>
      <c r="CX206" s="222"/>
      <c r="CY206" s="222"/>
      <c r="CZ206" s="222"/>
      <c r="DA206" s="222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342"/>
      <c r="EE206" s="342"/>
    </row>
    <row r="207" spans="1:135" s="7" customFormat="1" ht="12.75" hidden="1" customHeight="1" outlineLevel="1" x14ac:dyDescent="0.2">
      <c r="A207" s="12"/>
      <c r="B207" s="169"/>
      <c r="C207" s="12"/>
      <c r="D207" s="13"/>
      <c r="E207" s="11"/>
      <c r="F207" s="169"/>
      <c r="G207" s="35"/>
      <c r="H207" s="1"/>
      <c r="I207" s="1"/>
      <c r="J207" s="122"/>
      <c r="K207" s="122"/>
      <c r="L207" s="122"/>
      <c r="M207" s="122"/>
      <c r="N207" s="122"/>
      <c r="O207" s="122"/>
      <c r="P207" s="122"/>
      <c r="Q207" s="122"/>
      <c r="R207" s="121"/>
      <c r="S207" s="121"/>
      <c r="T207" s="122"/>
      <c r="U207" s="122"/>
      <c r="V207" s="122"/>
      <c r="W207" s="122"/>
      <c r="X207" s="180"/>
      <c r="Y207" s="180"/>
      <c r="Z207" s="122"/>
      <c r="AA207" s="180"/>
      <c r="AB207" s="180"/>
      <c r="AC207" s="180"/>
      <c r="AD207" s="179"/>
      <c r="AE207" s="271"/>
      <c r="AF207" s="180"/>
      <c r="AG207" s="180"/>
      <c r="AH207" s="180"/>
      <c r="AI207" s="180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22"/>
      <c r="BV207" s="115"/>
      <c r="BW207" s="115"/>
      <c r="BX207" s="115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74"/>
      <c r="CN207" s="174"/>
      <c r="CU207" s="14"/>
      <c r="CV207" s="39"/>
      <c r="CW207" s="39"/>
      <c r="CX207" s="222"/>
      <c r="CY207" s="222"/>
      <c r="CZ207" s="222"/>
      <c r="DA207" s="222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342"/>
      <c r="EE207" s="342"/>
    </row>
    <row r="208" spans="1:135" s="7" customFormat="1" ht="12.75" hidden="1" customHeight="1" outlineLevel="1" x14ac:dyDescent="0.2">
      <c r="A208" s="12"/>
      <c r="B208" s="169"/>
      <c r="C208" s="12"/>
      <c r="D208" s="13"/>
      <c r="E208" s="11"/>
      <c r="F208" s="169"/>
      <c r="G208" s="35"/>
      <c r="H208" s="1"/>
      <c r="I208" s="1"/>
      <c r="J208" s="122"/>
      <c r="K208" s="122"/>
      <c r="L208" s="122"/>
      <c r="M208" s="122"/>
      <c r="N208" s="122"/>
      <c r="O208" s="122"/>
      <c r="P208" s="122"/>
      <c r="Q208" s="122"/>
      <c r="R208" s="121"/>
      <c r="S208" s="121"/>
      <c r="T208" s="122"/>
      <c r="U208" s="122"/>
      <c r="V208" s="122"/>
      <c r="W208" s="122"/>
      <c r="X208" s="180"/>
      <c r="Y208" s="180"/>
      <c r="Z208" s="122"/>
      <c r="AA208" s="180"/>
      <c r="AB208" s="180"/>
      <c r="AC208" s="180"/>
      <c r="AD208" s="179"/>
      <c r="AE208" s="271"/>
      <c r="AF208" s="180"/>
      <c r="AG208" s="180"/>
      <c r="AH208" s="180"/>
      <c r="AI208" s="180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22"/>
      <c r="BV208" s="115"/>
      <c r="BW208" s="115"/>
      <c r="BX208" s="115"/>
      <c r="BY208" s="183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74"/>
      <c r="CN208" s="174"/>
      <c r="CU208" s="14"/>
      <c r="CV208" s="39"/>
      <c r="CW208" s="39"/>
      <c r="CX208" s="222"/>
      <c r="CY208" s="222"/>
      <c r="CZ208" s="222"/>
      <c r="DA208" s="222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342"/>
      <c r="EE208" s="342"/>
    </row>
    <row r="209" spans="1:135" s="7" customFormat="1" ht="12.75" hidden="1" customHeight="1" outlineLevel="1" x14ac:dyDescent="0.2">
      <c r="A209" s="12"/>
      <c r="B209" s="169"/>
      <c r="C209" s="12"/>
      <c r="D209" s="13"/>
      <c r="E209" s="11"/>
      <c r="F209" s="169"/>
      <c r="G209" s="35"/>
      <c r="H209" s="1"/>
      <c r="I209" s="1"/>
      <c r="J209" s="122"/>
      <c r="K209" s="122"/>
      <c r="L209" s="122"/>
      <c r="M209" s="122"/>
      <c r="N209" s="122"/>
      <c r="O209" s="122"/>
      <c r="P209" s="122"/>
      <c r="Q209" s="122"/>
      <c r="R209" s="121"/>
      <c r="S209" s="121"/>
      <c r="T209" s="122"/>
      <c r="U209" s="122"/>
      <c r="V209" s="122"/>
      <c r="W209" s="122"/>
      <c r="X209" s="180"/>
      <c r="Y209" s="180"/>
      <c r="Z209" s="122"/>
      <c r="AA209" s="180"/>
      <c r="AB209" s="180"/>
      <c r="AC209" s="180"/>
      <c r="AD209" s="179"/>
      <c r="AE209" s="271"/>
      <c r="AF209" s="180"/>
      <c r="AG209" s="180"/>
      <c r="AH209" s="180"/>
      <c r="AI209" s="180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22"/>
      <c r="BV209" s="115"/>
      <c r="BW209" s="115"/>
      <c r="BX209" s="115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74"/>
      <c r="CN209" s="174"/>
      <c r="CU209" s="14"/>
      <c r="CV209" s="39"/>
      <c r="CW209" s="39"/>
      <c r="CX209" s="222"/>
      <c r="CY209" s="222"/>
      <c r="CZ209" s="222"/>
      <c r="DA209" s="222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342"/>
      <c r="EE209" s="342"/>
    </row>
    <row r="210" spans="1:135" s="7" customFormat="1" ht="12.75" hidden="1" customHeight="1" outlineLevel="1" x14ac:dyDescent="0.2">
      <c r="A210" s="12"/>
      <c r="B210" s="169"/>
      <c r="C210" s="12"/>
      <c r="D210" s="13"/>
      <c r="E210" s="11"/>
      <c r="F210" s="169"/>
      <c r="G210" s="35"/>
      <c r="H210" s="1"/>
      <c r="I210" s="1"/>
      <c r="J210" s="122"/>
      <c r="K210" s="122"/>
      <c r="L210" s="122"/>
      <c r="M210" s="122"/>
      <c r="N210" s="122"/>
      <c r="O210" s="122"/>
      <c r="P210" s="122"/>
      <c r="Q210" s="122"/>
      <c r="R210" s="121"/>
      <c r="S210" s="121"/>
      <c r="T210" s="122"/>
      <c r="U210" s="122"/>
      <c r="V210" s="122"/>
      <c r="W210" s="122"/>
      <c r="X210" s="180"/>
      <c r="Y210" s="180"/>
      <c r="Z210" s="122"/>
      <c r="AA210" s="180"/>
      <c r="AB210" s="180"/>
      <c r="AC210" s="180"/>
      <c r="AD210" s="179"/>
      <c r="AE210" s="271"/>
      <c r="AF210" s="180"/>
      <c r="AG210" s="180"/>
      <c r="AH210" s="180"/>
      <c r="AI210" s="180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22"/>
      <c r="BV210" s="115"/>
      <c r="BW210" s="115"/>
      <c r="BX210" s="115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74"/>
      <c r="CN210" s="174"/>
      <c r="CU210" s="14"/>
      <c r="CV210" s="39"/>
      <c r="CW210" s="39"/>
      <c r="CX210" s="222"/>
      <c r="CY210" s="222"/>
      <c r="CZ210" s="222"/>
      <c r="DA210" s="222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342"/>
      <c r="EE210" s="342"/>
    </row>
    <row r="211" spans="1:135" s="7" customFormat="1" ht="12.75" hidden="1" customHeight="1" outlineLevel="1" x14ac:dyDescent="0.2">
      <c r="A211" s="12"/>
      <c r="B211" s="169"/>
      <c r="C211" s="12"/>
      <c r="D211" s="13"/>
      <c r="E211" s="11"/>
      <c r="F211" s="169"/>
      <c r="G211" s="35"/>
      <c r="H211" s="1"/>
      <c r="I211" s="1"/>
      <c r="J211" s="122"/>
      <c r="K211" s="122"/>
      <c r="L211" s="122"/>
      <c r="M211" s="122"/>
      <c r="N211" s="122"/>
      <c r="O211" s="122"/>
      <c r="P211" s="122"/>
      <c r="Q211" s="122"/>
      <c r="R211" s="121"/>
      <c r="S211" s="121"/>
      <c r="T211" s="122"/>
      <c r="U211" s="122"/>
      <c r="V211" s="122"/>
      <c r="W211" s="122"/>
      <c r="X211" s="180"/>
      <c r="Y211" s="180"/>
      <c r="Z211" s="122"/>
      <c r="AA211" s="180"/>
      <c r="AB211" s="180"/>
      <c r="AC211" s="180"/>
      <c r="AD211" s="179"/>
      <c r="AE211" s="271"/>
      <c r="AF211" s="180"/>
      <c r="AG211" s="180"/>
      <c r="AH211" s="180"/>
      <c r="AI211" s="180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22"/>
      <c r="BV211" s="115"/>
      <c r="BW211" s="115"/>
      <c r="BX211" s="115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74"/>
      <c r="CN211" s="174"/>
      <c r="CU211" s="14"/>
      <c r="CV211" s="39"/>
      <c r="CW211" s="39"/>
      <c r="CX211" s="222"/>
      <c r="CY211" s="222"/>
      <c r="CZ211" s="222"/>
      <c r="DA211" s="222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342"/>
      <c r="EE211" s="342"/>
    </row>
    <row r="212" spans="1:135" s="7" customFormat="1" ht="12.75" hidden="1" customHeight="1" outlineLevel="1" x14ac:dyDescent="0.2">
      <c r="A212" s="12"/>
      <c r="B212" s="169"/>
      <c r="C212" s="12"/>
      <c r="D212" s="13"/>
      <c r="E212" s="11"/>
      <c r="F212" s="169"/>
      <c r="G212" s="35"/>
      <c r="H212" s="1"/>
      <c r="I212" s="1"/>
      <c r="J212" s="122"/>
      <c r="K212" s="122"/>
      <c r="L212" s="122"/>
      <c r="M212" s="122"/>
      <c r="N212" s="122"/>
      <c r="O212" s="122"/>
      <c r="P212" s="122"/>
      <c r="Q212" s="122"/>
      <c r="R212" s="121"/>
      <c r="S212" s="121"/>
      <c r="T212" s="122"/>
      <c r="U212" s="122"/>
      <c r="V212" s="122"/>
      <c r="W212" s="122"/>
      <c r="X212" s="180"/>
      <c r="Y212" s="180"/>
      <c r="Z212" s="122"/>
      <c r="AA212" s="180"/>
      <c r="AB212" s="180"/>
      <c r="AC212" s="180"/>
      <c r="AD212" s="179"/>
      <c r="AE212" s="271"/>
      <c r="AF212" s="180"/>
      <c r="AG212" s="180"/>
      <c r="AH212" s="180"/>
      <c r="AI212" s="180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22"/>
      <c r="BV212" s="115"/>
      <c r="BW212" s="115"/>
      <c r="BX212" s="115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74"/>
      <c r="CN212" s="174"/>
      <c r="CU212" s="14"/>
      <c r="CV212" s="39"/>
      <c r="CW212" s="39"/>
      <c r="CX212" s="222"/>
      <c r="CY212" s="222"/>
      <c r="CZ212" s="222"/>
      <c r="DA212" s="222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342"/>
      <c r="EE212" s="342"/>
    </row>
    <row r="213" spans="1:135" s="7" customFormat="1" ht="12.75" hidden="1" customHeight="1" outlineLevel="1" x14ac:dyDescent="0.2">
      <c r="A213" s="12"/>
      <c r="B213" s="169"/>
      <c r="C213" s="12"/>
      <c r="D213" s="13"/>
      <c r="E213" s="11"/>
      <c r="F213" s="169"/>
      <c r="G213" s="35"/>
      <c r="H213" s="1"/>
      <c r="I213" s="1"/>
      <c r="J213" s="122"/>
      <c r="K213" s="122"/>
      <c r="L213" s="122"/>
      <c r="M213" s="122"/>
      <c r="N213" s="122"/>
      <c r="O213" s="122"/>
      <c r="P213" s="122"/>
      <c r="Q213" s="122"/>
      <c r="R213" s="121"/>
      <c r="S213" s="121"/>
      <c r="T213" s="122"/>
      <c r="U213" s="122"/>
      <c r="V213" s="122"/>
      <c r="W213" s="122"/>
      <c r="X213" s="180"/>
      <c r="Y213" s="180"/>
      <c r="Z213" s="122"/>
      <c r="AA213" s="180"/>
      <c r="AB213" s="180"/>
      <c r="AC213" s="180"/>
      <c r="AD213" s="179"/>
      <c r="AE213" s="271"/>
      <c r="AF213" s="180"/>
      <c r="AG213" s="180"/>
      <c r="AH213" s="180"/>
      <c r="AI213" s="180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22"/>
      <c r="BV213" s="115"/>
      <c r="BW213" s="115"/>
      <c r="BX213" s="115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74"/>
      <c r="CN213" s="174"/>
      <c r="CU213" s="14"/>
      <c r="CV213" s="39"/>
      <c r="CW213" s="39"/>
      <c r="CX213" s="222"/>
      <c r="CY213" s="222"/>
      <c r="CZ213" s="222"/>
      <c r="DA213" s="222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342"/>
      <c r="EE213" s="342"/>
    </row>
    <row r="214" spans="1:135" s="7" customFormat="1" ht="12.75" hidden="1" customHeight="1" outlineLevel="1" x14ac:dyDescent="0.2">
      <c r="A214" s="12"/>
      <c r="B214" s="169"/>
      <c r="C214" s="12"/>
      <c r="D214" s="13"/>
      <c r="E214" s="11"/>
      <c r="F214" s="169"/>
      <c r="G214" s="35"/>
      <c r="H214" s="1"/>
      <c r="I214" s="1"/>
      <c r="J214" s="122"/>
      <c r="K214" s="122"/>
      <c r="L214" s="122"/>
      <c r="M214" s="122"/>
      <c r="N214" s="122"/>
      <c r="O214" s="122"/>
      <c r="P214" s="122"/>
      <c r="Q214" s="122"/>
      <c r="R214" s="121"/>
      <c r="S214" s="121"/>
      <c r="T214" s="122"/>
      <c r="U214" s="122"/>
      <c r="V214" s="122"/>
      <c r="W214" s="122"/>
      <c r="X214" s="180"/>
      <c r="Y214" s="180"/>
      <c r="Z214" s="122"/>
      <c r="AA214" s="180"/>
      <c r="AB214" s="180"/>
      <c r="AC214" s="180"/>
      <c r="AD214" s="179"/>
      <c r="AE214" s="271"/>
      <c r="AF214" s="180"/>
      <c r="AG214" s="180"/>
      <c r="AH214" s="180"/>
      <c r="AI214" s="180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22"/>
      <c r="BV214" s="115"/>
      <c r="BW214" s="115"/>
      <c r="BX214" s="115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74"/>
      <c r="CN214" s="174"/>
      <c r="CU214" s="14"/>
      <c r="CV214" s="39"/>
      <c r="CW214" s="39"/>
      <c r="CX214" s="222"/>
      <c r="CY214" s="222"/>
      <c r="CZ214" s="222"/>
      <c r="DA214" s="222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342"/>
      <c r="EE214" s="342"/>
    </row>
    <row r="215" spans="1:135" s="7" customFormat="1" ht="12.75" hidden="1" customHeight="1" outlineLevel="1" x14ac:dyDescent="0.2">
      <c r="A215" s="12"/>
      <c r="B215" s="169"/>
      <c r="C215" s="12"/>
      <c r="D215" s="13"/>
      <c r="E215" s="11"/>
      <c r="F215" s="169"/>
      <c r="G215" s="35"/>
      <c r="H215" s="1"/>
      <c r="I215" s="1"/>
      <c r="J215" s="122"/>
      <c r="K215" s="122"/>
      <c r="L215" s="122"/>
      <c r="M215" s="122"/>
      <c r="N215" s="122"/>
      <c r="O215" s="122"/>
      <c r="P215" s="122"/>
      <c r="Q215" s="122"/>
      <c r="R215" s="121"/>
      <c r="S215" s="121"/>
      <c r="T215" s="122"/>
      <c r="U215" s="122"/>
      <c r="V215" s="122"/>
      <c r="W215" s="122"/>
      <c r="X215" s="180"/>
      <c r="Y215" s="180"/>
      <c r="Z215" s="122"/>
      <c r="AA215" s="180"/>
      <c r="AB215" s="180"/>
      <c r="AC215" s="180"/>
      <c r="AD215" s="179"/>
      <c r="AE215" s="271"/>
      <c r="AF215" s="180"/>
      <c r="AG215" s="180"/>
      <c r="AH215" s="180"/>
      <c r="AI215" s="180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22"/>
      <c r="BV215" s="115"/>
      <c r="BW215" s="115"/>
      <c r="BX215" s="115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74"/>
      <c r="CN215" s="174"/>
      <c r="CU215" s="14"/>
      <c r="CV215" s="39"/>
      <c r="CW215" s="39"/>
      <c r="CX215" s="222"/>
      <c r="CY215" s="222"/>
      <c r="CZ215" s="222"/>
      <c r="DA215" s="222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342"/>
      <c r="EE215" s="342"/>
    </row>
    <row r="216" spans="1:135" s="7" customFormat="1" ht="12.75" hidden="1" customHeight="1" outlineLevel="1" x14ac:dyDescent="0.2">
      <c r="A216" s="12"/>
      <c r="B216" s="169"/>
      <c r="C216" s="12"/>
      <c r="D216" s="13"/>
      <c r="E216" s="11"/>
      <c r="F216" s="169"/>
      <c r="G216" s="35"/>
      <c r="H216" s="1"/>
      <c r="I216" s="1"/>
      <c r="J216" s="122"/>
      <c r="K216" s="122"/>
      <c r="L216" s="122"/>
      <c r="M216" s="122"/>
      <c r="N216" s="122"/>
      <c r="O216" s="122"/>
      <c r="P216" s="122"/>
      <c r="Q216" s="122"/>
      <c r="R216" s="121"/>
      <c r="S216" s="121"/>
      <c r="T216" s="122"/>
      <c r="U216" s="122"/>
      <c r="V216" s="122"/>
      <c r="W216" s="122"/>
      <c r="X216" s="180"/>
      <c r="Y216" s="180"/>
      <c r="Z216" s="122"/>
      <c r="AA216" s="180"/>
      <c r="AB216" s="180"/>
      <c r="AC216" s="180"/>
      <c r="AD216" s="179"/>
      <c r="AE216" s="271"/>
      <c r="AF216" s="180"/>
      <c r="AG216" s="180"/>
      <c r="AH216" s="180"/>
      <c r="AI216" s="180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22"/>
      <c r="BV216" s="115"/>
      <c r="BW216" s="115"/>
      <c r="BX216" s="115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74"/>
      <c r="CN216" s="174"/>
      <c r="CU216" s="14"/>
      <c r="CV216" s="39"/>
      <c r="CW216" s="39"/>
      <c r="CX216" s="222"/>
      <c r="CY216" s="222"/>
      <c r="CZ216" s="222"/>
      <c r="DA216" s="222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342"/>
      <c r="EE216" s="342"/>
    </row>
    <row r="217" spans="1:135" s="7" customFormat="1" ht="12.75" hidden="1" customHeight="1" outlineLevel="1" x14ac:dyDescent="0.2">
      <c r="A217" s="12"/>
      <c r="B217" s="169"/>
      <c r="C217" s="12"/>
      <c r="D217" s="13"/>
      <c r="E217" s="11"/>
      <c r="F217" s="169"/>
      <c r="G217" s="35"/>
      <c r="H217" s="1"/>
      <c r="I217" s="1"/>
      <c r="J217" s="122"/>
      <c r="K217" s="122"/>
      <c r="L217" s="122"/>
      <c r="M217" s="122"/>
      <c r="N217" s="122"/>
      <c r="O217" s="122"/>
      <c r="P217" s="122"/>
      <c r="Q217" s="122"/>
      <c r="R217" s="121"/>
      <c r="S217" s="121"/>
      <c r="T217" s="122"/>
      <c r="U217" s="122"/>
      <c r="V217" s="122"/>
      <c r="W217" s="122"/>
      <c r="X217" s="180"/>
      <c r="Y217" s="180"/>
      <c r="Z217" s="122"/>
      <c r="AA217" s="180"/>
      <c r="AB217" s="180"/>
      <c r="AC217" s="180"/>
      <c r="AD217" s="179"/>
      <c r="AE217" s="271"/>
      <c r="AF217" s="180"/>
      <c r="AG217" s="180"/>
      <c r="AH217" s="180"/>
      <c r="AI217" s="180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22"/>
      <c r="BV217" s="115"/>
      <c r="BW217" s="115"/>
      <c r="BX217" s="115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74"/>
      <c r="CN217" s="174"/>
      <c r="CU217" s="14"/>
      <c r="CV217" s="39"/>
      <c r="CW217" s="39"/>
      <c r="CX217" s="222"/>
      <c r="CY217" s="222"/>
      <c r="CZ217" s="222"/>
      <c r="DA217" s="222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342"/>
      <c r="EE217" s="342"/>
    </row>
    <row r="218" spans="1:135" s="7" customFormat="1" ht="12.75" hidden="1" customHeight="1" outlineLevel="1" x14ac:dyDescent="0.2">
      <c r="A218" s="12"/>
      <c r="B218" s="169"/>
      <c r="C218" s="12"/>
      <c r="D218" s="13"/>
      <c r="E218" s="11"/>
      <c r="F218" s="169"/>
      <c r="G218" s="35"/>
      <c r="H218" s="1"/>
      <c r="I218" s="1"/>
      <c r="J218" s="122"/>
      <c r="K218" s="122"/>
      <c r="L218" s="122"/>
      <c r="M218" s="122"/>
      <c r="N218" s="122"/>
      <c r="O218" s="122"/>
      <c r="P218" s="122"/>
      <c r="Q218" s="122"/>
      <c r="R218" s="121"/>
      <c r="S218" s="121"/>
      <c r="T218" s="122"/>
      <c r="U218" s="122"/>
      <c r="V218" s="122"/>
      <c r="W218" s="122"/>
      <c r="X218" s="180"/>
      <c r="Y218" s="180"/>
      <c r="Z218" s="122"/>
      <c r="AA218" s="180"/>
      <c r="AB218" s="180"/>
      <c r="AC218" s="180"/>
      <c r="AD218" s="179"/>
      <c r="AE218" s="271"/>
      <c r="AF218" s="180"/>
      <c r="AG218" s="180"/>
      <c r="AH218" s="180"/>
      <c r="AI218" s="180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22"/>
      <c r="BV218" s="115"/>
      <c r="BW218" s="115"/>
      <c r="BX218" s="115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74"/>
      <c r="CN218" s="174"/>
      <c r="CU218" s="14"/>
      <c r="CV218" s="39"/>
      <c r="CW218" s="39"/>
      <c r="CX218" s="222"/>
      <c r="CY218" s="222"/>
      <c r="CZ218" s="222"/>
      <c r="DA218" s="222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342"/>
      <c r="EE218" s="342"/>
    </row>
    <row r="219" spans="1:135" s="7" customFormat="1" ht="12.75" hidden="1" customHeight="1" outlineLevel="1" x14ac:dyDescent="0.2">
      <c r="A219" s="12"/>
      <c r="B219" s="169"/>
      <c r="C219" s="12"/>
      <c r="D219" s="13"/>
      <c r="E219" s="11"/>
      <c r="F219" s="169"/>
      <c r="G219" s="35"/>
      <c r="H219" s="1"/>
      <c r="I219" s="1"/>
      <c r="J219" s="122"/>
      <c r="K219" s="122"/>
      <c r="L219" s="122"/>
      <c r="M219" s="122"/>
      <c r="N219" s="122"/>
      <c r="O219" s="122"/>
      <c r="P219" s="122"/>
      <c r="Q219" s="122"/>
      <c r="R219" s="121"/>
      <c r="S219" s="121"/>
      <c r="T219" s="122"/>
      <c r="U219" s="122"/>
      <c r="V219" s="122"/>
      <c r="W219" s="122"/>
      <c r="X219" s="180"/>
      <c r="Y219" s="180"/>
      <c r="Z219" s="122"/>
      <c r="AA219" s="180"/>
      <c r="AB219" s="180"/>
      <c r="AC219" s="180"/>
      <c r="AD219" s="179"/>
      <c r="AE219" s="271"/>
      <c r="AF219" s="180"/>
      <c r="AG219" s="180"/>
      <c r="AH219" s="180"/>
      <c r="AI219" s="180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22"/>
      <c r="BV219" s="115"/>
      <c r="BW219" s="115"/>
      <c r="BX219" s="115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74"/>
      <c r="CN219" s="174"/>
      <c r="CU219" s="14"/>
      <c r="CV219" s="39"/>
      <c r="CW219" s="39"/>
      <c r="CX219" s="222"/>
      <c r="CY219" s="222"/>
      <c r="CZ219" s="222"/>
      <c r="DA219" s="222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342"/>
      <c r="EE219" s="342"/>
    </row>
    <row r="220" spans="1:135" s="7" customFormat="1" ht="12.75" hidden="1" customHeight="1" outlineLevel="1" x14ac:dyDescent="0.2">
      <c r="A220" s="12"/>
      <c r="B220" s="169"/>
      <c r="C220" s="12"/>
      <c r="D220" s="13"/>
      <c r="E220" s="11"/>
      <c r="F220" s="169"/>
      <c r="G220" s="35"/>
      <c r="H220" s="1"/>
      <c r="I220" s="1"/>
      <c r="J220" s="122"/>
      <c r="K220" s="122"/>
      <c r="L220" s="122"/>
      <c r="M220" s="122"/>
      <c r="N220" s="122"/>
      <c r="O220" s="122"/>
      <c r="P220" s="122"/>
      <c r="Q220" s="122"/>
      <c r="R220" s="121"/>
      <c r="S220" s="121"/>
      <c r="T220" s="122"/>
      <c r="U220" s="122"/>
      <c r="V220" s="122"/>
      <c r="W220" s="122"/>
      <c r="X220" s="180"/>
      <c r="Y220" s="180"/>
      <c r="Z220" s="122"/>
      <c r="AA220" s="180"/>
      <c r="AB220" s="180"/>
      <c r="AC220" s="180"/>
      <c r="AD220" s="179"/>
      <c r="AE220" s="271"/>
      <c r="AF220" s="180"/>
      <c r="AG220" s="180"/>
      <c r="AH220" s="180"/>
      <c r="AI220" s="180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22"/>
      <c r="BV220" s="115"/>
      <c r="BW220" s="115"/>
      <c r="BX220" s="115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74"/>
      <c r="CN220" s="174"/>
      <c r="CU220" s="14"/>
      <c r="CV220" s="39"/>
      <c r="CW220" s="39"/>
      <c r="CX220" s="222"/>
      <c r="CY220" s="222"/>
      <c r="CZ220" s="222"/>
      <c r="DA220" s="222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  <c r="DR220" s="156"/>
      <c r="DS220" s="156"/>
      <c r="DT220" s="156"/>
      <c r="DU220" s="156"/>
      <c r="DV220" s="156"/>
      <c r="DW220" s="156"/>
      <c r="DX220" s="156"/>
      <c r="DY220" s="156"/>
      <c r="DZ220" s="156"/>
      <c r="EA220" s="156"/>
      <c r="EB220" s="156"/>
      <c r="EC220" s="156"/>
      <c r="ED220" s="342"/>
      <c r="EE220" s="342"/>
    </row>
    <row r="221" spans="1:135" s="7" customFormat="1" ht="12.75" hidden="1" customHeight="1" outlineLevel="1" x14ac:dyDescent="0.2">
      <c r="A221" s="12"/>
      <c r="B221" s="169"/>
      <c r="C221" s="12"/>
      <c r="D221" s="13"/>
      <c r="E221" s="11"/>
      <c r="F221" s="169"/>
      <c r="G221" s="35"/>
      <c r="H221" s="1"/>
      <c r="I221" s="1"/>
      <c r="J221" s="122"/>
      <c r="K221" s="122"/>
      <c r="L221" s="122"/>
      <c r="M221" s="122"/>
      <c r="N221" s="122"/>
      <c r="O221" s="122"/>
      <c r="P221" s="122"/>
      <c r="Q221" s="122"/>
      <c r="R221" s="121"/>
      <c r="S221" s="121"/>
      <c r="T221" s="122"/>
      <c r="U221" s="122"/>
      <c r="V221" s="122"/>
      <c r="W221" s="122"/>
      <c r="X221" s="180"/>
      <c r="Y221" s="180"/>
      <c r="Z221" s="122"/>
      <c r="AA221" s="180"/>
      <c r="AB221" s="180"/>
      <c r="AC221" s="180"/>
      <c r="AD221" s="179"/>
      <c r="AE221" s="271"/>
      <c r="AF221" s="180"/>
      <c r="AG221" s="180"/>
      <c r="AH221" s="180"/>
      <c r="AI221" s="180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22"/>
      <c r="BV221" s="115"/>
      <c r="BW221" s="115"/>
      <c r="BX221" s="115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74"/>
      <c r="CN221" s="174"/>
      <c r="CU221" s="14"/>
      <c r="CV221" s="39"/>
      <c r="CW221" s="39"/>
      <c r="CX221" s="222"/>
      <c r="CY221" s="222"/>
      <c r="CZ221" s="222"/>
      <c r="DA221" s="222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  <c r="DR221" s="156"/>
      <c r="DS221" s="156"/>
      <c r="DT221" s="156"/>
      <c r="DU221" s="156"/>
      <c r="DV221" s="156"/>
      <c r="DW221" s="156"/>
      <c r="DX221" s="156"/>
      <c r="DY221" s="156"/>
      <c r="DZ221" s="156"/>
      <c r="EA221" s="156"/>
      <c r="EB221" s="156"/>
      <c r="EC221" s="156"/>
      <c r="ED221" s="342"/>
      <c r="EE221" s="342"/>
    </row>
    <row r="222" spans="1:135" s="7" customFormat="1" ht="12.75" hidden="1" customHeight="1" outlineLevel="1" x14ac:dyDescent="0.2">
      <c r="A222" s="12"/>
      <c r="B222" s="169"/>
      <c r="C222" s="12"/>
      <c r="D222" s="13"/>
      <c r="E222" s="11"/>
      <c r="F222" s="169"/>
      <c r="G222" s="35"/>
      <c r="H222" s="1"/>
      <c r="I222" s="1"/>
      <c r="J222" s="122"/>
      <c r="K222" s="122"/>
      <c r="L222" s="122"/>
      <c r="M222" s="122"/>
      <c r="N222" s="122"/>
      <c r="O222" s="122"/>
      <c r="P222" s="122"/>
      <c r="Q222" s="122"/>
      <c r="R222" s="121"/>
      <c r="S222" s="121"/>
      <c r="T222" s="122"/>
      <c r="U222" s="122"/>
      <c r="V222" s="122"/>
      <c r="W222" s="122"/>
      <c r="X222" s="180"/>
      <c r="Y222" s="180"/>
      <c r="Z222" s="122"/>
      <c r="AA222" s="180"/>
      <c r="AB222" s="180"/>
      <c r="AC222" s="180"/>
      <c r="AD222" s="179"/>
      <c r="AE222" s="271"/>
      <c r="AF222" s="180"/>
      <c r="AG222" s="180"/>
      <c r="AH222" s="180"/>
      <c r="AI222" s="180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22"/>
      <c r="BV222" s="115"/>
      <c r="BW222" s="115"/>
      <c r="BX222" s="115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74"/>
      <c r="CN222" s="174"/>
      <c r="CU222" s="14"/>
      <c r="CV222" s="39"/>
      <c r="CW222" s="39"/>
      <c r="CX222" s="222"/>
      <c r="CY222" s="222"/>
      <c r="CZ222" s="222"/>
      <c r="DA222" s="222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  <c r="DR222" s="156"/>
      <c r="DS222" s="156"/>
      <c r="DT222" s="156"/>
      <c r="DU222" s="156"/>
      <c r="DV222" s="156"/>
      <c r="DW222" s="156"/>
      <c r="DX222" s="156"/>
      <c r="DY222" s="156"/>
      <c r="DZ222" s="156"/>
      <c r="EA222" s="156"/>
      <c r="EB222" s="156"/>
      <c r="EC222" s="156"/>
      <c r="ED222" s="342"/>
      <c r="EE222" s="342"/>
    </row>
    <row r="223" spans="1:135" s="7" customFormat="1" ht="12.75" hidden="1" customHeight="1" outlineLevel="1" x14ac:dyDescent="0.2">
      <c r="A223" s="12"/>
      <c r="B223" s="169"/>
      <c r="C223" s="12"/>
      <c r="D223" s="13"/>
      <c r="E223" s="11"/>
      <c r="F223" s="169"/>
      <c r="G223" s="35"/>
      <c r="H223" s="1"/>
      <c r="I223" s="1"/>
      <c r="J223" s="122"/>
      <c r="K223" s="122"/>
      <c r="L223" s="122"/>
      <c r="M223" s="122"/>
      <c r="N223" s="122"/>
      <c r="O223" s="122"/>
      <c r="P223" s="122"/>
      <c r="Q223" s="122"/>
      <c r="R223" s="121"/>
      <c r="S223" s="121"/>
      <c r="T223" s="122"/>
      <c r="U223" s="122"/>
      <c r="V223" s="122"/>
      <c r="W223" s="122"/>
      <c r="X223" s="180"/>
      <c r="Y223" s="180"/>
      <c r="Z223" s="122"/>
      <c r="AA223" s="180"/>
      <c r="AB223" s="180"/>
      <c r="AC223" s="180"/>
      <c r="AD223" s="179"/>
      <c r="AE223" s="271"/>
      <c r="AF223" s="180"/>
      <c r="AG223" s="180"/>
      <c r="AH223" s="180"/>
      <c r="AI223" s="180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22"/>
      <c r="BV223" s="115"/>
      <c r="BW223" s="115"/>
      <c r="BX223" s="115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74"/>
      <c r="CN223" s="174"/>
      <c r="CU223" s="14"/>
      <c r="CV223" s="39"/>
      <c r="CW223" s="39"/>
      <c r="CX223" s="222"/>
      <c r="CY223" s="222"/>
      <c r="CZ223" s="222"/>
      <c r="DA223" s="222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  <c r="DT223" s="156"/>
      <c r="DU223" s="156"/>
      <c r="DV223" s="156"/>
      <c r="DW223" s="156"/>
      <c r="DX223" s="156"/>
      <c r="DY223" s="156"/>
      <c r="DZ223" s="156"/>
      <c r="EA223" s="156"/>
      <c r="EB223" s="156"/>
      <c r="EC223" s="156"/>
      <c r="ED223" s="342"/>
      <c r="EE223" s="342"/>
    </row>
    <row r="224" spans="1:135" s="7" customFormat="1" ht="12.75" hidden="1" customHeight="1" outlineLevel="1" x14ac:dyDescent="0.2">
      <c r="A224" s="12"/>
      <c r="B224" s="169"/>
      <c r="C224" s="12"/>
      <c r="D224" s="13"/>
      <c r="E224" s="11"/>
      <c r="F224" s="169"/>
      <c r="G224" s="35"/>
      <c r="H224" s="1"/>
      <c r="I224" s="1"/>
      <c r="J224" s="122"/>
      <c r="K224" s="122"/>
      <c r="L224" s="122"/>
      <c r="M224" s="122"/>
      <c r="N224" s="122"/>
      <c r="O224" s="122"/>
      <c r="P224" s="122"/>
      <c r="Q224" s="122"/>
      <c r="R224" s="121"/>
      <c r="S224" s="121"/>
      <c r="T224" s="122"/>
      <c r="U224" s="122"/>
      <c r="V224" s="122"/>
      <c r="W224" s="122"/>
      <c r="X224" s="180"/>
      <c r="Y224" s="180"/>
      <c r="Z224" s="122"/>
      <c r="AA224" s="180"/>
      <c r="AB224" s="180"/>
      <c r="AC224" s="180"/>
      <c r="AD224" s="179"/>
      <c r="AE224" s="271"/>
      <c r="AF224" s="180"/>
      <c r="AG224" s="180"/>
      <c r="AH224" s="180"/>
      <c r="AI224" s="180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22"/>
      <c r="BV224" s="115"/>
      <c r="BW224" s="115"/>
      <c r="BX224" s="115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74"/>
      <c r="CN224" s="174"/>
      <c r="CU224" s="14"/>
      <c r="CV224" s="39"/>
      <c r="CW224" s="39"/>
      <c r="CX224" s="222"/>
      <c r="CY224" s="222"/>
      <c r="CZ224" s="222"/>
      <c r="DA224" s="222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  <c r="DR224" s="156"/>
      <c r="DS224" s="156"/>
      <c r="DT224" s="156"/>
      <c r="DU224" s="156"/>
      <c r="DV224" s="156"/>
      <c r="DW224" s="156"/>
      <c r="DX224" s="156"/>
      <c r="DY224" s="156"/>
      <c r="DZ224" s="156"/>
      <c r="EA224" s="156"/>
      <c r="EB224" s="156"/>
      <c r="EC224" s="156"/>
      <c r="ED224" s="342"/>
      <c r="EE224" s="342"/>
    </row>
    <row r="225" spans="1:135" s="7" customFormat="1" ht="12.75" hidden="1" customHeight="1" outlineLevel="1" x14ac:dyDescent="0.2">
      <c r="A225" s="12"/>
      <c r="B225" s="169"/>
      <c r="C225" s="12"/>
      <c r="D225" s="13"/>
      <c r="E225" s="11"/>
      <c r="F225" s="169"/>
      <c r="G225" s="35"/>
      <c r="H225" s="1"/>
      <c r="I225" s="1"/>
      <c r="J225" s="122"/>
      <c r="K225" s="122"/>
      <c r="L225" s="122"/>
      <c r="M225" s="122"/>
      <c r="N225" s="122"/>
      <c r="O225" s="122"/>
      <c r="P225" s="122"/>
      <c r="Q225" s="122"/>
      <c r="R225" s="121"/>
      <c r="S225" s="121"/>
      <c r="T225" s="122"/>
      <c r="U225" s="122"/>
      <c r="V225" s="122"/>
      <c r="W225" s="122"/>
      <c r="X225" s="180"/>
      <c r="Y225" s="180"/>
      <c r="Z225" s="122"/>
      <c r="AA225" s="180"/>
      <c r="AB225" s="180"/>
      <c r="AC225" s="180"/>
      <c r="AD225" s="179"/>
      <c r="AE225" s="271"/>
      <c r="AF225" s="180"/>
      <c r="AG225" s="180"/>
      <c r="AH225" s="180"/>
      <c r="AI225" s="180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22"/>
      <c r="BV225" s="115"/>
      <c r="BW225" s="115"/>
      <c r="BX225" s="115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74"/>
      <c r="CN225" s="174"/>
      <c r="CU225" s="14"/>
      <c r="CV225" s="39"/>
      <c r="CW225" s="39"/>
      <c r="CX225" s="222"/>
      <c r="CY225" s="222"/>
      <c r="CZ225" s="222"/>
      <c r="DA225" s="222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342"/>
      <c r="EE225" s="342"/>
    </row>
    <row r="226" spans="1:135" s="7" customFormat="1" ht="12.75" hidden="1" customHeight="1" outlineLevel="1" x14ac:dyDescent="0.2">
      <c r="A226" s="12"/>
      <c r="B226" s="169"/>
      <c r="C226" s="12"/>
      <c r="D226" s="13"/>
      <c r="E226" s="11"/>
      <c r="F226" s="169"/>
      <c r="G226" s="35"/>
      <c r="H226" s="1"/>
      <c r="I226" s="1"/>
      <c r="J226" s="122"/>
      <c r="K226" s="122"/>
      <c r="L226" s="122"/>
      <c r="M226" s="122"/>
      <c r="N226" s="122"/>
      <c r="O226" s="122"/>
      <c r="P226" s="122"/>
      <c r="Q226" s="122"/>
      <c r="R226" s="121"/>
      <c r="S226" s="121"/>
      <c r="T226" s="122"/>
      <c r="U226" s="122"/>
      <c r="V226" s="122"/>
      <c r="W226" s="122"/>
      <c r="X226" s="180"/>
      <c r="Y226" s="180"/>
      <c r="Z226" s="122"/>
      <c r="AA226" s="180"/>
      <c r="AB226" s="180"/>
      <c r="AC226" s="180"/>
      <c r="AD226" s="179"/>
      <c r="AE226" s="271"/>
      <c r="AF226" s="180"/>
      <c r="AG226" s="180"/>
      <c r="AH226" s="180"/>
      <c r="AI226" s="180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22"/>
      <c r="BV226" s="115"/>
      <c r="BW226" s="115"/>
      <c r="BX226" s="115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74"/>
      <c r="CN226" s="174"/>
      <c r="CU226" s="14"/>
      <c r="CV226" s="39"/>
      <c r="CW226" s="39"/>
      <c r="CX226" s="222"/>
      <c r="CY226" s="222"/>
      <c r="CZ226" s="222"/>
      <c r="DA226" s="222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  <c r="DR226" s="156"/>
      <c r="DS226" s="156"/>
      <c r="DT226" s="156"/>
      <c r="DU226" s="156"/>
      <c r="DV226" s="156"/>
      <c r="DW226" s="156"/>
      <c r="DX226" s="156"/>
      <c r="DY226" s="156"/>
      <c r="DZ226" s="156"/>
      <c r="EA226" s="156"/>
      <c r="EB226" s="156"/>
      <c r="EC226" s="156"/>
      <c r="ED226" s="342"/>
      <c r="EE226" s="342"/>
    </row>
    <row r="227" spans="1:135" s="7" customFormat="1" ht="12.75" hidden="1" customHeight="1" outlineLevel="1" x14ac:dyDescent="0.2">
      <c r="A227" s="12"/>
      <c r="B227" s="169"/>
      <c r="C227" s="12"/>
      <c r="D227" s="13"/>
      <c r="E227" s="11"/>
      <c r="F227" s="169"/>
      <c r="G227" s="35"/>
      <c r="H227" s="1"/>
      <c r="I227" s="1"/>
      <c r="J227" s="122"/>
      <c r="K227" s="122"/>
      <c r="L227" s="122"/>
      <c r="M227" s="122"/>
      <c r="N227" s="122"/>
      <c r="O227" s="122"/>
      <c r="P227" s="122"/>
      <c r="Q227" s="122"/>
      <c r="R227" s="121"/>
      <c r="S227" s="121"/>
      <c r="T227" s="122"/>
      <c r="U227" s="122"/>
      <c r="V227" s="122"/>
      <c r="W227" s="122"/>
      <c r="X227" s="180"/>
      <c r="Y227" s="180"/>
      <c r="Z227" s="122"/>
      <c r="AA227" s="180"/>
      <c r="AB227" s="180"/>
      <c r="AC227" s="180"/>
      <c r="AD227" s="179"/>
      <c r="AE227" s="271"/>
      <c r="AF227" s="180"/>
      <c r="AG227" s="180"/>
      <c r="AH227" s="180"/>
      <c r="AI227" s="180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22"/>
      <c r="BV227" s="115"/>
      <c r="BW227" s="115"/>
      <c r="BX227" s="115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74"/>
      <c r="CN227" s="174"/>
      <c r="CU227" s="14"/>
      <c r="CV227" s="39"/>
      <c r="CW227" s="39"/>
      <c r="CX227" s="222"/>
      <c r="CY227" s="222"/>
      <c r="CZ227" s="222"/>
      <c r="DA227" s="222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6"/>
      <c r="DT227" s="156"/>
      <c r="DU227" s="156"/>
      <c r="DV227" s="156"/>
      <c r="DW227" s="156"/>
      <c r="DX227" s="156"/>
      <c r="DY227" s="156"/>
      <c r="DZ227" s="156"/>
      <c r="EA227" s="156"/>
      <c r="EB227" s="156"/>
      <c r="EC227" s="156"/>
      <c r="ED227" s="342"/>
      <c r="EE227" s="342"/>
    </row>
    <row r="228" spans="1:135" s="7" customFormat="1" ht="12.75" hidden="1" customHeight="1" outlineLevel="1" x14ac:dyDescent="0.2">
      <c r="A228" s="12"/>
      <c r="B228" s="169"/>
      <c r="C228" s="12"/>
      <c r="D228" s="13"/>
      <c r="E228" s="11"/>
      <c r="F228" s="169"/>
      <c r="G228" s="35"/>
      <c r="H228" s="1"/>
      <c r="I228" s="1"/>
      <c r="J228" s="122"/>
      <c r="K228" s="122"/>
      <c r="L228" s="122"/>
      <c r="M228" s="122"/>
      <c r="N228" s="122"/>
      <c r="O228" s="122"/>
      <c r="P228" s="122"/>
      <c r="Q228" s="122"/>
      <c r="R228" s="121"/>
      <c r="S228" s="121"/>
      <c r="T228" s="122"/>
      <c r="U228" s="122"/>
      <c r="V228" s="122"/>
      <c r="W228" s="122"/>
      <c r="X228" s="180"/>
      <c r="Y228" s="180"/>
      <c r="Z228" s="122"/>
      <c r="AA228" s="180"/>
      <c r="AB228" s="180"/>
      <c r="AC228" s="180"/>
      <c r="AD228" s="179"/>
      <c r="AE228" s="271"/>
      <c r="AF228" s="180"/>
      <c r="AG228" s="180"/>
      <c r="AH228" s="180"/>
      <c r="AI228" s="180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22"/>
      <c r="BV228" s="115"/>
      <c r="BW228" s="115"/>
      <c r="BX228" s="115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74"/>
      <c r="CN228" s="174"/>
      <c r="CU228" s="14"/>
      <c r="CV228" s="39"/>
      <c r="CW228" s="39"/>
      <c r="CX228" s="222"/>
      <c r="CY228" s="222"/>
      <c r="CZ228" s="222"/>
      <c r="DA228" s="222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342"/>
      <c r="EE228" s="342"/>
    </row>
    <row r="229" spans="1:135" s="7" customFormat="1" ht="12.75" hidden="1" customHeight="1" outlineLevel="1" x14ac:dyDescent="0.2">
      <c r="A229" s="12"/>
      <c r="B229" s="169"/>
      <c r="C229" s="12"/>
      <c r="D229" s="13"/>
      <c r="E229" s="11"/>
      <c r="F229" s="169"/>
      <c r="G229" s="35"/>
      <c r="H229" s="1"/>
      <c r="I229" s="1"/>
      <c r="J229" s="122"/>
      <c r="K229" s="122"/>
      <c r="L229" s="122"/>
      <c r="M229" s="122"/>
      <c r="N229" s="122"/>
      <c r="O229" s="122"/>
      <c r="P229" s="122"/>
      <c r="Q229" s="122"/>
      <c r="R229" s="121"/>
      <c r="S229" s="121"/>
      <c r="T229" s="122"/>
      <c r="U229" s="122"/>
      <c r="V229" s="122"/>
      <c r="W229" s="122"/>
      <c r="X229" s="180"/>
      <c r="Y229" s="180"/>
      <c r="Z229" s="122"/>
      <c r="AA229" s="180"/>
      <c r="AB229" s="180"/>
      <c r="AC229" s="180"/>
      <c r="AD229" s="179"/>
      <c r="AE229" s="271"/>
      <c r="AF229" s="180"/>
      <c r="AG229" s="180"/>
      <c r="AH229" s="180"/>
      <c r="AI229" s="180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22"/>
      <c r="BV229" s="115"/>
      <c r="BW229" s="115"/>
      <c r="BX229" s="115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74"/>
      <c r="CN229" s="174"/>
      <c r="CU229" s="14"/>
      <c r="CV229" s="39"/>
      <c r="CW229" s="39"/>
      <c r="CX229" s="222"/>
      <c r="CY229" s="222"/>
      <c r="CZ229" s="222"/>
      <c r="DA229" s="222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342"/>
      <c r="EE229" s="342"/>
    </row>
    <row r="230" spans="1:135" s="7" customFormat="1" ht="12.75" hidden="1" customHeight="1" outlineLevel="1" x14ac:dyDescent="0.2">
      <c r="A230" s="12"/>
      <c r="B230" s="169"/>
      <c r="C230" s="12"/>
      <c r="D230" s="13"/>
      <c r="E230" s="11"/>
      <c r="F230" s="169"/>
      <c r="G230" s="35"/>
      <c r="H230" s="1"/>
      <c r="I230" s="1"/>
      <c r="J230" s="122"/>
      <c r="K230" s="122"/>
      <c r="L230" s="122"/>
      <c r="M230" s="122"/>
      <c r="N230" s="122"/>
      <c r="O230" s="122"/>
      <c r="P230" s="122"/>
      <c r="Q230" s="122"/>
      <c r="R230" s="121"/>
      <c r="S230" s="121"/>
      <c r="T230" s="122"/>
      <c r="U230" s="122"/>
      <c r="V230" s="122"/>
      <c r="W230" s="122"/>
      <c r="X230" s="180"/>
      <c r="Y230" s="180"/>
      <c r="Z230" s="122"/>
      <c r="AA230" s="180"/>
      <c r="AB230" s="180"/>
      <c r="AC230" s="180"/>
      <c r="AD230" s="179"/>
      <c r="AE230" s="271"/>
      <c r="AF230" s="180"/>
      <c r="AG230" s="180"/>
      <c r="AH230" s="180"/>
      <c r="AI230" s="180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22"/>
      <c r="BV230" s="115"/>
      <c r="BW230" s="115"/>
      <c r="BX230" s="115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74"/>
      <c r="CN230" s="174"/>
      <c r="CU230" s="14"/>
      <c r="CV230" s="39"/>
      <c r="CW230" s="39"/>
      <c r="CX230" s="222"/>
      <c r="CY230" s="222"/>
      <c r="CZ230" s="222"/>
      <c r="DA230" s="222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342"/>
      <c r="EE230" s="342"/>
    </row>
    <row r="231" spans="1:135" s="7" customFormat="1" ht="12.75" hidden="1" customHeight="1" outlineLevel="1" x14ac:dyDescent="0.2">
      <c r="A231" s="12"/>
      <c r="B231" s="169"/>
      <c r="C231" s="12"/>
      <c r="D231" s="13"/>
      <c r="E231" s="11"/>
      <c r="F231" s="169"/>
      <c r="G231" s="35"/>
      <c r="H231" s="1"/>
      <c r="I231" s="1"/>
      <c r="J231" s="122"/>
      <c r="K231" s="122"/>
      <c r="L231" s="122"/>
      <c r="M231" s="122"/>
      <c r="N231" s="122"/>
      <c r="O231" s="122"/>
      <c r="P231" s="122"/>
      <c r="Q231" s="122"/>
      <c r="R231" s="121"/>
      <c r="S231" s="121"/>
      <c r="T231" s="122"/>
      <c r="U231" s="122"/>
      <c r="V231" s="122"/>
      <c r="W231" s="122"/>
      <c r="X231" s="180"/>
      <c r="Y231" s="180"/>
      <c r="Z231" s="122"/>
      <c r="AA231" s="180"/>
      <c r="AB231" s="180"/>
      <c r="AC231" s="180"/>
      <c r="AD231" s="179"/>
      <c r="AE231" s="271"/>
      <c r="AF231" s="180"/>
      <c r="AG231" s="180"/>
      <c r="AH231" s="180"/>
      <c r="AI231" s="180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22"/>
      <c r="BV231" s="115"/>
      <c r="BW231" s="115"/>
      <c r="BX231" s="115"/>
      <c r="BY231" s="183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74"/>
      <c r="CN231" s="174"/>
      <c r="CU231" s="14"/>
      <c r="CV231" s="39"/>
      <c r="CW231" s="39"/>
      <c r="CX231" s="222"/>
      <c r="CY231" s="222"/>
      <c r="CZ231" s="222"/>
      <c r="DA231" s="222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  <c r="DR231" s="156"/>
      <c r="DS231" s="156"/>
      <c r="DT231" s="156"/>
      <c r="DU231" s="156"/>
      <c r="DV231" s="156"/>
      <c r="DW231" s="156"/>
      <c r="DX231" s="156"/>
      <c r="DY231" s="156"/>
      <c r="DZ231" s="156"/>
      <c r="EA231" s="156"/>
      <c r="EB231" s="156"/>
      <c r="EC231" s="156"/>
      <c r="ED231" s="342"/>
      <c r="EE231" s="342"/>
    </row>
    <row r="232" spans="1:135" s="7" customFormat="1" ht="12.75" hidden="1" customHeight="1" outlineLevel="1" x14ac:dyDescent="0.2">
      <c r="A232" s="12"/>
      <c r="B232" s="169"/>
      <c r="C232" s="12"/>
      <c r="D232" s="13"/>
      <c r="E232" s="11"/>
      <c r="F232" s="169"/>
      <c r="G232" s="35"/>
      <c r="H232" s="1"/>
      <c r="I232" s="1"/>
      <c r="J232" s="122"/>
      <c r="K232" s="122"/>
      <c r="L232" s="122"/>
      <c r="M232" s="122"/>
      <c r="N232" s="122"/>
      <c r="O232" s="122"/>
      <c r="P232" s="122"/>
      <c r="Q232" s="122"/>
      <c r="R232" s="121"/>
      <c r="S232" s="121"/>
      <c r="T232" s="122"/>
      <c r="U232" s="122"/>
      <c r="V232" s="122"/>
      <c r="W232" s="122"/>
      <c r="X232" s="180"/>
      <c r="Y232" s="180"/>
      <c r="Z232" s="122"/>
      <c r="AA232" s="180"/>
      <c r="AB232" s="180"/>
      <c r="AC232" s="180"/>
      <c r="AD232" s="179"/>
      <c r="AE232" s="271"/>
      <c r="AF232" s="180"/>
      <c r="AG232" s="180"/>
      <c r="AH232" s="180"/>
      <c r="AI232" s="180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22"/>
      <c r="BV232" s="115"/>
      <c r="BW232" s="115"/>
      <c r="BX232" s="115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74"/>
      <c r="CN232" s="174"/>
      <c r="CU232" s="14"/>
      <c r="CV232" s="39"/>
      <c r="CW232" s="39"/>
      <c r="CX232" s="222"/>
      <c r="CY232" s="222"/>
      <c r="CZ232" s="222"/>
      <c r="DA232" s="222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342"/>
      <c r="EE232" s="342"/>
    </row>
    <row r="233" spans="1:135" s="7" customFormat="1" ht="12.75" hidden="1" customHeight="1" outlineLevel="1" x14ac:dyDescent="0.2">
      <c r="A233" s="12"/>
      <c r="B233" s="169"/>
      <c r="C233" s="12"/>
      <c r="D233" s="13"/>
      <c r="E233" s="11"/>
      <c r="F233" s="169"/>
      <c r="G233" s="35"/>
      <c r="H233" s="1"/>
      <c r="I233" s="1"/>
      <c r="J233" s="122"/>
      <c r="K233" s="122"/>
      <c r="L233" s="122"/>
      <c r="M233" s="122"/>
      <c r="N233" s="122"/>
      <c r="O233" s="122"/>
      <c r="P233" s="122"/>
      <c r="Q233" s="122"/>
      <c r="R233" s="121"/>
      <c r="S233" s="121"/>
      <c r="T233" s="122"/>
      <c r="U233" s="122"/>
      <c r="V233" s="122"/>
      <c r="W233" s="122"/>
      <c r="X233" s="180"/>
      <c r="Y233" s="180"/>
      <c r="Z233" s="122"/>
      <c r="AA233" s="180"/>
      <c r="AB233" s="180"/>
      <c r="AC233" s="180"/>
      <c r="AD233" s="179"/>
      <c r="AE233" s="271"/>
      <c r="AF233" s="180"/>
      <c r="AG233" s="180"/>
      <c r="AH233" s="180"/>
      <c r="AI233" s="180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22"/>
      <c r="BV233" s="115"/>
      <c r="BW233" s="115"/>
      <c r="BX233" s="115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74"/>
      <c r="CN233" s="174"/>
      <c r="CU233" s="14"/>
      <c r="CV233" s="39"/>
      <c r="CW233" s="39"/>
      <c r="CX233" s="222"/>
      <c r="CY233" s="222"/>
      <c r="CZ233" s="222"/>
      <c r="DA233" s="222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342"/>
      <c r="EE233" s="342"/>
    </row>
    <row r="234" spans="1:135" s="7" customFormat="1" ht="12.75" hidden="1" customHeight="1" outlineLevel="1" x14ac:dyDescent="0.2">
      <c r="A234" s="12"/>
      <c r="B234" s="169"/>
      <c r="C234" s="12"/>
      <c r="D234" s="13"/>
      <c r="E234" s="11"/>
      <c r="F234" s="169"/>
      <c r="G234" s="35"/>
      <c r="H234" s="1"/>
      <c r="I234" s="1"/>
      <c r="J234" s="122"/>
      <c r="K234" s="122"/>
      <c r="L234" s="122"/>
      <c r="M234" s="122"/>
      <c r="N234" s="122"/>
      <c r="O234" s="122"/>
      <c r="P234" s="122"/>
      <c r="Q234" s="122"/>
      <c r="R234" s="121"/>
      <c r="S234" s="121"/>
      <c r="T234" s="122"/>
      <c r="U234" s="122"/>
      <c r="V234" s="122"/>
      <c r="W234" s="122"/>
      <c r="X234" s="180"/>
      <c r="Y234" s="180"/>
      <c r="Z234" s="122"/>
      <c r="AA234" s="180"/>
      <c r="AB234" s="180"/>
      <c r="AC234" s="180"/>
      <c r="AD234" s="179"/>
      <c r="AE234" s="271"/>
      <c r="AF234" s="180"/>
      <c r="AG234" s="180"/>
      <c r="AH234" s="180"/>
      <c r="AI234" s="180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22"/>
      <c r="BV234" s="115"/>
      <c r="BW234" s="115"/>
      <c r="BX234" s="115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74"/>
      <c r="CN234" s="174"/>
      <c r="CU234" s="14"/>
      <c r="CV234" s="39"/>
      <c r="CW234" s="39"/>
      <c r="CX234" s="222"/>
      <c r="CY234" s="222"/>
      <c r="CZ234" s="222"/>
      <c r="DA234" s="222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6"/>
      <c r="DT234" s="156"/>
      <c r="DU234" s="156"/>
      <c r="DV234" s="156"/>
      <c r="DW234" s="156"/>
      <c r="DX234" s="156"/>
      <c r="DY234" s="156"/>
      <c r="DZ234" s="156"/>
      <c r="EA234" s="156"/>
      <c r="EB234" s="156"/>
      <c r="EC234" s="156"/>
      <c r="ED234" s="342"/>
      <c r="EE234" s="342"/>
    </row>
    <row r="235" spans="1:135" s="7" customFormat="1" ht="12.75" hidden="1" customHeight="1" outlineLevel="1" x14ac:dyDescent="0.2">
      <c r="A235" s="12"/>
      <c r="B235" s="169"/>
      <c r="C235" s="12"/>
      <c r="D235" s="13"/>
      <c r="E235" s="11"/>
      <c r="F235" s="169"/>
      <c r="G235" s="35"/>
      <c r="H235" s="1"/>
      <c r="I235" s="1"/>
      <c r="J235" s="122"/>
      <c r="K235" s="122"/>
      <c r="L235" s="122"/>
      <c r="M235" s="122"/>
      <c r="N235" s="122"/>
      <c r="O235" s="122"/>
      <c r="P235" s="122"/>
      <c r="Q235" s="122"/>
      <c r="R235" s="121"/>
      <c r="S235" s="121"/>
      <c r="T235" s="122"/>
      <c r="U235" s="122"/>
      <c r="V235" s="122"/>
      <c r="W235" s="122"/>
      <c r="X235" s="180"/>
      <c r="Y235" s="180"/>
      <c r="Z235" s="122"/>
      <c r="AA235" s="180"/>
      <c r="AB235" s="180"/>
      <c r="AC235" s="180"/>
      <c r="AD235" s="179"/>
      <c r="AE235" s="271"/>
      <c r="AF235" s="180"/>
      <c r="AG235" s="180"/>
      <c r="AH235" s="180"/>
      <c r="AI235" s="180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22"/>
      <c r="BV235" s="115"/>
      <c r="BW235" s="115"/>
      <c r="BX235" s="115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74"/>
      <c r="CN235" s="174"/>
      <c r="CU235" s="14"/>
      <c r="CV235" s="39"/>
      <c r="CW235" s="39"/>
      <c r="CX235" s="222"/>
      <c r="CY235" s="222"/>
      <c r="CZ235" s="222"/>
      <c r="DA235" s="222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342"/>
      <c r="EE235" s="342"/>
    </row>
    <row r="236" spans="1:135" s="7" customFormat="1" ht="12.75" hidden="1" customHeight="1" outlineLevel="1" x14ac:dyDescent="0.2">
      <c r="A236" s="12"/>
      <c r="B236" s="169"/>
      <c r="C236" s="12"/>
      <c r="D236" s="13"/>
      <c r="E236" s="11"/>
      <c r="F236" s="169"/>
      <c r="G236" s="35"/>
      <c r="H236" s="1"/>
      <c r="I236" s="1"/>
      <c r="J236" s="122"/>
      <c r="K236" s="122"/>
      <c r="L236" s="122"/>
      <c r="M236" s="122"/>
      <c r="N236" s="122"/>
      <c r="O236" s="122"/>
      <c r="P236" s="122"/>
      <c r="Q236" s="122"/>
      <c r="R236" s="121"/>
      <c r="S236" s="121"/>
      <c r="T236" s="122"/>
      <c r="U236" s="122"/>
      <c r="V236" s="122"/>
      <c r="W236" s="122"/>
      <c r="X236" s="180"/>
      <c r="Y236" s="180"/>
      <c r="Z236" s="122"/>
      <c r="AA236" s="180"/>
      <c r="AB236" s="180"/>
      <c r="AC236" s="180"/>
      <c r="AD236" s="179"/>
      <c r="AE236" s="271"/>
      <c r="AF236" s="180"/>
      <c r="AG236" s="180"/>
      <c r="AH236" s="180"/>
      <c r="AI236" s="180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22"/>
      <c r="BV236" s="115"/>
      <c r="BW236" s="115"/>
      <c r="BX236" s="115"/>
      <c r="BY236" s="183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74"/>
      <c r="CN236" s="174"/>
      <c r="CU236" s="14"/>
      <c r="CV236" s="39"/>
      <c r="CW236" s="39"/>
      <c r="CX236" s="222"/>
      <c r="CY236" s="222"/>
      <c r="CZ236" s="222"/>
      <c r="DA236" s="222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342"/>
      <c r="EE236" s="342"/>
    </row>
    <row r="237" spans="1:135" s="7" customFormat="1" ht="12.75" hidden="1" customHeight="1" outlineLevel="1" x14ac:dyDescent="0.2">
      <c r="A237" s="12"/>
      <c r="B237" s="169"/>
      <c r="C237" s="12"/>
      <c r="D237" s="13"/>
      <c r="E237" s="11"/>
      <c r="F237" s="169"/>
      <c r="G237" s="35"/>
      <c r="H237" s="1"/>
      <c r="I237" s="1"/>
      <c r="J237" s="122"/>
      <c r="K237" s="122"/>
      <c r="L237" s="122"/>
      <c r="M237" s="122"/>
      <c r="N237" s="122"/>
      <c r="O237" s="122"/>
      <c r="P237" s="122"/>
      <c r="Q237" s="122"/>
      <c r="R237" s="121"/>
      <c r="S237" s="121"/>
      <c r="T237" s="122"/>
      <c r="U237" s="122"/>
      <c r="V237" s="122"/>
      <c r="W237" s="122"/>
      <c r="X237" s="180"/>
      <c r="Y237" s="180"/>
      <c r="Z237" s="122"/>
      <c r="AA237" s="180"/>
      <c r="AB237" s="180"/>
      <c r="AC237" s="180"/>
      <c r="AD237" s="179"/>
      <c r="AE237" s="271"/>
      <c r="AF237" s="180"/>
      <c r="AG237" s="180"/>
      <c r="AH237" s="180"/>
      <c r="AI237" s="180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22"/>
      <c r="BV237" s="115"/>
      <c r="BW237" s="115"/>
      <c r="BX237" s="115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74"/>
      <c r="CN237" s="174"/>
      <c r="CU237" s="14"/>
      <c r="CV237" s="39"/>
      <c r="CW237" s="39"/>
      <c r="CX237" s="222"/>
      <c r="CY237" s="222"/>
      <c r="CZ237" s="222"/>
      <c r="DA237" s="222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  <c r="DR237" s="156"/>
      <c r="DS237" s="156"/>
      <c r="DT237" s="156"/>
      <c r="DU237" s="156"/>
      <c r="DV237" s="156"/>
      <c r="DW237" s="156"/>
      <c r="DX237" s="156"/>
      <c r="DY237" s="156"/>
      <c r="DZ237" s="156"/>
      <c r="EA237" s="156"/>
      <c r="EB237" s="156"/>
      <c r="EC237" s="156"/>
      <c r="ED237" s="342"/>
      <c r="EE237" s="342"/>
    </row>
    <row r="238" spans="1:135" s="7" customFormat="1" ht="12.75" hidden="1" customHeight="1" outlineLevel="1" x14ac:dyDescent="0.2">
      <c r="A238" s="12"/>
      <c r="B238" s="169"/>
      <c r="C238" s="12"/>
      <c r="D238" s="13"/>
      <c r="E238" s="11"/>
      <c r="F238" s="169"/>
      <c r="G238" s="35"/>
      <c r="H238" s="1"/>
      <c r="I238" s="1"/>
      <c r="J238" s="122"/>
      <c r="K238" s="122"/>
      <c r="L238" s="122"/>
      <c r="M238" s="122"/>
      <c r="N238" s="122"/>
      <c r="O238" s="122"/>
      <c r="P238" s="122"/>
      <c r="Q238" s="122"/>
      <c r="R238" s="121"/>
      <c r="S238" s="121"/>
      <c r="T238" s="122"/>
      <c r="U238" s="122"/>
      <c r="V238" s="122"/>
      <c r="W238" s="122"/>
      <c r="X238" s="180"/>
      <c r="Y238" s="180"/>
      <c r="Z238" s="122"/>
      <c r="AA238" s="180"/>
      <c r="AB238" s="180"/>
      <c r="AC238" s="180"/>
      <c r="AD238" s="179"/>
      <c r="AE238" s="271"/>
      <c r="AF238" s="180"/>
      <c r="AG238" s="180"/>
      <c r="AH238" s="180"/>
      <c r="AI238" s="180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22"/>
      <c r="BV238" s="115"/>
      <c r="BW238" s="115"/>
      <c r="BX238" s="115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74"/>
      <c r="CN238" s="174"/>
      <c r="CU238" s="14"/>
      <c r="CV238" s="39"/>
      <c r="CW238" s="39"/>
      <c r="CX238" s="222"/>
      <c r="CY238" s="222"/>
      <c r="CZ238" s="222"/>
      <c r="DA238" s="222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  <c r="DR238" s="156"/>
      <c r="DS238" s="156"/>
      <c r="DT238" s="156"/>
      <c r="DU238" s="156"/>
      <c r="DV238" s="156"/>
      <c r="DW238" s="156"/>
      <c r="DX238" s="156"/>
      <c r="DY238" s="156"/>
      <c r="DZ238" s="156"/>
      <c r="EA238" s="156"/>
      <c r="EB238" s="156"/>
      <c r="EC238" s="156"/>
      <c r="ED238" s="342"/>
      <c r="EE238" s="342"/>
    </row>
    <row r="239" spans="1:135" s="7" customFormat="1" ht="12.75" hidden="1" customHeight="1" outlineLevel="1" x14ac:dyDescent="0.2">
      <c r="A239" s="12"/>
      <c r="B239" s="169"/>
      <c r="C239" s="12"/>
      <c r="D239" s="13"/>
      <c r="E239" s="11"/>
      <c r="F239" s="169"/>
      <c r="G239" s="35"/>
      <c r="H239" s="1"/>
      <c r="I239" s="1"/>
      <c r="J239" s="122"/>
      <c r="K239" s="122"/>
      <c r="L239" s="122"/>
      <c r="M239" s="122"/>
      <c r="N239" s="122"/>
      <c r="O239" s="122"/>
      <c r="P239" s="122"/>
      <c r="Q239" s="122"/>
      <c r="R239" s="121"/>
      <c r="S239" s="121"/>
      <c r="T239" s="122"/>
      <c r="U239" s="122"/>
      <c r="V239" s="122"/>
      <c r="W239" s="122"/>
      <c r="X239" s="180"/>
      <c r="Y239" s="180"/>
      <c r="Z239" s="122"/>
      <c r="AA239" s="180"/>
      <c r="AB239" s="180"/>
      <c r="AC239" s="180"/>
      <c r="AD239" s="179"/>
      <c r="AE239" s="271"/>
      <c r="AF239" s="180"/>
      <c r="AG239" s="180"/>
      <c r="AH239" s="180"/>
      <c r="AI239" s="180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22"/>
      <c r="BV239" s="115"/>
      <c r="BW239" s="115"/>
      <c r="BX239" s="115"/>
      <c r="BY239" s="183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74"/>
      <c r="CN239" s="174"/>
      <c r="CU239" s="14"/>
      <c r="CV239" s="39"/>
      <c r="CW239" s="39"/>
      <c r="CX239" s="222"/>
      <c r="CY239" s="222"/>
      <c r="CZ239" s="222"/>
      <c r="DA239" s="222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  <c r="DR239" s="156"/>
      <c r="DS239" s="156"/>
      <c r="DT239" s="156"/>
      <c r="DU239" s="156"/>
      <c r="DV239" s="156"/>
      <c r="DW239" s="156"/>
      <c r="DX239" s="156"/>
      <c r="DY239" s="156"/>
      <c r="DZ239" s="156"/>
      <c r="EA239" s="156"/>
      <c r="EB239" s="156"/>
      <c r="EC239" s="156"/>
      <c r="ED239" s="342"/>
      <c r="EE239" s="342"/>
    </row>
    <row r="240" spans="1:135" s="7" customFormat="1" ht="12.75" hidden="1" customHeight="1" outlineLevel="1" x14ac:dyDescent="0.2">
      <c r="A240" s="12"/>
      <c r="B240" s="169"/>
      <c r="C240" s="12"/>
      <c r="D240" s="13"/>
      <c r="E240" s="11"/>
      <c r="F240" s="169"/>
      <c r="G240" s="35"/>
      <c r="H240" s="1"/>
      <c r="I240" s="1"/>
      <c r="J240" s="122"/>
      <c r="K240" s="122"/>
      <c r="L240" s="122"/>
      <c r="M240" s="122"/>
      <c r="N240" s="122"/>
      <c r="O240" s="122"/>
      <c r="P240" s="122"/>
      <c r="Q240" s="122"/>
      <c r="R240" s="121"/>
      <c r="S240" s="121"/>
      <c r="T240" s="122"/>
      <c r="U240" s="122"/>
      <c r="V240" s="122"/>
      <c r="W240" s="122"/>
      <c r="X240" s="180"/>
      <c r="Y240" s="180"/>
      <c r="Z240" s="122"/>
      <c r="AA240" s="180"/>
      <c r="AB240" s="180"/>
      <c r="AC240" s="180"/>
      <c r="AD240" s="179"/>
      <c r="AE240" s="271"/>
      <c r="AF240" s="180"/>
      <c r="AG240" s="180"/>
      <c r="AH240" s="180"/>
      <c r="AI240" s="180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22"/>
      <c r="BV240" s="115"/>
      <c r="BW240" s="115"/>
      <c r="BX240" s="115"/>
      <c r="BY240" s="183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74"/>
      <c r="CN240" s="174"/>
      <c r="CU240" s="14"/>
      <c r="CV240" s="39"/>
      <c r="CW240" s="39"/>
      <c r="CX240" s="222"/>
      <c r="CY240" s="222"/>
      <c r="CZ240" s="222"/>
      <c r="DA240" s="222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  <c r="DT240" s="156"/>
      <c r="DU240" s="156"/>
      <c r="DV240" s="156"/>
      <c r="DW240" s="156"/>
      <c r="DX240" s="156"/>
      <c r="DY240" s="156"/>
      <c r="DZ240" s="156"/>
      <c r="EA240" s="156"/>
      <c r="EB240" s="156"/>
      <c r="EC240" s="156"/>
      <c r="ED240" s="342"/>
      <c r="EE240" s="342"/>
    </row>
    <row r="241" spans="1:138" s="7" customFormat="1" ht="12.75" hidden="1" customHeight="1" outlineLevel="1" x14ac:dyDescent="0.2">
      <c r="A241" s="12"/>
      <c r="B241" s="169"/>
      <c r="C241" s="12"/>
      <c r="D241" s="13"/>
      <c r="E241" s="11"/>
      <c r="F241" s="169"/>
      <c r="G241" s="35"/>
      <c r="H241" s="1"/>
      <c r="I241" s="1"/>
      <c r="J241" s="122"/>
      <c r="K241" s="122"/>
      <c r="L241" s="122"/>
      <c r="M241" s="122"/>
      <c r="N241" s="122"/>
      <c r="O241" s="122"/>
      <c r="P241" s="122"/>
      <c r="Q241" s="122"/>
      <c r="R241" s="121"/>
      <c r="S241" s="121"/>
      <c r="T241" s="122"/>
      <c r="U241" s="122"/>
      <c r="V241" s="122"/>
      <c r="W241" s="122"/>
      <c r="X241" s="180"/>
      <c r="Y241" s="180"/>
      <c r="Z241" s="122"/>
      <c r="AA241" s="180"/>
      <c r="AB241" s="180"/>
      <c r="AC241" s="180"/>
      <c r="AD241" s="179"/>
      <c r="AE241" s="271"/>
      <c r="AF241" s="180"/>
      <c r="AG241" s="180"/>
      <c r="AH241" s="180"/>
      <c r="AI241" s="180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22"/>
      <c r="BV241" s="115"/>
      <c r="BW241" s="115"/>
      <c r="BX241" s="115"/>
      <c r="BY241" s="183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74"/>
      <c r="CN241" s="174"/>
      <c r="CU241" s="14"/>
      <c r="CV241" s="39"/>
      <c r="CW241" s="39"/>
      <c r="CX241" s="222"/>
      <c r="CY241" s="222"/>
      <c r="CZ241" s="222"/>
      <c r="DA241" s="222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  <c r="DT241" s="156"/>
      <c r="DU241" s="156"/>
      <c r="DV241" s="156"/>
      <c r="DW241" s="156"/>
      <c r="DX241" s="156"/>
      <c r="DY241" s="156"/>
      <c r="DZ241" s="156"/>
      <c r="EA241" s="156"/>
      <c r="EB241" s="156"/>
      <c r="EC241" s="156"/>
      <c r="ED241" s="342"/>
      <c r="EE241" s="342"/>
    </row>
    <row r="242" spans="1:138" s="7" customFormat="1" ht="12.75" hidden="1" customHeight="1" outlineLevel="1" x14ac:dyDescent="0.2">
      <c r="A242" s="12"/>
      <c r="B242" s="169"/>
      <c r="C242" s="12"/>
      <c r="D242" s="13"/>
      <c r="E242" s="11"/>
      <c r="F242" s="169"/>
      <c r="G242" s="35"/>
      <c r="H242" s="1"/>
      <c r="I242" s="1"/>
      <c r="J242" s="122"/>
      <c r="K242" s="122"/>
      <c r="L242" s="122"/>
      <c r="M242" s="122"/>
      <c r="N242" s="122"/>
      <c r="O242" s="122"/>
      <c r="P242" s="122"/>
      <c r="Q242" s="122"/>
      <c r="R242" s="121"/>
      <c r="S242" s="121"/>
      <c r="T242" s="122"/>
      <c r="U242" s="122"/>
      <c r="V242" s="122"/>
      <c r="W242" s="122"/>
      <c r="X242" s="180"/>
      <c r="Y242" s="180"/>
      <c r="Z242" s="122"/>
      <c r="AA242" s="180"/>
      <c r="AB242" s="180"/>
      <c r="AC242" s="180"/>
      <c r="AD242" s="179"/>
      <c r="AE242" s="271"/>
      <c r="AF242" s="180"/>
      <c r="AG242" s="180"/>
      <c r="AH242" s="180"/>
      <c r="AI242" s="180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22"/>
      <c r="BV242" s="115"/>
      <c r="BW242" s="115"/>
      <c r="BX242" s="115"/>
      <c r="BY242" s="183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74"/>
      <c r="CN242" s="174"/>
      <c r="CU242" s="14"/>
      <c r="CV242" s="39"/>
      <c r="CW242" s="39"/>
      <c r="CX242" s="222"/>
      <c r="CY242" s="222"/>
      <c r="CZ242" s="222"/>
      <c r="DA242" s="222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  <c r="DR242" s="156"/>
      <c r="DS242" s="156"/>
      <c r="DT242" s="156"/>
      <c r="DU242" s="156"/>
      <c r="DV242" s="156"/>
      <c r="DW242" s="156"/>
      <c r="DX242" s="156"/>
      <c r="DY242" s="156"/>
      <c r="DZ242" s="156"/>
      <c r="EA242" s="156"/>
      <c r="EB242" s="156"/>
      <c r="EC242" s="156"/>
      <c r="ED242" s="342"/>
      <c r="EE242" s="342"/>
    </row>
    <row r="243" spans="1:138" s="7" customFormat="1" ht="12.75" hidden="1" customHeight="1" outlineLevel="1" x14ac:dyDescent="0.2">
      <c r="A243" s="12"/>
      <c r="B243" s="169"/>
      <c r="C243" s="12"/>
      <c r="D243" s="13"/>
      <c r="E243" s="11"/>
      <c r="F243" s="169"/>
      <c r="G243" s="35"/>
      <c r="H243" s="1"/>
      <c r="I243" s="1"/>
      <c r="J243" s="122"/>
      <c r="K243" s="122"/>
      <c r="L243" s="122"/>
      <c r="M243" s="122"/>
      <c r="N243" s="122"/>
      <c r="O243" s="122"/>
      <c r="P243" s="122"/>
      <c r="Q243" s="122"/>
      <c r="R243" s="121"/>
      <c r="S243" s="121"/>
      <c r="T243" s="122"/>
      <c r="U243" s="122"/>
      <c r="V243" s="122"/>
      <c r="W243" s="122"/>
      <c r="X243" s="180"/>
      <c r="Y243" s="180"/>
      <c r="Z243" s="122"/>
      <c r="AA243" s="180"/>
      <c r="AB243" s="180"/>
      <c r="AC243" s="180"/>
      <c r="AD243" s="179"/>
      <c r="AE243" s="271"/>
      <c r="AF243" s="180"/>
      <c r="AG243" s="180"/>
      <c r="AH243" s="180"/>
      <c r="AI243" s="180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22"/>
      <c r="BV243" s="115"/>
      <c r="BW243" s="115"/>
      <c r="BX243" s="115"/>
      <c r="BY243" s="183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74"/>
      <c r="CN243" s="174"/>
      <c r="CU243" s="14"/>
      <c r="CV243" s="39"/>
      <c r="CW243" s="39"/>
      <c r="CX243" s="222"/>
      <c r="CY243" s="222"/>
      <c r="CZ243" s="222"/>
      <c r="DA243" s="222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342"/>
      <c r="EE243" s="342"/>
    </row>
    <row r="244" spans="1:138" s="7" customFormat="1" ht="12.75" hidden="1" customHeight="1" outlineLevel="1" x14ac:dyDescent="0.2">
      <c r="A244" s="12"/>
      <c r="B244" s="169"/>
      <c r="C244" s="12"/>
      <c r="D244" s="13"/>
      <c r="E244" s="11"/>
      <c r="F244" s="169"/>
      <c r="G244" s="35"/>
      <c r="H244" s="1"/>
      <c r="I244" s="1"/>
      <c r="J244" s="122"/>
      <c r="K244" s="122"/>
      <c r="L244" s="122"/>
      <c r="M244" s="122"/>
      <c r="N244" s="122"/>
      <c r="O244" s="122"/>
      <c r="P244" s="122"/>
      <c r="Q244" s="122"/>
      <c r="R244" s="121"/>
      <c r="S244" s="121"/>
      <c r="T244" s="122"/>
      <c r="U244" s="122"/>
      <c r="V244" s="122"/>
      <c r="W244" s="122"/>
      <c r="X244" s="180"/>
      <c r="Y244" s="180"/>
      <c r="Z244" s="122"/>
      <c r="AA244" s="180"/>
      <c r="AB244" s="180"/>
      <c r="AC244" s="180"/>
      <c r="AD244" s="179"/>
      <c r="AE244" s="271"/>
      <c r="AF244" s="180"/>
      <c r="AG244" s="180"/>
      <c r="AH244" s="180"/>
      <c r="AI244" s="180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22"/>
      <c r="BV244" s="115"/>
      <c r="BW244" s="115"/>
      <c r="BX244" s="115"/>
      <c r="BY244" s="183"/>
      <c r="BZ244" s="183"/>
      <c r="CA244" s="183"/>
      <c r="CB244" s="183"/>
      <c r="CC244" s="183"/>
      <c r="CD244" s="183"/>
      <c r="CE244" s="183"/>
      <c r="CF244" s="183"/>
      <c r="CG244" s="183"/>
      <c r="CH244" s="183"/>
      <c r="CI244" s="183"/>
      <c r="CJ244" s="183"/>
      <c r="CK244" s="183"/>
      <c r="CL244" s="183"/>
      <c r="CM244" s="174"/>
      <c r="CN244" s="174"/>
      <c r="CU244" s="14"/>
      <c r="CV244" s="39"/>
      <c r="CW244" s="39"/>
      <c r="CX244" s="222"/>
      <c r="CY244" s="222"/>
      <c r="CZ244" s="222"/>
      <c r="DA244" s="222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  <c r="DR244" s="156"/>
      <c r="DS244" s="156"/>
      <c r="DT244" s="156"/>
      <c r="DU244" s="156"/>
      <c r="DV244" s="156"/>
      <c r="DW244" s="156"/>
      <c r="DX244" s="156"/>
      <c r="DY244" s="156"/>
      <c r="DZ244" s="156"/>
      <c r="EA244" s="156"/>
      <c r="EB244" s="156"/>
      <c r="EC244" s="156"/>
      <c r="ED244" s="342"/>
      <c r="EE244" s="342"/>
    </row>
    <row r="245" spans="1:138" s="7" customFormat="1" ht="12.75" hidden="1" customHeight="1" outlineLevel="1" x14ac:dyDescent="0.2">
      <c r="A245" s="12"/>
      <c r="B245" s="169"/>
      <c r="C245" s="12"/>
      <c r="D245" s="13"/>
      <c r="E245" s="11"/>
      <c r="F245" s="169"/>
      <c r="G245" s="35"/>
      <c r="H245" s="1"/>
      <c r="I245" s="1"/>
      <c r="J245" s="122"/>
      <c r="K245" s="122"/>
      <c r="L245" s="122"/>
      <c r="M245" s="122"/>
      <c r="N245" s="122"/>
      <c r="O245" s="122"/>
      <c r="P245" s="122"/>
      <c r="Q245" s="122"/>
      <c r="R245" s="121"/>
      <c r="S245" s="121"/>
      <c r="T245" s="122"/>
      <c r="U245" s="122"/>
      <c r="V245" s="122"/>
      <c r="W245" s="122"/>
      <c r="X245" s="180"/>
      <c r="Y245" s="180"/>
      <c r="Z245" s="122"/>
      <c r="AA245" s="180"/>
      <c r="AB245" s="180"/>
      <c r="AC245" s="180"/>
      <c r="AD245" s="179"/>
      <c r="AE245" s="271"/>
      <c r="AF245" s="180"/>
      <c r="AG245" s="180"/>
      <c r="AH245" s="180"/>
      <c r="AI245" s="180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22"/>
      <c r="BV245" s="115"/>
      <c r="BW245" s="115"/>
      <c r="BX245" s="115"/>
      <c r="BY245" s="183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74"/>
      <c r="CN245" s="174"/>
      <c r="CU245" s="14"/>
      <c r="CV245" s="39"/>
      <c r="CW245" s="39"/>
      <c r="CX245" s="222"/>
      <c r="CY245" s="222"/>
      <c r="CZ245" s="222"/>
      <c r="DA245" s="222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  <c r="DR245" s="156"/>
      <c r="DS245" s="156"/>
      <c r="DT245" s="156"/>
      <c r="DU245" s="156"/>
      <c r="DV245" s="156"/>
      <c r="DW245" s="156"/>
      <c r="DX245" s="156"/>
      <c r="DY245" s="156"/>
      <c r="DZ245" s="156"/>
      <c r="EA245" s="156"/>
      <c r="EB245" s="156"/>
      <c r="EC245" s="156"/>
      <c r="ED245" s="342"/>
      <c r="EE245" s="342"/>
    </row>
    <row r="246" spans="1:138" s="7" customFormat="1" ht="12.75" hidden="1" customHeight="1" outlineLevel="1" x14ac:dyDescent="0.2">
      <c r="A246" s="12"/>
      <c r="B246" s="169"/>
      <c r="C246" s="12"/>
      <c r="D246" s="13"/>
      <c r="E246" s="11"/>
      <c r="F246" s="169"/>
      <c r="G246" s="35"/>
      <c r="H246" s="1"/>
      <c r="I246" s="1"/>
      <c r="J246" s="122"/>
      <c r="K246" s="122"/>
      <c r="L246" s="122"/>
      <c r="M246" s="122"/>
      <c r="N246" s="122"/>
      <c r="O246" s="122"/>
      <c r="P246" s="122"/>
      <c r="Q246" s="122"/>
      <c r="R246" s="121"/>
      <c r="S246" s="121"/>
      <c r="T246" s="122"/>
      <c r="U246" s="122"/>
      <c r="V246" s="122"/>
      <c r="W246" s="122"/>
      <c r="X246" s="180"/>
      <c r="Y246" s="180"/>
      <c r="Z246" s="122"/>
      <c r="AA246" s="180"/>
      <c r="AB246" s="180"/>
      <c r="AC246" s="180"/>
      <c r="AD246" s="179"/>
      <c r="AE246" s="271"/>
      <c r="AF246" s="180"/>
      <c r="AG246" s="180"/>
      <c r="AH246" s="180"/>
      <c r="AI246" s="180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22"/>
      <c r="BV246" s="115"/>
      <c r="BW246" s="115"/>
      <c r="BX246" s="115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74"/>
      <c r="CN246" s="174"/>
      <c r="CU246" s="14"/>
      <c r="CV246" s="39"/>
      <c r="CW246" s="39"/>
      <c r="CX246" s="222"/>
      <c r="CY246" s="222"/>
      <c r="CZ246" s="222"/>
      <c r="DA246" s="222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  <c r="DR246" s="156"/>
      <c r="DS246" s="156"/>
      <c r="DT246" s="156"/>
      <c r="DU246" s="156"/>
      <c r="DV246" s="156"/>
      <c r="DW246" s="156"/>
      <c r="DX246" s="156"/>
      <c r="DY246" s="156"/>
      <c r="DZ246" s="156"/>
      <c r="EA246" s="156"/>
      <c r="EB246" s="156"/>
      <c r="EC246" s="156"/>
      <c r="ED246" s="342"/>
      <c r="EE246" s="342"/>
    </row>
    <row r="247" spans="1:138" s="7" customFormat="1" outlineLevel="1" x14ac:dyDescent="0.2">
      <c r="A247" s="12"/>
      <c r="B247" s="169"/>
      <c r="C247" s="12"/>
      <c r="D247" s="13"/>
      <c r="E247" s="11"/>
      <c r="F247" s="169"/>
      <c r="G247" s="35"/>
      <c r="H247" s="1"/>
      <c r="I247" s="1"/>
      <c r="J247" s="122"/>
      <c r="K247" s="122"/>
      <c r="L247" s="122"/>
      <c r="M247" s="122"/>
      <c r="N247" s="122"/>
      <c r="O247" s="122"/>
      <c r="P247" s="122"/>
      <c r="Q247" s="122"/>
      <c r="R247" s="121"/>
      <c r="S247" s="121"/>
      <c r="T247" s="122"/>
      <c r="U247" s="122"/>
      <c r="V247" s="122"/>
      <c r="W247" s="122"/>
      <c r="X247" s="180"/>
      <c r="Y247" s="180"/>
      <c r="Z247" s="122"/>
      <c r="AA247" s="180"/>
      <c r="AB247" s="180"/>
      <c r="AC247" s="180"/>
      <c r="AD247" s="179"/>
      <c r="AE247" s="271"/>
      <c r="AF247" s="180"/>
      <c r="AG247" s="180"/>
      <c r="AH247" s="180"/>
      <c r="AI247" s="180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22"/>
      <c r="BV247" s="115"/>
      <c r="BW247" s="115"/>
      <c r="BX247" s="115"/>
      <c r="BY247" s="183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74"/>
      <c r="CN247" s="174"/>
      <c r="CU247" s="14"/>
      <c r="CV247" s="39"/>
      <c r="CW247" s="39"/>
      <c r="CX247" s="222"/>
      <c r="CY247" s="222"/>
      <c r="CZ247" s="222"/>
      <c r="DA247" s="222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342"/>
      <c r="EE247" s="342"/>
    </row>
    <row r="248" spans="1:138" s="155" customFormat="1" x14ac:dyDescent="0.2">
      <c r="A248" s="161"/>
      <c r="B248" s="177"/>
      <c r="C248" s="151" t="s">
        <v>27</v>
      </c>
      <c r="D248" s="152"/>
      <c r="E248" s="150"/>
      <c r="F248" s="177"/>
      <c r="G248" s="153">
        <f>SUM(G7:G187)</f>
        <v>181</v>
      </c>
      <c r="H248" s="153"/>
      <c r="I248" s="153"/>
      <c r="J248" s="153">
        <f t="shared" ref="J248:BS248" si="184">SUM(J7:J187)</f>
        <v>4319202.5</v>
      </c>
      <c r="K248" s="153">
        <f t="shared" si="184"/>
        <v>235917</v>
      </c>
      <c r="L248" s="153">
        <f t="shared" si="184"/>
        <v>151381.53</v>
      </c>
      <c r="M248" s="153">
        <f t="shared" si="184"/>
        <v>80862</v>
      </c>
      <c r="N248" s="153">
        <f t="shared" si="184"/>
        <v>16884</v>
      </c>
      <c r="O248" s="153">
        <f t="shared" si="184"/>
        <v>37677</v>
      </c>
      <c r="P248" s="153">
        <f t="shared" si="184"/>
        <v>16942</v>
      </c>
      <c r="Q248" s="153">
        <f t="shared" si="184"/>
        <v>33094</v>
      </c>
      <c r="R248" s="153">
        <f t="shared" si="184"/>
        <v>915468.03000000014</v>
      </c>
      <c r="S248" s="153">
        <f t="shared" si="184"/>
        <v>556914.33999999962</v>
      </c>
      <c r="T248" s="153">
        <f t="shared" si="184"/>
        <v>15424</v>
      </c>
      <c r="U248" s="153">
        <f t="shared" si="184"/>
        <v>836068.37999999966</v>
      </c>
      <c r="V248" s="153">
        <f t="shared" si="184"/>
        <v>507836.95000000013</v>
      </c>
      <c r="W248" s="153">
        <f t="shared" si="184"/>
        <v>1455</v>
      </c>
      <c r="X248" s="153">
        <f t="shared" si="184"/>
        <v>79067.749999999985</v>
      </c>
      <c r="Y248" s="153">
        <f t="shared" si="184"/>
        <v>49005.320000000022</v>
      </c>
      <c r="Z248" s="153">
        <f t="shared" si="184"/>
        <v>5</v>
      </c>
      <c r="AA248" s="153">
        <f t="shared" si="184"/>
        <v>331.9</v>
      </c>
      <c r="AB248" s="153">
        <f t="shared" si="184"/>
        <v>72.069999999999993</v>
      </c>
      <c r="AC248" s="153">
        <f t="shared" si="184"/>
        <v>84093.46</v>
      </c>
      <c r="AD248" s="153">
        <f t="shared" si="184"/>
        <v>27191.640000000003</v>
      </c>
      <c r="AE248" s="153">
        <f t="shared" si="184"/>
        <v>0</v>
      </c>
      <c r="AF248" s="153">
        <f t="shared" si="184"/>
        <v>27191.640000000003</v>
      </c>
      <c r="AG248" s="153">
        <f t="shared" si="184"/>
        <v>53099.51999999999</v>
      </c>
      <c r="AH248" s="153">
        <f t="shared" si="184"/>
        <v>3802.2999999999997</v>
      </c>
      <c r="AI248" s="153">
        <f t="shared" si="184"/>
        <v>999561.49000000011</v>
      </c>
      <c r="AJ248" s="153">
        <f t="shared" si="184"/>
        <v>20</v>
      </c>
      <c r="AK248" s="153">
        <f t="shared" si="184"/>
        <v>279</v>
      </c>
      <c r="AL248" s="153">
        <f t="shared" si="184"/>
        <v>689</v>
      </c>
      <c r="AM248" s="153">
        <f t="shared" si="184"/>
        <v>288</v>
      </c>
      <c r="AN248" s="153">
        <f t="shared" si="184"/>
        <v>33</v>
      </c>
      <c r="AO248" s="153">
        <f t="shared" si="184"/>
        <v>366</v>
      </c>
      <c r="AP248" s="153">
        <f t="shared" si="184"/>
        <v>771066.06</v>
      </c>
      <c r="AQ248" s="153">
        <f t="shared" si="184"/>
        <v>6345.67</v>
      </c>
      <c r="AR248" s="153">
        <f t="shared" si="184"/>
        <v>94079.17</v>
      </c>
      <c r="AS248" s="153">
        <f t="shared" si="184"/>
        <v>61708.67</v>
      </c>
      <c r="AT248" s="153">
        <f t="shared" si="184"/>
        <v>19374</v>
      </c>
      <c r="AU248" s="153">
        <f t="shared" si="184"/>
        <v>1190447.67</v>
      </c>
      <c r="AV248" s="153">
        <f t="shared" si="184"/>
        <v>362237</v>
      </c>
      <c r="AW248" s="153">
        <f t="shared" si="184"/>
        <v>828210.66999999993</v>
      </c>
      <c r="AX248" s="153">
        <f t="shared" si="184"/>
        <v>228312.33333333334</v>
      </c>
      <c r="AY248" s="153">
        <f t="shared" si="184"/>
        <v>42347.333333333336</v>
      </c>
      <c r="AZ248" s="153">
        <f t="shared" si="184"/>
        <v>221243.5</v>
      </c>
      <c r="BA248" s="153">
        <f t="shared" si="184"/>
        <v>202138.5</v>
      </c>
      <c r="BB248" s="153">
        <f t="shared" si="184"/>
        <v>5243</v>
      </c>
      <c r="BC248" s="153">
        <f t="shared" si="184"/>
        <v>3541</v>
      </c>
      <c r="BD248" s="153">
        <f t="shared" si="184"/>
        <v>55596</v>
      </c>
      <c r="BE248" s="153">
        <f t="shared" si="184"/>
        <v>45044.5</v>
      </c>
      <c r="BF248" s="153">
        <f t="shared" si="184"/>
        <v>234</v>
      </c>
      <c r="BG248" s="153">
        <f t="shared" si="184"/>
        <v>2234452.5899159666</v>
      </c>
      <c r="BH248" s="153">
        <f t="shared" si="184"/>
        <v>417843.4</v>
      </c>
      <c r="BI248" s="153">
        <f t="shared" si="184"/>
        <v>19092</v>
      </c>
      <c r="BJ248" s="153">
        <f t="shared" si="184"/>
        <v>79</v>
      </c>
      <c r="BK248" s="153">
        <f t="shared" si="184"/>
        <v>414985.68999999994</v>
      </c>
      <c r="BL248" s="153">
        <f t="shared" si="184"/>
        <v>245787.45999999996</v>
      </c>
      <c r="BM248" s="153">
        <f t="shared" si="184"/>
        <v>97</v>
      </c>
      <c r="BN248" s="153">
        <f t="shared" si="184"/>
        <v>453708.05000000005</v>
      </c>
      <c r="BO248" s="153">
        <f t="shared" si="184"/>
        <v>281933.01</v>
      </c>
      <c r="BP248" s="153">
        <f t="shared" si="184"/>
        <v>5</v>
      </c>
      <c r="BQ248" s="153">
        <f t="shared" si="184"/>
        <v>46774.290000000008</v>
      </c>
      <c r="BR248" s="153">
        <f t="shared" si="184"/>
        <v>29193.87</v>
      </c>
      <c r="BS248" s="153">
        <f t="shared" si="184"/>
        <v>39</v>
      </c>
      <c r="BT248" s="153">
        <f t="shared" ref="BT248:CY248" si="185">SUM(BT7:BT187)</f>
        <v>325</v>
      </c>
      <c r="BU248" s="153">
        <f t="shared" si="185"/>
        <v>142525</v>
      </c>
      <c r="BV248" s="153">
        <f t="shared" si="185"/>
        <v>393401</v>
      </c>
      <c r="BW248" s="153">
        <f t="shared" si="185"/>
        <v>401</v>
      </c>
      <c r="BX248" s="153">
        <f t="shared" si="185"/>
        <v>389022.76</v>
      </c>
      <c r="BY248" s="153">
        <f t="shared" si="185"/>
        <v>340363.02999999991</v>
      </c>
      <c r="BZ248" s="153">
        <f t="shared" si="185"/>
        <v>129919.77</v>
      </c>
      <c r="CA248" s="217">
        <f t="shared" si="185"/>
        <v>129219.13000000005</v>
      </c>
      <c r="CB248" s="217">
        <f t="shared" si="185"/>
        <v>2862.18</v>
      </c>
      <c r="CC248" s="217">
        <f t="shared" si="185"/>
        <v>700.64</v>
      </c>
      <c r="CD248" s="217">
        <f t="shared" si="185"/>
        <v>200522.53999999992</v>
      </c>
      <c r="CE248" s="217">
        <f t="shared" si="185"/>
        <v>3087.73</v>
      </c>
      <c r="CF248" s="217">
        <f t="shared" si="185"/>
        <v>595.68000000000006</v>
      </c>
      <c r="CG248" s="217">
        <f t="shared" si="185"/>
        <v>2437.3200000000006</v>
      </c>
      <c r="CH248" s="217">
        <f t="shared" si="185"/>
        <v>937.80999999999983</v>
      </c>
      <c r="CI248" s="217">
        <f t="shared" si="185"/>
        <v>340363.02999999991</v>
      </c>
      <c r="CJ248" s="217">
        <f t="shared" si="185"/>
        <v>129919.77</v>
      </c>
      <c r="CK248" s="217">
        <f>SUM(CK7:CK187)</f>
        <v>220433.62</v>
      </c>
      <c r="CL248" s="217">
        <f>SUM(CL7:CL187)</f>
        <v>560796.65</v>
      </c>
      <c r="CM248" s="153">
        <f t="shared" si="185"/>
        <v>553681</v>
      </c>
      <c r="CN248" s="153">
        <f t="shared" si="185"/>
        <v>317764</v>
      </c>
      <c r="CO248" s="153">
        <f t="shared" si="185"/>
        <v>50</v>
      </c>
      <c r="CP248" s="153">
        <f t="shared" si="185"/>
        <v>362237</v>
      </c>
      <c r="CQ248" s="153">
        <f t="shared" si="185"/>
        <v>131</v>
      </c>
      <c r="CR248" s="153">
        <f t="shared" si="185"/>
        <v>828210.66999999993</v>
      </c>
      <c r="CS248" s="153">
        <f t="shared" si="185"/>
        <v>181</v>
      </c>
      <c r="CT248" s="153">
        <f t="shared" si="185"/>
        <v>1190447.67</v>
      </c>
      <c r="CU248" s="153"/>
      <c r="CV248" s="153">
        <f t="shared" si="185"/>
        <v>1</v>
      </c>
      <c r="CW248" s="153">
        <f t="shared" si="185"/>
        <v>5811.7</v>
      </c>
      <c r="CX248" s="153"/>
      <c r="CY248" s="153">
        <f t="shared" si="185"/>
        <v>1</v>
      </c>
      <c r="CZ248" s="153">
        <f>SUM(CZ7:CZ187)</f>
        <v>6705.9</v>
      </c>
      <c r="DA248" s="153"/>
      <c r="DB248" s="153">
        <f t="shared" ref="DB248:EC248" si="186">SUM(DB7:DB187)</f>
        <v>181</v>
      </c>
      <c r="DC248" s="153">
        <f t="shared" si="186"/>
        <v>0</v>
      </c>
      <c r="DD248" s="153">
        <f t="shared" si="186"/>
        <v>0</v>
      </c>
      <c r="DE248" s="153">
        <f t="shared" si="186"/>
        <v>6</v>
      </c>
      <c r="DF248" s="153">
        <f t="shared" si="186"/>
        <v>333</v>
      </c>
      <c r="DG248" s="153">
        <f t="shared" si="186"/>
        <v>0</v>
      </c>
      <c r="DH248" s="153">
        <f t="shared" si="186"/>
        <v>0</v>
      </c>
      <c r="DI248" s="153">
        <f t="shared" si="186"/>
        <v>12</v>
      </c>
      <c r="DJ248" s="153">
        <f t="shared" si="186"/>
        <v>0</v>
      </c>
      <c r="DK248" s="153">
        <f t="shared" si="186"/>
        <v>16858</v>
      </c>
      <c r="DL248" s="153">
        <f t="shared" si="186"/>
        <v>15546</v>
      </c>
      <c r="DM248" s="153">
        <f t="shared" si="186"/>
        <v>1312</v>
      </c>
      <c r="DN248" s="153">
        <f t="shared" si="186"/>
        <v>12411</v>
      </c>
      <c r="DO248" s="153">
        <f t="shared" si="186"/>
        <v>7750</v>
      </c>
      <c r="DP248" s="153">
        <f t="shared" si="186"/>
        <v>11263</v>
      </c>
      <c r="DQ248" s="153">
        <f t="shared" si="186"/>
        <v>9911</v>
      </c>
      <c r="DR248" s="153">
        <f t="shared" si="186"/>
        <v>8094</v>
      </c>
      <c r="DS248" s="153">
        <f t="shared" si="186"/>
        <v>10791</v>
      </c>
      <c r="DT248" s="153">
        <f t="shared" si="186"/>
        <v>10446</v>
      </c>
      <c r="DU248" s="153">
        <f t="shared" si="186"/>
        <v>755</v>
      </c>
      <c r="DV248" s="153">
        <f t="shared" si="186"/>
        <v>405</v>
      </c>
      <c r="DW248" s="153">
        <f t="shared" si="186"/>
        <v>1038</v>
      </c>
      <c r="DX248" s="153">
        <f t="shared" si="186"/>
        <v>477</v>
      </c>
      <c r="DY248" s="153">
        <f t="shared" si="186"/>
        <v>415</v>
      </c>
      <c r="DZ248" s="153">
        <f t="shared" si="186"/>
        <v>1018</v>
      </c>
      <c r="EA248" s="153">
        <f t="shared" si="186"/>
        <v>500</v>
      </c>
      <c r="EB248" s="153">
        <f t="shared" si="186"/>
        <v>16858</v>
      </c>
      <c r="EC248" s="153">
        <f t="shared" si="186"/>
        <v>16762</v>
      </c>
      <c r="ED248" s="342"/>
      <c r="EE248" s="342"/>
    </row>
    <row r="249" spans="1:138" s="75" customFormat="1" x14ac:dyDescent="0.2">
      <c r="A249" s="69"/>
      <c r="B249" s="172"/>
      <c r="C249" s="246"/>
      <c r="D249" s="72"/>
      <c r="E249" s="70"/>
      <c r="F249" s="172"/>
      <c r="G249" s="77"/>
      <c r="H249" s="74"/>
      <c r="I249" s="74"/>
      <c r="J249" s="218"/>
      <c r="K249" s="218"/>
      <c r="L249" s="218"/>
      <c r="M249" s="218"/>
      <c r="N249" s="218"/>
      <c r="O249" s="218"/>
      <c r="P249" s="218"/>
      <c r="Q249" s="124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301"/>
      <c r="CV249" s="77"/>
      <c r="CW249" s="77"/>
      <c r="CX249" s="222"/>
      <c r="CY249" s="77"/>
      <c r="CZ249" s="77"/>
      <c r="DA249" s="222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8"/>
      <c r="DZ249" s="218"/>
      <c r="EA249" s="218"/>
      <c r="EB249" s="218"/>
      <c r="EC249" s="218"/>
    </row>
    <row r="250" spans="1:138" s="20" customFormat="1" ht="25.5" x14ac:dyDescent="0.2">
      <c r="B250" s="173"/>
      <c r="C250" s="80" t="s">
        <v>26</v>
      </c>
      <c r="D250" s="50"/>
      <c r="E250" s="135"/>
      <c r="F250" s="214"/>
      <c r="G250" s="166">
        <f>G251+G252+G253+G254+G255+G256+G257+G258+G259</f>
        <v>181</v>
      </c>
      <c r="H250" s="166"/>
      <c r="I250" s="166"/>
      <c r="J250" s="166">
        <f t="shared" ref="J250:BU250" si="187">J251+J252+J253+J254+J255+J256+J257+J258+J259</f>
        <v>4319202.5</v>
      </c>
      <c r="K250" s="166">
        <f t="shared" si="187"/>
        <v>235917</v>
      </c>
      <c r="L250" s="166">
        <f t="shared" si="187"/>
        <v>151381.53</v>
      </c>
      <c r="M250" s="166">
        <f t="shared" si="187"/>
        <v>80862</v>
      </c>
      <c r="N250" s="166">
        <f>N251+N252+N253+N254+N255+N256+N257+N258+N259</f>
        <v>16884</v>
      </c>
      <c r="O250" s="166">
        <f t="shared" si="187"/>
        <v>37677</v>
      </c>
      <c r="P250" s="166">
        <f t="shared" si="187"/>
        <v>16942</v>
      </c>
      <c r="Q250" s="166">
        <f>Q251+Q252+Q253+Q254+Q255+Q256+Q257+Q258+Q259</f>
        <v>33094</v>
      </c>
      <c r="R250" s="313">
        <f>R251+R252+R253+R254+R255+R256+R257+R258+R259</f>
        <v>915468.03</v>
      </c>
      <c r="S250" s="166">
        <f t="shared" si="187"/>
        <v>556914.33999999985</v>
      </c>
      <c r="T250" s="166">
        <f t="shared" si="187"/>
        <v>15424</v>
      </c>
      <c r="U250" s="166">
        <f t="shared" si="187"/>
        <v>836068.38</v>
      </c>
      <c r="V250" s="166">
        <f t="shared" si="187"/>
        <v>507836.94999999995</v>
      </c>
      <c r="W250" s="166">
        <f t="shared" si="187"/>
        <v>1455</v>
      </c>
      <c r="X250" s="166">
        <f t="shared" si="187"/>
        <v>79067.75</v>
      </c>
      <c r="Y250" s="166">
        <f t="shared" si="187"/>
        <v>49005.319999999992</v>
      </c>
      <c r="Z250" s="166">
        <f t="shared" si="187"/>
        <v>5</v>
      </c>
      <c r="AA250" s="166">
        <f t="shared" si="187"/>
        <v>331.9</v>
      </c>
      <c r="AB250" s="166">
        <f t="shared" si="187"/>
        <v>72.069999999999993</v>
      </c>
      <c r="AC250" s="313">
        <f t="shared" si="187"/>
        <v>84093.459999999977</v>
      </c>
      <c r="AD250" s="166">
        <f t="shared" si="187"/>
        <v>27191.64</v>
      </c>
      <c r="AE250" s="166">
        <f t="shared" si="187"/>
        <v>0</v>
      </c>
      <c r="AF250" s="166">
        <f t="shared" si="187"/>
        <v>27191.64</v>
      </c>
      <c r="AG250" s="166">
        <f t="shared" si="187"/>
        <v>53099.520000000004</v>
      </c>
      <c r="AH250" s="166">
        <f t="shared" si="187"/>
        <v>3802.2999999999997</v>
      </c>
      <c r="AI250" s="313">
        <f>AI251+AI252+AI253+AI254+AI255+AI256+AI257+AI258+AI259</f>
        <v>999561.49000000011</v>
      </c>
      <c r="AJ250" s="166">
        <f t="shared" si="187"/>
        <v>20</v>
      </c>
      <c r="AK250" s="166">
        <f t="shared" si="187"/>
        <v>279</v>
      </c>
      <c r="AL250" s="166">
        <f t="shared" si="187"/>
        <v>689</v>
      </c>
      <c r="AM250" s="166">
        <f t="shared" si="187"/>
        <v>288</v>
      </c>
      <c r="AN250" s="166">
        <f t="shared" si="187"/>
        <v>33</v>
      </c>
      <c r="AO250" s="166">
        <f t="shared" si="187"/>
        <v>366</v>
      </c>
      <c r="AP250" s="166">
        <f t="shared" si="187"/>
        <v>771066.06</v>
      </c>
      <c r="AQ250" s="166">
        <f t="shared" si="187"/>
        <v>6345.67</v>
      </c>
      <c r="AR250" s="166">
        <f t="shared" si="187"/>
        <v>94079.17</v>
      </c>
      <c r="AS250" s="166">
        <f t="shared" si="187"/>
        <v>61708.67</v>
      </c>
      <c r="AT250" s="166">
        <f t="shared" si="187"/>
        <v>19374</v>
      </c>
      <c r="AU250" s="166">
        <f t="shared" si="187"/>
        <v>1190447.67</v>
      </c>
      <c r="AV250" s="166">
        <f t="shared" si="187"/>
        <v>362237</v>
      </c>
      <c r="AW250" s="166">
        <f t="shared" si="187"/>
        <v>828210.66999999993</v>
      </c>
      <c r="AX250" s="166">
        <f t="shared" si="187"/>
        <v>228312.33333333334</v>
      </c>
      <c r="AY250" s="166">
        <f t="shared" si="187"/>
        <v>42347.333333333328</v>
      </c>
      <c r="AZ250" s="166">
        <f t="shared" si="187"/>
        <v>221243.5</v>
      </c>
      <c r="BA250" s="166">
        <f t="shared" si="187"/>
        <v>202138.5</v>
      </c>
      <c r="BB250" s="166">
        <f t="shared" si="187"/>
        <v>5243</v>
      </c>
      <c r="BC250" s="166">
        <f t="shared" si="187"/>
        <v>3541</v>
      </c>
      <c r="BD250" s="166">
        <f t="shared" si="187"/>
        <v>55596</v>
      </c>
      <c r="BE250" s="166">
        <f t="shared" si="187"/>
        <v>45044.5</v>
      </c>
      <c r="BF250" s="166">
        <f t="shared" si="187"/>
        <v>234</v>
      </c>
      <c r="BG250" s="166">
        <f t="shared" si="187"/>
        <v>2234452.5899159661</v>
      </c>
      <c r="BH250" s="166">
        <f t="shared" si="187"/>
        <v>417843.4</v>
      </c>
      <c r="BI250" s="166">
        <f t="shared" si="187"/>
        <v>19092</v>
      </c>
      <c r="BJ250" s="166">
        <f t="shared" si="187"/>
        <v>79</v>
      </c>
      <c r="BK250" s="166">
        <f t="shared" si="187"/>
        <v>414985.69</v>
      </c>
      <c r="BL250" s="166">
        <f t="shared" si="187"/>
        <v>245787.46000000002</v>
      </c>
      <c r="BM250" s="166">
        <f t="shared" si="187"/>
        <v>97</v>
      </c>
      <c r="BN250" s="166">
        <f t="shared" si="187"/>
        <v>453708.05000000005</v>
      </c>
      <c r="BO250" s="166">
        <f t="shared" si="187"/>
        <v>281933.00999999995</v>
      </c>
      <c r="BP250" s="166">
        <f t="shared" si="187"/>
        <v>5</v>
      </c>
      <c r="BQ250" s="166">
        <f t="shared" si="187"/>
        <v>46774.29</v>
      </c>
      <c r="BR250" s="166">
        <f t="shared" si="187"/>
        <v>29193.87</v>
      </c>
      <c r="BS250" s="166">
        <f t="shared" si="187"/>
        <v>39</v>
      </c>
      <c r="BT250" s="166">
        <f t="shared" si="187"/>
        <v>325</v>
      </c>
      <c r="BU250" s="166">
        <f t="shared" si="187"/>
        <v>142525</v>
      </c>
      <c r="BV250" s="166">
        <f t="shared" ref="BV250:CW250" si="188">BV251+BV252+BV253+BV254+BV255+BV256+BV257+BV258+BV259</f>
        <v>393401</v>
      </c>
      <c r="BW250" s="166">
        <f t="shared" si="188"/>
        <v>401</v>
      </c>
      <c r="BX250" s="166">
        <f t="shared" si="188"/>
        <v>389022.76</v>
      </c>
      <c r="BY250" s="166">
        <f t="shared" si="188"/>
        <v>340363.02999999997</v>
      </c>
      <c r="BZ250" s="166">
        <f t="shared" si="188"/>
        <v>129919.76999999999</v>
      </c>
      <c r="CA250" s="166"/>
      <c r="CB250" s="166"/>
      <c r="CC250" s="166"/>
      <c r="CD250" s="166"/>
      <c r="CE250" s="166"/>
      <c r="CF250" s="166"/>
      <c r="CG250" s="166"/>
      <c r="CH250" s="166"/>
      <c r="CI250" s="166"/>
      <c r="CJ250" s="166"/>
      <c r="CK250" s="166"/>
      <c r="CL250" s="166"/>
      <c r="CM250" s="166">
        <f t="shared" si="188"/>
        <v>553681</v>
      </c>
      <c r="CN250" s="166">
        <f t="shared" si="188"/>
        <v>317764</v>
      </c>
      <c r="CO250" s="166">
        <f t="shared" si="188"/>
        <v>50</v>
      </c>
      <c r="CP250" s="166">
        <f t="shared" si="188"/>
        <v>362237</v>
      </c>
      <c r="CQ250" s="166">
        <f t="shared" si="188"/>
        <v>131</v>
      </c>
      <c r="CR250" s="166">
        <f t="shared" si="188"/>
        <v>828210.66999999993</v>
      </c>
      <c r="CS250" s="166">
        <f t="shared" si="188"/>
        <v>181</v>
      </c>
      <c r="CT250" s="166">
        <f t="shared" si="188"/>
        <v>1190447.67</v>
      </c>
      <c r="CU250" s="302"/>
      <c r="CV250" s="62">
        <f t="shared" si="188"/>
        <v>1</v>
      </c>
      <c r="CW250" s="62">
        <f t="shared" si="188"/>
        <v>5811.7</v>
      </c>
      <c r="CX250" s="223"/>
      <c r="CY250" s="62">
        <f t="shared" ref="CY250:CZ250" si="189">CY251+CY252+CY253+CY254+CY255+CY256+CY257+CY258+CY259</f>
        <v>1</v>
      </c>
      <c r="CZ250" s="62">
        <f t="shared" si="189"/>
        <v>6705.9</v>
      </c>
      <c r="DA250" s="223"/>
      <c r="DB250" s="166">
        <f t="shared" ref="DB250:EC250" si="190">DB251+DB252+DB253+DB254+DB255+DB256+DB257+DB258+DB259</f>
        <v>181</v>
      </c>
      <c r="DC250" s="166">
        <f t="shared" si="190"/>
        <v>0</v>
      </c>
      <c r="DD250" s="166">
        <f t="shared" si="190"/>
        <v>0</v>
      </c>
      <c r="DE250" s="166">
        <f t="shared" si="190"/>
        <v>6</v>
      </c>
      <c r="DF250" s="166">
        <f t="shared" si="190"/>
        <v>333</v>
      </c>
      <c r="DG250" s="166">
        <f t="shared" si="190"/>
        <v>0</v>
      </c>
      <c r="DH250" s="166">
        <f t="shared" si="190"/>
        <v>0</v>
      </c>
      <c r="DI250" s="166">
        <f t="shared" si="190"/>
        <v>12</v>
      </c>
      <c r="DJ250" s="166">
        <f t="shared" si="190"/>
        <v>0</v>
      </c>
      <c r="DK250" s="166">
        <f t="shared" si="190"/>
        <v>16858</v>
      </c>
      <c r="DL250" s="166">
        <f t="shared" si="190"/>
        <v>15546</v>
      </c>
      <c r="DM250" s="166">
        <f t="shared" si="190"/>
        <v>1312</v>
      </c>
      <c r="DN250" s="166">
        <f t="shared" si="190"/>
        <v>12411</v>
      </c>
      <c r="DO250" s="166">
        <f t="shared" si="190"/>
        <v>7750</v>
      </c>
      <c r="DP250" s="166">
        <f t="shared" si="190"/>
        <v>11263</v>
      </c>
      <c r="DQ250" s="166">
        <f t="shared" si="190"/>
        <v>9911</v>
      </c>
      <c r="DR250" s="166">
        <f t="shared" si="190"/>
        <v>8094</v>
      </c>
      <c r="DS250" s="166">
        <f t="shared" si="190"/>
        <v>10791</v>
      </c>
      <c r="DT250" s="166">
        <f t="shared" si="190"/>
        <v>10446</v>
      </c>
      <c r="DU250" s="166">
        <f t="shared" si="190"/>
        <v>755</v>
      </c>
      <c r="DV250" s="166">
        <f t="shared" si="190"/>
        <v>405</v>
      </c>
      <c r="DW250" s="166">
        <f t="shared" si="190"/>
        <v>1038</v>
      </c>
      <c r="DX250" s="166">
        <f t="shared" si="190"/>
        <v>477</v>
      </c>
      <c r="DY250" s="166">
        <f t="shared" si="190"/>
        <v>415</v>
      </c>
      <c r="DZ250" s="166">
        <f t="shared" si="190"/>
        <v>1018</v>
      </c>
      <c r="EA250" s="166">
        <f t="shared" si="190"/>
        <v>500</v>
      </c>
      <c r="EB250" s="166">
        <f t="shared" si="190"/>
        <v>16858</v>
      </c>
      <c r="EC250" s="166">
        <f t="shared" si="190"/>
        <v>16762</v>
      </c>
    </row>
    <row r="251" spans="1:138" s="7" customFormat="1" x14ac:dyDescent="0.2">
      <c r="B251" s="174"/>
      <c r="C251" s="27" t="s">
        <v>14</v>
      </c>
      <c r="D251" s="48"/>
      <c r="E251" s="136"/>
      <c r="F251" s="215"/>
      <c r="G251" s="41">
        <f>G187+G186+G185+G183+G180+G176+G174+G173+G172+G170+G169+G167+G165+G163+G148+G146+G127+G130+G129+G115+G113+G112+G111+G110+G122+G118+G109+G108+G107+G106+G105+G104+G103+G102+G101+G100+G99+G97+G96+G93+G92+G91+G89+G87+G74+G72+G82+G81+G80+G79+G78+G77+G75+G52+G26+G25+G24+G23+G12</f>
        <v>59</v>
      </c>
      <c r="H251" s="262">
        <v>5</v>
      </c>
      <c r="I251" s="41"/>
      <c r="J251" s="41">
        <f t="shared" ref="J251:AO251" si="191">J187+J186+J185+J183+J180+J176+J174+J173+J172+J170+J169+J167+J165+J163+J148+J146+J127+J130+J129+J115+J113+J112+J111+J110+J122+J118+J109+J108+J107+J106+J105+J104+J103+J102+J101+J100+J99+J97+J96+J93+J92+J91+J89+J87+J74+J72+J82+J81+J80+J79+J78+J77+J75+J52+J26+J25+J24+J23+J12</f>
        <v>896918.5</v>
      </c>
      <c r="K251" s="41">
        <f t="shared" si="191"/>
        <v>65910</v>
      </c>
      <c r="L251" s="41">
        <f t="shared" si="191"/>
        <v>75675</v>
      </c>
      <c r="M251" s="41">
        <f t="shared" si="191"/>
        <v>0</v>
      </c>
      <c r="N251" s="41">
        <f t="shared" si="191"/>
        <v>5160</v>
      </c>
      <c r="O251" s="41">
        <f t="shared" si="191"/>
        <v>10190</v>
      </c>
      <c r="P251" s="41">
        <f t="shared" si="191"/>
        <v>5179</v>
      </c>
      <c r="Q251" s="41">
        <f t="shared" si="191"/>
        <v>9076</v>
      </c>
      <c r="R251" s="41">
        <f t="shared" si="191"/>
        <v>224309.87999999998</v>
      </c>
      <c r="S251" s="41">
        <f t="shared" si="191"/>
        <v>147489.73999999996</v>
      </c>
      <c r="T251" s="41">
        <f t="shared" si="191"/>
        <v>4622</v>
      </c>
      <c r="U251" s="41">
        <f t="shared" si="191"/>
        <v>201331.68000000002</v>
      </c>
      <c r="V251" s="41">
        <f t="shared" si="191"/>
        <v>132940.40000000002</v>
      </c>
      <c r="W251" s="41">
        <f t="shared" si="191"/>
        <v>538</v>
      </c>
      <c r="X251" s="41">
        <f t="shared" si="191"/>
        <v>22978.2</v>
      </c>
      <c r="Y251" s="41">
        <f t="shared" si="191"/>
        <v>14549.339999999993</v>
      </c>
      <c r="Z251" s="41">
        <f t="shared" si="191"/>
        <v>0</v>
      </c>
      <c r="AA251" s="41">
        <f t="shared" si="191"/>
        <v>0</v>
      </c>
      <c r="AB251" s="41">
        <f t="shared" si="191"/>
        <v>0</v>
      </c>
      <c r="AC251" s="41">
        <f t="shared" si="191"/>
        <v>12865.339999999998</v>
      </c>
      <c r="AD251" s="41">
        <f t="shared" si="191"/>
        <v>1804.8700000000003</v>
      </c>
      <c r="AE251" s="41">
        <f t="shared" si="191"/>
        <v>0</v>
      </c>
      <c r="AF251" s="41">
        <f t="shared" si="191"/>
        <v>1804.8700000000003</v>
      </c>
      <c r="AG251" s="41">
        <f t="shared" si="191"/>
        <v>10848.069999999998</v>
      </c>
      <c r="AH251" s="41">
        <f t="shared" si="191"/>
        <v>212.4</v>
      </c>
      <c r="AI251" s="41">
        <f t="shared" si="191"/>
        <v>237175.22</v>
      </c>
      <c r="AJ251" s="41">
        <f t="shared" si="191"/>
        <v>0</v>
      </c>
      <c r="AK251" s="41">
        <f t="shared" si="191"/>
        <v>0</v>
      </c>
      <c r="AL251" s="41">
        <f t="shared" si="191"/>
        <v>283</v>
      </c>
      <c r="AM251" s="41">
        <f t="shared" si="191"/>
        <v>0</v>
      </c>
      <c r="AN251" s="41">
        <f t="shared" si="191"/>
        <v>22</v>
      </c>
      <c r="AO251" s="41">
        <f t="shared" si="191"/>
        <v>77</v>
      </c>
      <c r="AP251" s="41">
        <f t="shared" ref="AP251:BU251" si="192">AP187+AP186+AP185+AP183+AP180+AP176+AP174+AP173+AP172+AP170+AP169+AP167+AP165+AP163+AP148+AP146+AP127+AP130+AP129+AP115+AP113+AP112+AP111+AP110+AP122+AP118+AP109+AP108+AP107+AP106+AP105+AP104+AP103+AP102+AP101+AP100+AP99+AP97+AP96+AP93+AP92+AP91+AP89+AP87+AP74+AP72+AP82+AP81+AP80+AP79+AP78+AP77+AP75+AP52+AP26+AP25+AP24+AP23+AP12</f>
        <v>174034</v>
      </c>
      <c r="AQ251" s="41">
        <f t="shared" si="192"/>
        <v>280.75</v>
      </c>
      <c r="AR251" s="41">
        <f t="shared" si="192"/>
        <v>27458.5</v>
      </c>
      <c r="AS251" s="41">
        <f t="shared" si="192"/>
        <v>18018</v>
      </c>
      <c r="AT251" s="41">
        <f t="shared" si="192"/>
        <v>4053</v>
      </c>
      <c r="AU251" s="41">
        <f t="shared" si="192"/>
        <v>223075</v>
      </c>
      <c r="AV251" s="41">
        <f t="shared" si="192"/>
        <v>0</v>
      </c>
      <c r="AW251" s="41">
        <f t="shared" si="192"/>
        <v>223075</v>
      </c>
      <c r="AX251" s="41">
        <f t="shared" si="192"/>
        <v>70136</v>
      </c>
      <c r="AY251" s="41">
        <f t="shared" si="192"/>
        <v>11582</v>
      </c>
      <c r="AZ251" s="41">
        <f t="shared" si="192"/>
        <v>63013.5</v>
      </c>
      <c r="BA251" s="41">
        <f t="shared" si="192"/>
        <v>63319.5</v>
      </c>
      <c r="BB251" s="41">
        <f t="shared" si="192"/>
        <v>1346</v>
      </c>
      <c r="BC251" s="41">
        <f t="shared" si="192"/>
        <v>819</v>
      </c>
      <c r="BD251" s="41">
        <f t="shared" si="192"/>
        <v>15485</v>
      </c>
      <c r="BE251" s="41">
        <f t="shared" si="192"/>
        <v>5493.5</v>
      </c>
      <c r="BF251" s="41">
        <f t="shared" si="192"/>
        <v>140</v>
      </c>
      <c r="BG251" s="41">
        <f t="shared" si="192"/>
        <v>758657.78991596634</v>
      </c>
      <c r="BH251" s="41">
        <f t="shared" si="192"/>
        <v>22005</v>
      </c>
      <c r="BI251" s="41">
        <f t="shared" si="192"/>
        <v>0</v>
      </c>
      <c r="BJ251" s="41">
        <f t="shared" si="192"/>
        <v>20</v>
      </c>
      <c r="BK251" s="41">
        <f t="shared" si="192"/>
        <v>96684.01999999999</v>
      </c>
      <c r="BL251" s="41">
        <f t="shared" si="192"/>
        <v>61247.719999999994</v>
      </c>
      <c r="BM251" s="41">
        <f t="shared" si="192"/>
        <v>37</v>
      </c>
      <c r="BN251" s="41">
        <f t="shared" si="192"/>
        <v>115603.35999999999</v>
      </c>
      <c r="BO251" s="41">
        <f t="shared" si="192"/>
        <v>78106.14999999998</v>
      </c>
      <c r="BP251" s="41">
        <f t="shared" si="192"/>
        <v>2</v>
      </c>
      <c r="BQ251" s="41">
        <f t="shared" si="192"/>
        <v>12022.5</v>
      </c>
      <c r="BR251" s="41">
        <f t="shared" si="192"/>
        <v>8135.87</v>
      </c>
      <c r="BS251" s="41">
        <f t="shared" si="192"/>
        <v>17</v>
      </c>
      <c r="BT251" s="41">
        <f t="shared" si="192"/>
        <v>107</v>
      </c>
      <c r="BU251" s="41">
        <f t="shared" si="192"/>
        <v>27750</v>
      </c>
      <c r="BV251" s="41">
        <f t="shared" ref="BV251:CT251" si="193">BV187+BV186+BV185+BV183+BV180+BV176+BV174+BV173+BV172+BV170+BV169+BV167+BV165+BV163+BV148+BV146+BV127+BV130+BV129+BV115+BV113+BV112+BV111+BV110+BV122+BV118+BV109+BV108+BV107+BV106+BV105+BV104+BV103+BV102+BV101+BV100+BV99+BV97+BV96+BV93+BV92+BV91+BV89+BV87+BV74+BV72+BV82+BV81+BV80+BV79+BV78+BV77+BV75+BV52+BV26+BV25+BV24+BV23+BV12</f>
        <v>51314</v>
      </c>
      <c r="BW251" s="41">
        <f t="shared" si="193"/>
        <v>251</v>
      </c>
      <c r="BX251" s="41">
        <f t="shared" si="193"/>
        <v>93051</v>
      </c>
      <c r="BY251" s="41">
        <f t="shared" si="193"/>
        <v>82601.069999999992</v>
      </c>
      <c r="BZ251" s="41">
        <f t="shared" si="193"/>
        <v>18473.27</v>
      </c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>
        <f t="shared" si="193"/>
        <v>178252</v>
      </c>
      <c r="CN251" s="41">
        <f t="shared" si="193"/>
        <v>112342</v>
      </c>
      <c r="CO251" s="41">
        <f t="shared" si="193"/>
        <v>0</v>
      </c>
      <c r="CP251" s="41">
        <f t="shared" si="193"/>
        <v>0</v>
      </c>
      <c r="CQ251" s="41">
        <f t="shared" si="193"/>
        <v>59</v>
      </c>
      <c r="CR251" s="41">
        <f t="shared" si="193"/>
        <v>223075</v>
      </c>
      <c r="CS251" s="41">
        <f t="shared" si="193"/>
        <v>59</v>
      </c>
      <c r="CT251" s="41">
        <f t="shared" si="193"/>
        <v>223075</v>
      </c>
      <c r="CU251" s="303"/>
      <c r="CV251" s="37">
        <f>CV14+CV23+CV24+CV26+CV15+CV16+CV27+CV28+CV29+CV30+CV31+CV32+CV37+CV38+CV40+CV41+CV42+CV33+CV43+CV44+CV45+CV46+CV47+CV48+CV49+CV50+CV51+CV52+CV34+CV35+CV53+CV57+CV58+CV59+CV61+CV65+CV68+CV70+CV71+CV75+CV81+CV89+CV90+CV91+CV92+CV124+CV132+CV134+CV136+CV142+CV144+CV145+CV166+CV168+CV183+CV185+CV187+CV151+CV153</f>
        <v>1</v>
      </c>
      <c r="CW251" s="37">
        <f>CW14+CW23+CW24+CW26+CW15+CW16+CW27+CW28+CW29+CW30+CW31+CW32+CW37+CW38+CW40+CW41+CW42+CW33+CW43+CW44+CW45+CW46+CW47+CW48+CW49+CW50+CW51+CW52+CW34+CW35+CW53+CW57+CW58+CW59+CW61+CW65+CW68+CW70+CW71+CW75+CW81+CW89+CW90+CW91+CW92+CW124+CW132+CW134+CW136+CW142+CW144+CW145+CW166+CW168+CW183+CW185+CW187+CW151+CW153</f>
        <v>5811.7</v>
      </c>
      <c r="CX251" s="224"/>
      <c r="CY251" s="37">
        <f>CY14+CY23+CY24+CY26+CY15+CY16+CY27+CY28+CY29+CY30+CY31+CY32+CY37+CY38+CY40+CY41+CY42+CY33+CY43+CY44+CY45+CY46+CY47+CY48+CY49+CY50+CY51+CY52+CY34+CY35+CY53+CY57+CY58+CY59+CY61+CY65+CY68+CY70+CY71+CY75+CY81+CY89+CY90+CY91+CY92+CY124+CY132+CY134+CY136+CY142+CY144+CY145+CY166+CY168+CY183+CY185+CY187+CY151+CY153</f>
        <v>1</v>
      </c>
      <c r="CZ251" s="37">
        <f>CZ14+CZ23+CZ24+CZ26+CZ15+CZ16+CZ27+CZ28+CZ29+CZ30+CZ31+CZ32+CZ37+CZ38+CZ40+CZ41+CZ42+CZ33+CZ43+CZ44+CZ45+CZ46+CZ47+CZ48+CZ49+CZ50+CZ51+CZ52+CZ34+CZ35+CZ53+CZ57+CZ58+CZ59+CZ61+CZ65+CZ68+CZ70+CZ71+CZ75+CZ81+CZ89+CZ90+CZ91+CZ92+CZ124+CZ132+CZ134+CZ136+CZ142+CZ144+CZ145+CZ166+CZ168+CZ183+CZ185+CZ187+CZ151+CZ153</f>
        <v>6705.9</v>
      </c>
      <c r="DA251" s="224"/>
      <c r="DB251" s="41">
        <f t="shared" ref="DB251:EC251" si="194">DB14+DB23+DB24+DB26+DB15+DB16+DB27+DB28+DB29+DB30+DB31+DB32+DB37+DB38+DB40+DB41+DB42+DB33+DB43+DB44+DB45+DB46+DB47+DB48+DB49+DB50+DB51+DB52+DB34+DB35+DB53+DB57+DB58+DB59+DB61+DB65+DB68+DB70+DB71+DB75+DB81+DB89+DB90+DB91+DB92+DB124+DB132+DB134+DB136+DB142+DB144+DB145+DB166+DB168+DB183+DB185+DB187+DB151+DB153</f>
        <v>59</v>
      </c>
      <c r="DC251" s="41">
        <f t="shared" si="194"/>
        <v>0</v>
      </c>
      <c r="DD251" s="41">
        <f t="shared" si="194"/>
        <v>0</v>
      </c>
      <c r="DE251" s="41">
        <f t="shared" si="194"/>
        <v>2</v>
      </c>
      <c r="DF251" s="41">
        <f t="shared" si="194"/>
        <v>116</v>
      </c>
      <c r="DG251" s="41">
        <f t="shared" si="194"/>
        <v>0</v>
      </c>
      <c r="DH251" s="41">
        <f t="shared" si="194"/>
        <v>0</v>
      </c>
      <c r="DI251" s="41">
        <f t="shared" si="194"/>
        <v>2</v>
      </c>
      <c r="DJ251" s="41">
        <f t="shared" si="194"/>
        <v>0</v>
      </c>
      <c r="DK251" s="41">
        <f t="shared" si="194"/>
        <v>5586</v>
      </c>
      <c r="DL251" s="41">
        <f t="shared" si="194"/>
        <v>5228</v>
      </c>
      <c r="DM251" s="41">
        <f t="shared" si="194"/>
        <v>358</v>
      </c>
      <c r="DN251" s="41">
        <f t="shared" si="194"/>
        <v>4302</v>
      </c>
      <c r="DO251" s="41">
        <f t="shared" si="194"/>
        <v>2524</v>
      </c>
      <c r="DP251" s="41">
        <f t="shared" si="194"/>
        <v>3950</v>
      </c>
      <c r="DQ251" s="41">
        <f t="shared" si="194"/>
        <v>3388</v>
      </c>
      <c r="DR251" s="41">
        <f t="shared" si="194"/>
        <v>2726</v>
      </c>
      <c r="DS251" s="41">
        <f t="shared" si="194"/>
        <v>3665</v>
      </c>
      <c r="DT251" s="41">
        <f t="shared" si="194"/>
        <v>3668</v>
      </c>
      <c r="DU251" s="41">
        <f t="shared" si="194"/>
        <v>208</v>
      </c>
      <c r="DV251" s="41">
        <f t="shared" si="194"/>
        <v>116</v>
      </c>
      <c r="DW251" s="41">
        <f t="shared" si="194"/>
        <v>323</v>
      </c>
      <c r="DX251" s="41">
        <f t="shared" si="194"/>
        <v>145</v>
      </c>
      <c r="DY251" s="41">
        <f t="shared" si="194"/>
        <v>121</v>
      </c>
      <c r="DZ251" s="41">
        <f t="shared" si="194"/>
        <v>306</v>
      </c>
      <c r="EA251" s="41">
        <f t="shared" si="194"/>
        <v>158</v>
      </c>
      <c r="EB251" s="41">
        <f t="shared" si="194"/>
        <v>5586</v>
      </c>
      <c r="EC251" s="41">
        <f t="shared" si="194"/>
        <v>5568</v>
      </c>
      <c r="EH251" s="280"/>
    </row>
    <row r="252" spans="1:138" s="7" customFormat="1" x14ac:dyDescent="0.2">
      <c r="B252" s="174"/>
      <c r="C252" s="27" t="s">
        <v>15</v>
      </c>
      <c r="D252" s="48"/>
      <c r="E252" s="136"/>
      <c r="F252" s="215"/>
      <c r="G252" s="65">
        <f>G182+G181+G177+G175+G171+G168+G166+G161+G143+G142+G136+G132+G131+G128+G124+G121+G69+G66+G65+G63+G58+G56+G55+G35+G33+G37</f>
        <v>26</v>
      </c>
      <c r="H252" s="260">
        <v>9</v>
      </c>
      <c r="I252" s="65"/>
      <c r="J252" s="65">
        <f t="shared" ref="J252:AO252" si="195">J182+J181+J177+J175+J171+J168+J166+J161+J143+J142+J136+J132+J131+J128+J124+J121+J69+J66+J65+J63+J58+J56+J55+J35+J33+J37</f>
        <v>886371</v>
      </c>
      <c r="K252" s="65">
        <f t="shared" si="195"/>
        <v>45341</v>
      </c>
      <c r="L252" s="65">
        <f t="shared" si="195"/>
        <v>14865</v>
      </c>
      <c r="M252" s="65">
        <f t="shared" si="195"/>
        <v>16898</v>
      </c>
      <c r="N252" s="65">
        <f t="shared" si="195"/>
        <v>2798</v>
      </c>
      <c r="O252" s="65">
        <f t="shared" si="195"/>
        <v>6117</v>
      </c>
      <c r="P252" s="65">
        <f t="shared" si="195"/>
        <v>2802</v>
      </c>
      <c r="Q252" s="65">
        <f t="shared" si="195"/>
        <v>5338</v>
      </c>
      <c r="R252" s="65">
        <f t="shared" si="195"/>
        <v>151102.41000000003</v>
      </c>
      <c r="S252" s="65">
        <f t="shared" si="195"/>
        <v>86431.460000000021</v>
      </c>
      <c r="T252" s="65">
        <f t="shared" si="195"/>
        <v>2653</v>
      </c>
      <c r="U252" s="65">
        <f t="shared" si="195"/>
        <v>143521.50000000003</v>
      </c>
      <c r="V252" s="65">
        <f t="shared" si="195"/>
        <v>81796.709999999977</v>
      </c>
      <c r="W252" s="65">
        <f t="shared" si="195"/>
        <v>144</v>
      </c>
      <c r="X252" s="65">
        <f t="shared" si="195"/>
        <v>7522.5099999999993</v>
      </c>
      <c r="Y252" s="65">
        <f t="shared" si="195"/>
        <v>4603.7999999999993</v>
      </c>
      <c r="Z252" s="65">
        <f t="shared" si="195"/>
        <v>1</v>
      </c>
      <c r="AA252" s="65">
        <f t="shared" si="195"/>
        <v>58.4</v>
      </c>
      <c r="AB252" s="65">
        <f t="shared" si="195"/>
        <v>30.95</v>
      </c>
      <c r="AC252" s="65">
        <f t="shared" si="195"/>
        <v>25960.01</v>
      </c>
      <c r="AD252" s="65">
        <f t="shared" si="195"/>
        <v>7736.06</v>
      </c>
      <c r="AE252" s="65">
        <f t="shared" si="195"/>
        <v>0</v>
      </c>
      <c r="AF252" s="65">
        <f t="shared" si="195"/>
        <v>7736.06</v>
      </c>
      <c r="AG252" s="65">
        <f t="shared" si="195"/>
        <v>17471.650000000001</v>
      </c>
      <c r="AH252" s="65">
        <f t="shared" si="195"/>
        <v>752.3</v>
      </c>
      <c r="AI252" s="65">
        <f t="shared" si="195"/>
        <v>177062.42</v>
      </c>
      <c r="AJ252" s="65">
        <f t="shared" si="195"/>
        <v>0</v>
      </c>
      <c r="AK252" s="65">
        <f t="shared" si="195"/>
        <v>87</v>
      </c>
      <c r="AL252" s="65">
        <f t="shared" si="195"/>
        <v>87</v>
      </c>
      <c r="AM252" s="65">
        <f t="shared" si="195"/>
        <v>86</v>
      </c>
      <c r="AN252" s="65">
        <f t="shared" si="195"/>
        <v>3</v>
      </c>
      <c r="AO252" s="65">
        <f t="shared" si="195"/>
        <v>60</v>
      </c>
      <c r="AP252" s="65">
        <f t="shared" ref="AP252:BU252" si="196">AP182+AP181+AP177+AP175+AP171+AP168+AP166+AP161+AP143+AP142+AP136+AP132+AP131+AP128+AP124+AP121+AP69+AP66+AP65+AP63+AP58+AP56+AP55+AP35+AP33+AP37</f>
        <v>147804</v>
      </c>
      <c r="AQ252" s="65">
        <f t="shared" si="196"/>
        <v>961.875</v>
      </c>
      <c r="AR252" s="65">
        <f t="shared" si="196"/>
        <v>15512</v>
      </c>
      <c r="AS252" s="65">
        <f t="shared" si="196"/>
        <v>8187</v>
      </c>
      <c r="AT252" s="65">
        <f t="shared" si="196"/>
        <v>3385</v>
      </c>
      <c r="AU252" s="65">
        <f t="shared" si="196"/>
        <v>243599</v>
      </c>
      <c r="AV252" s="65">
        <f t="shared" si="196"/>
        <v>140234</v>
      </c>
      <c r="AW252" s="65">
        <f t="shared" si="196"/>
        <v>103365</v>
      </c>
      <c r="AX252" s="65">
        <f t="shared" si="196"/>
        <v>0</v>
      </c>
      <c r="AY252" s="65">
        <f t="shared" si="196"/>
        <v>8138</v>
      </c>
      <c r="AZ252" s="65">
        <f t="shared" si="196"/>
        <v>41267</v>
      </c>
      <c r="BA252" s="65">
        <f t="shared" si="196"/>
        <v>27341</v>
      </c>
      <c r="BB252" s="65">
        <f t="shared" si="196"/>
        <v>238</v>
      </c>
      <c r="BC252" s="65">
        <f t="shared" si="196"/>
        <v>323</v>
      </c>
      <c r="BD252" s="65">
        <f t="shared" si="196"/>
        <v>9589</v>
      </c>
      <c r="BE252" s="65">
        <f t="shared" si="196"/>
        <v>5904</v>
      </c>
      <c r="BF252" s="65">
        <f t="shared" si="196"/>
        <v>14</v>
      </c>
      <c r="BG252" s="65">
        <f t="shared" si="196"/>
        <v>540423</v>
      </c>
      <c r="BH252" s="65">
        <f t="shared" si="196"/>
        <v>114117</v>
      </c>
      <c r="BI252" s="65">
        <f t="shared" si="196"/>
        <v>6747</v>
      </c>
      <c r="BJ252" s="65">
        <f t="shared" si="196"/>
        <v>26</v>
      </c>
      <c r="BK252" s="65">
        <f t="shared" si="196"/>
        <v>151102.41000000003</v>
      </c>
      <c r="BL252" s="65">
        <f t="shared" si="196"/>
        <v>86431.460000000021</v>
      </c>
      <c r="BM252" s="65">
        <f t="shared" si="196"/>
        <v>0</v>
      </c>
      <c r="BN252" s="65">
        <f t="shared" si="196"/>
        <v>0</v>
      </c>
      <c r="BO252" s="65">
        <f t="shared" si="196"/>
        <v>0</v>
      </c>
      <c r="BP252" s="65">
        <f t="shared" si="196"/>
        <v>0</v>
      </c>
      <c r="BQ252" s="65">
        <f t="shared" si="196"/>
        <v>0</v>
      </c>
      <c r="BR252" s="65">
        <f t="shared" si="196"/>
        <v>0</v>
      </c>
      <c r="BS252" s="65">
        <f t="shared" si="196"/>
        <v>5</v>
      </c>
      <c r="BT252" s="65">
        <f t="shared" si="196"/>
        <v>45</v>
      </c>
      <c r="BU252" s="65">
        <f t="shared" si="196"/>
        <v>27341</v>
      </c>
      <c r="BV252" s="65">
        <f t="shared" ref="BV252:CT252" si="197">BV182+BV181+BV177+BV175+BV171+BV168+BV166+BV161+BV143+BV142+BV136+BV132+BV131+BV128+BV124+BV121+BV69+BV66+BV65+BV63+BV58+BV56+BV55+BV35+BV33+BV37</f>
        <v>95191</v>
      </c>
      <c r="BW252" s="65">
        <f t="shared" si="197"/>
        <v>86</v>
      </c>
      <c r="BX252" s="65">
        <f t="shared" si="197"/>
        <v>147804</v>
      </c>
      <c r="BY252" s="65">
        <f t="shared" si="197"/>
        <v>62329.360000000008</v>
      </c>
      <c r="BZ252" s="65">
        <f t="shared" si="197"/>
        <v>31188.21</v>
      </c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>
        <f t="shared" si="197"/>
        <v>85148</v>
      </c>
      <c r="CN252" s="65">
        <f t="shared" si="197"/>
        <v>39807</v>
      </c>
      <c r="CO252" s="65">
        <f t="shared" si="197"/>
        <v>17</v>
      </c>
      <c r="CP252" s="65">
        <f t="shared" si="197"/>
        <v>140234</v>
      </c>
      <c r="CQ252" s="65">
        <f t="shared" si="197"/>
        <v>9</v>
      </c>
      <c r="CR252" s="65">
        <f t="shared" si="197"/>
        <v>103365</v>
      </c>
      <c r="CS252" s="65">
        <f t="shared" si="197"/>
        <v>26</v>
      </c>
      <c r="CT252" s="65">
        <f t="shared" si="197"/>
        <v>243599</v>
      </c>
      <c r="CU252" s="304">
        <f>CU10+CU12+CU13+CU19+CU55+CU60+CU62+CU66+CU67+CU99+CU102+CU103+CU111+CU112+CU114+CU140+CU143+CU147+CU148+CU156+CU162+CU163+CU181+CU186+CU150+CU152</f>
        <v>1409</v>
      </c>
      <c r="CV252" s="287">
        <f>CV10+CV12+CV13+CV19+CV55+CV60+CV62+CV66+CV67+CV99+CV102+CV103+CV111+CV112+CV114+CV140+CV143+CV147+CV148+CV156+CV162+CV163+CV181+CV186+CV150+CV152</f>
        <v>0</v>
      </c>
      <c r="CW252" s="287">
        <f>CW10+CW12+CW13+CW19+CW55+CW60+CW62+CW66+CW67+CW99+CW102+CW103+CW111+CW112+CW114+CW140+CW143+CW147+CW148+CW156+CW162+CW163+CW181+CW186+CW150+CW152</f>
        <v>0</v>
      </c>
      <c r="CX252" s="224"/>
      <c r="CY252" s="287">
        <f>CY10+CY12+CY13+CY19+CY55+CY60+CY62+CY66+CY67+CY99+CY102+CY103+CY111+CY112+CY114+CY140+CY143+CY147+CY148+CY156+CY162+CY163+CY181+CY186+CY150+CY152</f>
        <v>0</v>
      </c>
      <c r="CZ252" s="287">
        <f>CZ10+CZ12+CZ13+CZ19+CZ55+CZ60+CZ62+CZ66+CZ67+CZ99+CZ102+CZ103+CZ111+CZ112+CZ114+CZ140+CZ143+CZ147+CZ148+CZ156+CZ162+CZ163+CZ181+CZ186+CZ150+CZ152</f>
        <v>0</v>
      </c>
      <c r="DA252" s="224"/>
      <c r="DB252" s="65">
        <f t="shared" ref="DB252:EC252" si="198">DB10+DB12+DB13+DB19+DB55+DB60+DB62+DB66+DB67+DB99+DB102+DB103+DB111+DB112+DB114+DB140+DB143+DB147+DB148+DB156+DB162+DB163+DB181+DB186+DB150+DB152</f>
        <v>26</v>
      </c>
      <c r="DC252" s="65">
        <f t="shared" si="198"/>
        <v>0</v>
      </c>
      <c r="DD252" s="65">
        <f t="shared" si="198"/>
        <v>0</v>
      </c>
      <c r="DE252" s="65">
        <f t="shared" si="198"/>
        <v>2</v>
      </c>
      <c r="DF252" s="65">
        <f t="shared" si="198"/>
        <v>48</v>
      </c>
      <c r="DG252" s="65">
        <f t="shared" si="198"/>
        <v>0</v>
      </c>
      <c r="DH252" s="65">
        <f t="shared" si="198"/>
        <v>0</v>
      </c>
      <c r="DI252" s="65">
        <f t="shared" si="198"/>
        <v>8</v>
      </c>
      <c r="DJ252" s="65">
        <f t="shared" si="198"/>
        <v>0</v>
      </c>
      <c r="DK252" s="65">
        <f t="shared" si="198"/>
        <v>2447</v>
      </c>
      <c r="DL252" s="65">
        <f t="shared" si="198"/>
        <v>2256</v>
      </c>
      <c r="DM252" s="65">
        <f t="shared" si="198"/>
        <v>191</v>
      </c>
      <c r="DN252" s="65">
        <f t="shared" si="198"/>
        <v>1797</v>
      </c>
      <c r="DO252" s="65">
        <f t="shared" si="198"/>
        <v>1168</v>
      </c>
      <c r="DP252" s="65">
        <f t="shared" si="198"/>
        <v>1619</v>
      </c>
      <c r="DQ252" s="65">
        <f t="shared" si="198"/>
        <v>1504</v>
      </c>
      <c r="DR252" s="65">
        <f t="shared" si="198"/>
        <v>1197</v>
      </c>
      <c r="DS252" s="65">
        <f t="shared" si="198"/>
        <v>1561</v>
      </c>
      <c r="DT252" s="65">
        <f t="shared" si="198"/>
        <v>1570</v>
      </c>
      <c r="DU252" s="65">
        <f t="shared" si="198"/>
        <v>125</v>
      </c>
      <c r="DV252" s="65">
        <f t="shared" si="198"/>
        <v>68</v>
      </c>
      <c r="DW252" s="65">
        <f t="shared" si="198"/>
        <v>116</v>
      </c>
      <c r="DX252" s="65">
        <f t="shared" si="198"/>
        <v>79</v>
      </c>
      <c r="DY252" s="65">
        <f t="shared" si="198"/>
        <v>70</v>
      </c>
      <c r="DZ252" s="65">
        <f t="shared" si="198"/>
        <v>113</v>
      </c>
      <c r="EA252" s="65">
        <f t="shared" si="198"/>
        <v>82</v>
      </c>
      <c r="EB252" s="65">
        <f t="shared" si="198"/>
        <v>2447</v>
      </c>
      <c r="EC252" s="65">
        <f t="shared" si="198"/>
        <v>2431</v>
      </c>
    </row>
    <row r="253" spans="1:138" s="7" customFormat="1" x14ac:dyDescent="0.2">
      <c r="B253" s="174"/>
      <c r="C253" s="27" t="s">
        <v>16</v>
      </c>
      <c r="D253" s="48"/>
      <c r="E253" s="136"/>
      <c r="F253" s="215"/>
      <c r="G253" s="65">
        <f>G153+G151+G184+G178+G164+G162+G160+G158+G156+G149+G135+G133+G119+G73+G76+G71+G68+G67+G64+G62+G60+G59+G57+G54+G53+G51+G49+G45+G42+G11+G10+G9</f>
        <v>32</v>
      </c>
      <c r="H253" s="260">
        <v>9</v>
      </c>
      <c r="I253" s="65"/>
      <c r="J253" s="65">
        <f t="shared" ref="J253:AO253" si="199">J153+J151+J184+J178+J164+J162+J160+J158+J156+J149+J135+J133+J119+J73+J76+J71+J68+J67+J64+J62+J60+J59+J57+J54+J53+J51+J49+J45+J42+J11+J10+J9</f>
        <v>824231</v>
      </c>
      <c r="K253" s="65">
        <f t="shared" si="199"/>
        <v>36542</v>
      </c>
      <c r="L253" s="65">
        <f t="shared" si="199"/>
        <v>0</v>
      </c>
      <c r="M253" s="65">
        <f t="shared" si="199"/>
        <v>32700</v>
      </c>
      <c r="N253" s="65">
        <f t="shared" si="199"/>
        <v>3883</v>
      </c>
      <c r="O253" s="65">
        <f t="shared" si="199"/>
        <v>8551</v>
      </c>
      <c r="P253" s="65">
        <f t="shared" si="199"/>
        <v>3894</v>
      </c>
      <c r="Q253" s="65">
        <f t="shared" si="199"/>
        <v>8173</v>
      </c>
      <c r="R253" s="65">
        <f t="shared" si="199"/>
        <v>206238.73000000004</v>
      </c>
      <c r="S253" s="65">
        <f t="shared" si="199"/>
        <v>122675.76999999997</v>
      </c>
      <c r="T253" s="65">
        <f t="shared" si="199"/>
        <v>3639</v>
      </c>
      <c r="U253" s="65">
        <f t="shared" si="199"/>
        <v>193808.38</v>
      </c>
      <c r="V253" s="65">
        <f t="shared" si="199"/>
        <v>115073.45</v>
      </c>
      <c r="W253" s="65">
        <f t="shared" si="199"/>
        <v>243</v>
      </c>
      <c r="X253" s="65">
        <f t="shared" si="199"/>
        <v>12364.650000000001</v>
      </c>
      <c r="Y253" s="65">
        <f t="shared" si="199"/>
        <v>7561.2000000000007</v>
      </c>
      <c r="Z253" s="65">
        <f t="shared" si="199"/>
        <v>1</v>
      </c>
      <c r="AA253" s="65">
        <f t="shared" si="199"/>
        <v>65.7</v>
      </c>
      <c r="AB253" s="65">
        <f t="shared" si="199"/>
        <v>41.12</v>
      </c>
      <c r="AC253" s="65">
        <f t="shared" si="199"/>
        <v>3322.05</v>
      </c>
      <c r="AD253" s="65">
        <f t="shared" si="199"/>
        <v>587.65</v>
      </c>
      <c r="AE253" s="65">
        <f t="shared" si="199"/>
        <v>0</v>
      </c>
      <c r="AF253" s="65">
        <f t="shared" si="199"/>
        <v>587.65</v>
      </c>
      <c r="AG253" s="65">
        <f t="shared" si="199"/>
        <v>2734.4000000000005</v>
      </c>
      <c r="AH253" s="65">
        <f t="shared" si="199"/>
        <v>0</v>
      </c>
      <c r="AI253" s="65">
        <f t="shared" si="199"/>
        <v>209560.78000000009</v>
      </c>
      <c r="AJ253" s="65">
        <f t="shared" si="199"/>
        <v>0</v>
      </c>
      <c r="AK253" s="65">
        <f t="shared" si="199"/>
        <v>109</v>
      </c>
      <c r="AL253" s="65">
        <f t="shared" si="199"/>
        <v>109</v>
      </c>
      <c r="AM253" s="65">
        <f t="shared" si="199"/>
        <v>109</v>
      </c>
      <c r="AN253" s="65">
        <f t="shared" si="199"/>
        <v>0</v>
      </c>
      <c r="AO253" s="65">
        <f t="shared" si="199"/>
        <v>111</v>
      </c>
      <c r="AP253" s="65">
        <f t="shared" ref="AP253:BU253" si="200">AP153+AP151+AP184+AP178+AP164+AP162+AP160+AP158+AP156+AP149+AP135+AP133+AP119+AP73+AP76+AP71+AP68+AP67+AP64+AP62+AP60+AP59+AP57+AP54+AP53+AP51+AP49+AP45+AP42+AP11+AP10+AP9</f>
        <v>173712</v>
      </c>
      <c r="AQ253" s="65">
        <f t="shared" si="200"/>
        <v>1631.5</v>
      </c>
      <c r="AR253" s="65">
        <f t="shared" si="200"/>
        <v>20296</v>
      </c>
      <c r="AS253" s="65">
        <f t="shared" si="200"/>
        <v>11724</v>
      </c>
      <c r="AT253" s="65">
        <f t="shared" si="200"/>
        <v>3592</v>
      </c>
      <c r="AU253" s="65">
        <f t="shared" si="200"/>
        <v>274678</v>
      </c>
      <c r="AV253" s="65">
        <f t="shared" si="200"/>
        <v>153659</v>
      </c>
      <c r="AW253" s="65">
        <f t="shared" si="200"/>
        <v>121019</v>
      </c>
      <c r="AX253" s="65">
        <f t="shared" si="200"/>
        <v>95996</v>
      </c>
      <c r="AY253" s="65">
        <f t="shared" si="200"/>
        <v>9237</v>
      </c>
      <c r="AZ253" s="65">
        <f t="shared" si="200"/>
        <v>32449</v>
      </c>
      <c r="BA253" s="65">
        <f t="shared" si="200"/>
        <v>31009</v>
      </c>
      <c r="BB253" s="65">
        <f t="shared" si="200"/>
        <v>1806</v>
      </c>
      <c r="BC253" s="65">
        <f t="shared" si="200"/>
        <v>419</v>
      </c>
      <c r="BD253" s="65">
        <f t="shared" si="200"/>
        <v>12314</v>
      </c>
      <c r="BE253" s="65">
        <f t="shared" si="200"/>
        <v>9314</v>
      </c>
      <c r="BF253" s="65">
        <f t="shared" si="200"/>
        <v>23</v>
      </c>
      <c r="BG253" s="65">
        <f t="shared" si="200"/>
        <v>415596</v>
      </c>
      <c r="BH253" s="65">
        <f t="shared" si="200"/>
        <v>147977</v>
      </c>
      <c r="BI253" s="65">
        <f t="shared" si="200"/>
        <v>7647</v>
      </c>
      <c r="BJ253" s="65">
        <f t="shared" si="200"/>
        <v>0</v>
      </c>
      <c r="BK253" s="65">
        <f t="shared" si="200"/>
        <v>0</v>
      </c>
      <c r="BL253" s="65">
        <f t="shared" si="200"/>
        <v>0</v>
      </c>
      <c r="BM253" s="65">
        <f t="shared" si="200"/>
        <v>32</v>
      </c>
      <c r="BN253" s="65">
        <f t="shared" si="200"/>
        <v>206238.73000000004</v>
      </c>
      <c r="BO253" s="65">
        <f t="shared" si="200"/>
        <v>122675.76999999997</v>
      </c>
      <c r="BP253" s="65">
        <f t="shared" si="200"/>
        <v>0</v>
      </c>
      <c r="BQ253" s="65">
        <f t="shared" si="200"/>
        <v>0</v>
      </c>
      <c r="BR253" s="65">
        <f t="shared" si="200"/>
        <v>0</v>
      </c>
      <c r="BS253" s="65">
        <f t="shared" si="200"/>
        <v>15</v>
      </c>
      <c r="BT253" s="65">
        <f t="shared" si="200"/>
        <v>50</v>
      </c>
      <c r="BU253" s="65">
        <f t="shared" si="200"/>
        <v>31009</v>
      </c>
      <c r="BV253" s="65">
        <f t="shared" ref="BV253:CT253" si="201">BV153+BV151+BV184+BV178+BV164+BV162+BV160+BV158+BV156+BV149+BV135+BV133+BV119+BV73+BV76+BV71+BV68+BV67+BV64+BV62+BV60+BV59+BV57+BV54+BV53+BV51+BV49+BV45+BV42+BV11+BV10+BV9</f>
        <v>124065</v>
      </c>
      <c r="BW253" s="65">
        <f t="shared" si="201"/>
        <v>0</v>
      </c>
      <c r="BX253" s="65">
        <f t="shared" si="201"/>
        <v>0</v>
      </c>
      <c r="BY253" s="65">
        <f t="shared" si="201"/>
        <v>61976.409999999989</v>
      </c>
      <c r="BZ253" s="65">
        <f t="shared" si="201"/>
        <v>29613.129999999997</v>
      </c>
      <c r="CA253" s="65"/>
      <c r="CB253" s="65"/>
      <c r="CC253" s="65"/>
      <c r="CD253" s="65"/>
      <c r="CE253" s="65"/>
      <c r="CF253" s="65"/>
      <c r="CG253" s="65"/>
      <c r="CH253" s="65"/>
      <c r="CI253" s="65"/>
      <c r="CJ253" s="65"/>
      <c r="CK253" s="65"/>
      <c r="CL253" s="65"/>
      <c r="CM253" s="65">
        <f t="shared" si="201"/>
        <v>95644</v>
      </c>
      <c r="CN253" s="65">
        <f t="shared" si="201"/>
        <v>59102</v>
      </c>
      <c r="CO253" s="65">
        <f t="shared" si="201"/>
        <v>21</v>
      </c>
      <c r="CP253" s="65">
        <f t="shared" si="201"/>
        <v>153659</v>
      </c>
      <c r="CQ253" s="65">
        <f t="shared" si="201"/>
        <v>11</v>
      </c>
      <c r="CR253" s="65">
        <f t="shared" si="201"/>
        <v>121019</v>
      </c>
      <c r="CS253" s="65">
        <f t="shared" si="201"/>
        <v>32</v>
      </c>
      <c r="CT253" s="65">
        <f t="shared" si="201"/>
        <v>274678</v>
      </c>
      <c r="CU253" s="304">
        <f>CU9+CU8+CU11+CU17+CU18+CU21+CU22+CU25+CU63+CU69+CU76+CU79+CU80+CU108+CU117+CU121+CU123+CU125+CU110+CU113+CU115+CU139+CU149+CU155+CU169+CU171+CU173+CU176+CU178+CU180+CU182+CU184</f>
        <v>1664</v>
      </c>
      <c r="CV253" s="287">
        <f>CV9+CV8+CV11+CV17+CV18+CV21+CV22+CV25+CV63+CV69+CV76+CV79+CV80+CV108+CV117+CV121+CV123+CV125+CV110+CV113+CV115+CV139+CV149+CV155+CV169+CV171+CV173+CV176+CV178+CV180+CV182+CV184</f>
        <v>0</v>
      </c>
      <c r="CW253" s="287">
        <f>CW9+CW8+CW11+CW17+CW18+CW21+CW22+CW25+CW63+CW69+CW76+CW79+CW80+CW108+CW117+CW121+CW123+CW125+CW110+CW113+CW115+CW139+CW149+CW155+CW169+CW171+CW173+CW176+CW178+CW180+CW182+CW184</f>
        <v>0</v>
      </c>
      <c r="CX253" s="224"/>
      <c r="CY253" s="287">
        <f>CY9+CY8+CY11+CY17+CY18+CY21+CY22+CY25+CY63+CY69+CY76+CY79+CY80+CY108+CY117+CY121+CY123+CY125+CY110+CY113+CY115+CY139+CY149+CY155+CY169+CY171+CY173+CY176+CY178+CY180+CY182+CY184</f>
        <v>0</v>
      </c>
      <c r="CZ253" s="287">
        <f>CZ9+CZ8+CZ11+CZ17+CZ18+CZ21+CZ22+CZ25+CZ63+CZ69+CZ76+CZ79+CZ80+CZ108+CZ117+CZ121+CZ123+CZ125+CZ110+CZ113+CZ115+CZ139+CZ149+CZ155+CZ169+CZ171+CZ173+CZ176+CZ178+CZ180+CZ182+CZ184</f>
        <v>0</v>
      </c>
      <c r="DA253" s="224"/>
      <c r="DB253" s="65">
        <f t="shared" ref="DB253:EC253" si="202">DB9+DB8+DB11+DB17+DB18+DB21+DB22+DB25+DB63+DB69+DB76+DB79+DB80+DB108+DB117+DB121+DB123+DB125+DB110+DB113+DB115+DB139+DB149+DB155+DB169+DB171+DB173+DB176+DB178+DB180+DB182+DB184</f>
        <v>32</v>
      </c>
      <c r="DC253" s="65">
        <f t="shared" si="202"/>
        <v>0</v>
      </c>
      <c r="DD253" s="65">
        <f t="shared" si="202"/>
        <v>0</v>
      </c>
      <c r="DE253" s="65">
        <f t="shared" si="202"/>
        <v>1</v>
      </c>
      <c r="DF253" s="65">
        <f t="shared" si="202"/>
        <v>55</v>
      </c>
      <c r="DG253" s="65">
        <f t="shared" si="202"/>
        <v>0</v>
      </c>
      <c r="DH253" s="65">
        <f t="shared" si="202"/>
        <v>0</v>
      </c>
      <c r="DI253" s="65">
        <f t="shared" si="202"/>
        <v>1</v>
      </c>
      <c r="DJ253" s="65">
        <f t="shared" si="202"/>
        <v>0</v>
      </c>
      <c r="DK253" s="65">
        <f t="shared" si="202"/>
        <v>2863</v>
      </c>
      <c r="DL253" s="65">
        <f t="shared" si="202"/>
        <v>2615</v>
      </c>
      <c r="DM253" s="65">
        <f t="shared" si="202"/>
        <v>248</v>
      </c>
      <c r="DN253" s="65">
        <f t="shared" si="202"/>
        <v>2025</v>
      </c>
      <c r="DO253" s="65">
        <f t="shared" si="202"/>
        <v>1289</v>
      </c>
      <c r="DP253" s="65">
        <f t="shared" si="202"/>
        <v>1890</v>
      </c>
      <c r="DQ253" s="65">
        <f t="shared" si="202"/>
        <v>1585</v>
      </c>
      <c r="DR253" s="65">
        <f t="shared" si="202"/>
        <v>1352</v>
      </c>
      <c r="DS253" s="65">
        <f t="shared" si="202"/>
        <v>1804</v>
      </c>
      <c r="DT253" s="65">
        <f t="shared" si="202"/>
        <v>1681</v>
      </c>
      <c r="DU253" s="65">
        <f t="shared" si="202"/>
        <v>124</v>
      </c>
      <c r="DV253" s="65">
        <f t="shared" si="202"/>
        <v>77</v>
      </c>
      <c r="DW253" s="65">
        <f t="shared" si="202"/>
        <v>204</v>
      </c>
      <c r="DX253" s="65">
        <f t="shared" si="202"/>
        <v>88</v>
      </c>
      <c r="DY253" s="65">
        <f t="shared" si="202"/>
        <v>79</v>
      </c>
      <c r="DZ253" s="65">
        <f t="shared" si="202"/>
        <v>202</v>
      </c>
      <c r="EA253" s="65">
        <f t="shared" si="202"/>
        <v>90</v>
      </c>
      <c r="EB253" s="65">
        <f t="shared" si="202"/>
        <v>2863</v>
      </c>
      <c r="EC253" s="65">
        <f t="shared" si="202"/>
        <v>2852</v>
      </c>
    </row>
    <row r="254" spans="1:138" s="7" customFormat="1" x14ac:dyDescent="0.2">
      <c r="B254" s="174"/>
      <c r="C254" s="27" t="s">
        <v>17</v>
      </c>
      <c r="D254" s="48"/>
      <c r="E254" s="136"/>
      <c r="F254" s="215"/>
      <c r="G254" s="65">
        <f>G152+G150+G179+G159+G155++G145+G144+G154+G157+G141+G140+G139+G134+G125+G120+G98+G70+G61+G36+G34+G48+G43+G40+G31+G30+G29+G28+G27+G16+G15+G8+G7</f>
        <v>32</v>
      </c>
      <c r="H254" s="260">
        <v>9</v>
      </c>
      <c r="I254" s="65"/>
      <c r="J254" s="65">
        <f t="shared" ref="J254:AO254" si="203">J152+J150+J179+J159+J155++J145+J144+J154+J157+J141+J140+J139+J134+J125+J120+J98+J70+J61+J36+J34+J48+J43+J40+J31+J30+J29+J28+J27+J16+J15+J8+J7</f>
        <v>767552</v>
      </c>
      <c r="K254" s="65">
        <f t="shared" si="203"/>
        <v>31731</v>
      </c>
      <c r="L254" s="65">
        <f t="shared" si="203"/>
        <v>0</v>
      </c>
      <c r="M254" s="65">
        <f t="shared" si="203"/>
        <v>28680</v>
      </c>
      <c r="N254" s="65">
        <f t="shared" si="203"/>
        <v>2583</v>
      </c>
      <c r="O254" s="65">
        <f t="shared" si="203"/>
        <v>6898</v>
      </c>
      <c r="P254" s="65">
        <f t="shared" si="203"/>
        <v>2592</v>
      </c>
      <c r="Q254" s="65">
        <f t="shared" si="203"/>
        <v>5910</v>
      </c>
      <c r="R254" s="65">
        <f t="shared" si="203"/>
        <v>169865.55</v>
      </c>
      <c r="S254" s="65">
        <f t="shared" si="203"/>
        <v>103949.29</v>
      </c>
      <c r="T254" s="65">
        <f t="shared" si="203"/>
        <v>2412</v>
      </c>
      <c r="U254" s="65">
        <f t="shared" si="203"/>
        <v>158611.13999999998</v>
      </c>
      <c r="V254" s="65">
        <f t="shared" si="203"/>
        <v>97113.61</v>
      </c>
      <c r="W254" s="65">
        <f t="shared" si="203"/>
        <v>171</v>
      </c>
      <c r="X254" s="65">
        <f t="shared" si="203"/>
        <v>11254.409999999996</v>
      </c>
      <c r="Y254" s="65">
        <f t="shared" si="203"/>
        <v>6835.6799999999994</v>
      </c>
      <c r="Z254" s="65">
        <f t="shared" si="203"/>
        <v>0</v>
      </c>
      <c r="AA254" s="65">
        <f t="shared" si="203"/>
        <v>0</v>
      </c>
      <c r="AB254" s="65">
        <f t="shared" si="203"/>
        <v>0</v>
      </c>
      <c r="AC254" s="65">
        <f t="shared" si="203"/>
        <v>6429.2999999999993</v>
      </c>
      <c r="AD254" s="65">
        <f t="shared" si="203"/>
        <v>1714.8</v>
      </c>
      <c r="AE254" s="65">
        <f t="shared" si="203"/>
        <v>0</v>
      </c>
      <c r="AF254" s="65">
        <f t="shared" si="203"/>
        <v>1714.8</v>
      </c>
      <c r="AG254" s="65">
        <f t="shared" si="203"/>
        <v>4152</v>
      </c>
      <c r="AH254" s="65">
        <f t="shared" si="203"/>
        <v>562.5</v>
      </c>
      <c r="AI254" s="65">
        <f t="shared" si="203"/>
        <v>176294.84999999995</v>
      </c>
      <c r="AJ254" s="65">
        <f t="shared" si="203"/>
        <v>0</v>
      </c>
      <c r="AK254" s="65">
        <f t="shared" si="203"/>
        <v>77</v>
      </c>
      <c r="AL254" s="65">
        <f t="shared" si="203"/>
        <v>77</v>
      </c>
      <c r="AM254" s="65">
        <f t="shared" si="203"/>
        <v>77</v>
      </c>
      <c r="AN254" s="65">
        <f t="shared" si="203"/>
        <v>0</v>
      </c>
      <c r="AO254" s="65">
        <f t="shared" si="203"/>
        <v>77</v>
      </c>
      <c r="AP254" s="65">
        <f t="shared" ref="AP254:BU254" si="204">AP152+AP150+AP179+AP159+AP155++AP145+AP144+AP154+AP157+AP141+AP140+AP139+AP134+AP125+AP120+AP98+AP70+AP61+AP36+AP34+AP48+AP43+AP40+AP31+AP30+AP29+AP28+AP27+AP16+AP15+AP8+AP7</f>
        <v>133790.29999999999</v>
      </c>
      <c r="AQ254" s="65">
        <f t="shared" si="204"/>
        <v>1804.17</v>
      </c>
      <c r="AR254" s="65">
        <f t="shared" si="204"/>
        <v>15412.67</v>
      </c>
      <c r="AS254" s="65">
        <f t="shared" si="204"/>
        <v>10536.33</v>
      </c>
      <c r="AT254" s="65">
        <f t="shared" si="204"/>
        <v>5337</v>
      </c>
      <c r="AU254" s="65">
        <f t="shared" si="204"/>
        <v>298787.67</v>
      </c>
      <c r="AV254" s="65">
        <f t="shared" si="204"/>
        <v>66598</v>
      </c>
      <c r="AW254" s="65">
        <f t="shared" si="204"/>
        <v>232189.66999999998</v>
      </c>
      <c r="AX254" s="65">
        <f t="shared" si="204"/>
        <v>62180.333333333336</v>
      </c>
      <c r="AY254" s="65">
        <f t="shared" si="204"/>
        <v>8333.3333333333321</v>
      </c>
      <c r="AZ254" s="65">
        <f t="shared" si="204"/>
        <v>28530</v>
      </c>
      <c r="BA254" s="65">
        <f t="shared" si="204"/>
        <v>25797</v>
      </c>
      <c r="BB254" s="65">
        <f t="shared" si="204"/>
        <v>1312</v>
      </c>
      <c r="BC254" s="65">
        <f t="shared" si="204"/>
        <v>1435</v>
      </c>
      <c r="BD254" s="65">
        <f t="shared" si="204"/>
        <v>8875</v>
      </c>
      <c r="BE254" s="65">
        <f t="shared" si="204"/>
        <v>13932</v>
      </c>
      <c r="BF254" s="65">
        <f t="shared" si="204"/>
        <v>39</v>
      </c>
      <c r="BG254" s="65">
        <f t="shared" si="204"/>
        <v>316982</v>
      </c>
      <c r="BH254" s="65">
        <f t="shared" si="204"/>
        <v>114234</v>
      </c>
      <c r="BI254" s="65">
        <f t="shared" si="204"/>
        <v>4338</v>
      </c>
      <c r="BJ254" s="65">
        <f t="shared" si="204"/>
        <v>1</v>
      </c>
      <c r="BK254" s="65">
        <f t="shared" si="204"/>
        <v>3247.8</v>
      </c>
      <c r="BL254" s="65">
        <f t="shared" si="204"/>
        <v>1740.2</v>
      </c>
      <c r="BM254" s="65">
        <f t="shared" si="204"/>
        <v>28</v>
      </c>
      <c r="BN254" s="65">
        <f t="shared" si="204"/>
        <v>131865.96</v>
      </c>
      <c r="BO254" s="65">
        <f t="shared" si="204"/>
        <v>81151.09</v>
      </c>
      <c r="BP254" s="65">
        <f t="shared" si="204"/>
        <v>3</v>
      </c>
      <c r="BQ254" s="65">
        <f t="shared" si="204"/>
        <v>34751.79</v>
      </c>
      <c r="BR254" s="65">
        <f t="shared" si="204"/>
        <v>21058</v>
      </c>
      <c r="BS254" s="65">
        <f t="shared" si="204"/>
        <v>2</v>
      </c>
      <c r="BT254" s="65">
        <f t="shared" si="204"/>
        <v>57</v>
      </c>
      <c r="BU254" s="65">
        <f t="shared" si="204"/>
        <v>3289</v>
      </c>
      <c r="BV254" s="65">
        <f t="shared" ref="BV254:CT254" si="205">BV152+BV150+BV179+BV159+BV155++BV145+BV144+BV154+BV157+BV141+BV140+BV139+BV134+BV125+BV120+BV98+BV70+BV61+BV36+BV34+BV48+BV43+BV40+BV31+BV30+BV29+BV28+BV27+BV16+BV15+BV8+BV7</f>
        <v>180</v>
      </c>
      <c r="BW254" s="65">
        <f t="shared" si="205"/>
        <v>28</v>
      </c>
      <c r="BX254" s="65">
        <f t="shared" si="205"/>
        <v>6442</v>
      </c>
      <c r="BY254" s="65">
        <f t="shared" si="205"/>
        <v>57243.229999999981</v>
      </c>
      <c r="BZ254" s="65">
        <f t="shared" si="205"/>
        <v>29539.399999999994</v>
      </c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>
        <f t="shared" si="205"/>
        <v>67303</v>
      </c>
      <c r="CN254" s="65">
        <f t="shared" si="205"/>
        <v>35572</v>
      </c>
      <c r="CO254" s="65">
        <f t="shared" si="205"/>
        <v>11</v>
      </c>
      <c r="CP254" s="65">
        <f t="shared" si="205"/>
        <v>66598</v>
      </c>
      <c r="CQ254" s="65">
        <f t="shared" si="205"/>
        <v>21</v>
      </c>
      <c r="CR254" s="65">
        <f t="shared" si="205"/>
        <v>232189.66999999998</v>
      </c>
      <c r="CS254" s="65">
        <f t="shared" si="205"/>
        <v>32</v>
      </c>
      <c r="CT254" s="65">
        <f t="shared" si="205"/>
        <v>298787.67</v>
      </c>
      <c r="CU254" s="304">
        <f>CU7+CU20+CU39+CU36+CU56+CU64+CU77+CU78+CU73+CU74+CU93+CU94+CU95+CU96+CU97+CU100+CU101+CU106+CU109+CU120+CU154+CU159+CU160+CU161+CU164+CU165+CU170+CU172+CU174+CU175+CU177+CU179</f>
        <v>1728</v>
      </c>
      <c r="CV254" s="287">
        <f>CV7+CV20+CV39+CV36+CV56+CV64+CV77+CV78+CV73+CV74+CV93+CV94+CV95+CV96+CV97+CV100+CV101+CV106+CV109+CV120+CV154+CV159+CV160+CV161+CV164+CV165+CV170+CV172+CV174+CV175+CV177+CV179</f>
        <v>0</v>
      </c>
      <c r="CW254" s="287">
        <f>CW7+CW20+CW39+CW36+CW56+CW64+CW77+CW78+CW73+CW74+CW93+CW94+CW95+CW96+CW97+CW100+CW101+CW106+CW109+CW120+CW154+CW159+CW160+CW161+CW164+CW165+CW170+CW172+CW174+CW175+CW177+CW179</f>
        <v>0</v>
      </c>
      <c r="CX254" s="224"/>
      <c r="CY254" s="287">
        <f>CY7+CY20+CY39+CY36+CY56+CY64+CY77+CY78+CY73+CY74+CY93+CY94+CY95+CY96+CY97+CY100+CY101+CY106+CY109+CY120+CY154+CY159+CY160+CY161+CY164+CY165+CY170+CY172+CY174+CY175+CY177+CY179</f>
        <v>0</v>
      </c>
      <c r="CZ254" s="287">
        <f>CZ7+CZ20+CZ39+CZ36+CZ56+CZ64+CZ77+CZ78+CZ73+CZ74+CZ93+CZ94+CZ95+CZ96+CZ97+CZ100+CZ101+CZ106+CZ109+CZ120+CZ154+CZ159+CZ160+CZ161+CZ164+CZ165+CZ170+CZ172+CZ174+CZ175+CZ177+CZ179</f>
        <v>0</v>
      </c>
      <c r="DA254" s="224"/>
      <c r="DB254" s="65">
        <f t="shared" ref="DB254:EC254" si="206">DB7+DB20+DB39+DB36+DB56+DB64+DB77+DB78+DB73+DB74+DB93+DB94+DB95+DB96+DB97+DB100+DB101+DB106+DB109+DB120+DB154+DB159+DB160+DB161+DB164+DB165+DB170+DB172+DB174+DB175+DB177+DB179</f>
        <v>32</v>
      </c>
      <c r="DC254" s="65">
        <f t="shared" si="206"/>
        <v>0</v>
      </c>
      <c r="DD254" s="65">
        <f t="shared" si="206"/>
        <v>0</v>
      </c>
      <c r="DE254" s="65">
        <f t="shared" si="206"/>
        <v>1</v>
      </c>
      <c r="DF254" s="65">
        <f t="shared" si="206"/>
        <v>59</v>
      </c>
      <c r="DG254" s="65">
        <f t="shared" si="206"/>
        <v>0</v>
      </c>
      <c r="DH254" s="65">
        <f t="shared" si="206"/>
        <v>0</v>
      </c>
      <c r="DI254" s="65">
        <f t="shared" si="206"/>
        <v>1</v>
      </c>
      <c r="DJ254" s="65">
        <f t="shared" si="206"/>
        <v>0</v>
      </c>
      <c r="DK254" s="65">
        <f t="shared" si="206"/>
        <v>3121</v>
      </c>
      <c r="DL254" s="65">
        <f t="shared" si="206"/>
        <v>2845</v>
      </c>
      <c r="DM254" s="65">
        <f t="shared" si="206"/>
        <v>276</v>
      </c>
      <c r="DN254" s="65">
        <f t="shared" si="206"/>
        <v>2251</v>
      </c>
      <c r="DO254" s="65">
        <f t="shared" si="206"/>
        <v>1462</v>
      </c>
      <c r="DP254" s="65">
        <f t="shared" si="206"/>
        <v>2014</v>
      </c>
      <c r="DQ254" s="65">
        <f t="shared" si="206"/>
        <v>1773</v>
      </c>
      <c r="DR254" s="65">
        <f t="shared" si="206"/>
        <v>1491</v>
      </c>
      <c r="DS254" s="65">
        <f t="shared" si="206"/>
        <v>2001</v>
      </c>
      <c r="DT254" s="65">
        <f t="shared" si="206"/>
        <v>1821</v>
      </c>
      <c r="DU254" s="65">
        <f t="shared" si="206"/>
        <v>162</v>
      </c>
      <c r="DV254" s="65">
        <f t="shared" si="206"/>
        <v>78</v>
      </c>
      <c r="DW254" s="65">
        <f t="shared" si="206"/>
        <v>189</v>
      </c>
      <c r="DX254" s="65">
        <f t="shared" si="206"/>
        <v>90</v>
      </c>
      <c r="DY254" s="65">
        <f t="shared" si="206"/>
        <v>79</v>
      </c>
      <c r="DZ254" s="65">
        <f t="shared" si="206"/>
        <v>192</v>
      </c>
      <c r="EA254" s="65">
        <f t="shared" si="206"/>
        <v>95</v>
      </c>
      <c r="EB254" s="65">
        <f t="shared" si="206"/>
        <v>3121</v>
      </c>
      <c r="EC254" s="65">
        <f t="shared" si="206"/>
        <v>3101</v>
      </c>
    </row>
    <row r="255" spans="1:138" s="7" customFormat="1" x14ac:dyDescent="0.2">
      <c r="B255" s="174"/>
      <c r="C255" s="27" t="s">
        <v>18</v>
      </c>
      <c r="D255" s="48"/>
      <c r="E255" s="136"/>
      <c r="F255" s="215"/>
      <c r="G255" s="65">
        <f>G46+G44+G39</f>
        <v>3</v>
      </c>
      <c r="H255" s="260">
        <v>12</v>
      </c>
      <c r="I255" s="65"/>
      <c r="J255" s="65">
        <f t="shared" ref="J255:AO255" si="207">J46+J44+J39</f>
        <v>73466</v>
      </c>
      <c r="K255" s="65">
        <f t="shared" si="207"/>
        <v>3429</v>
      </c>
      <c r="L255" s="65">
        <f t="shared" si="207"/>
        <v>0</v>
      </c>
      <c r="M255" s="65">
        <f t="shared" si="207"/>
        <v>1622</v>
      </c>
      <c r="N255" s="65">
        <f t="shared" si="207"/>
        <v>165</v>
      </c>
      <c r="O255" s="65">
        <f t="shared" si="207"/>
        <v>363</v>
      </c>
      <c r="P255" s="65">
        <f t="shared" si="207"/>
        <v>165</v>
      </c>
      <c r="Q255" s="65">
        <f t="shared" si="207"/>
        <v>311</v>
      </c>
      <c r="R255" s="65">
        <f t="shared" si="207"/>
        <v>9610.1</v>
      </c>
      <c r="S255" s="65">
        <f t="shared" si="207"/>
        <v>5310.8</v>
      </c>
      <c r="T255" s="65">
        <f t="shared" si="207"/>
        <v>160</v>
      </c>
      <c r="U255" s="65">
        <f t="shared" si="207"/>
        <v>9357.1</v>
      </c>
      <c r="V255" s="65">
        <f t="shared" si="207"/>
        <v>5153.95</v>
      </c>
      <c r="W255" s="65">
        <f t="shared" si="207"/>
        <v>5</v>
      </c>
      <c r="X255" s="65">
        <f t="shared" si="207"/>
        <v>253</v>
      </c>
      <c r="Y255" s="65">
        <f t="shared" si="207"/>
        <v>156.85</v>
      </c>
      <c r="Z255" s="65">
        <f t="shared" si="207"/>
        <v>0</v>
      </c>
      <c r="AA255" s="65">
        <f t="shared" si="207"/>
        <v>0</v>
      </c>
      <c r="AB255" s="65">
        <f t="shared" si="207"/>
        <v>0</v>
      </c>
      <c r="AC255" s="65">
        <f t="shared" si="207"/>
        <v>2115.1</v>
      </c>
      <c r="AD255" s="65">
        <f t="shared" si="207"/>
        <v>1545.3000000000002</v>
      </c>
      <c r="AE255" s="65">
        <f t="shared" si="207"/>
        <v>0</v>
      </c>
      <c r="AF255" s="65">
        <f t="shared" si="207"/>
        <v>1545.3000000000002</v>
      </c>
      <c r="AG255" s="65">
        <f t="shared" si="207"/>
        <v>569.79999999999995</v>
      </c>
      <c r="AH255" s="65">
        <f t="shared" si="207"/>
        <v>0</v>
      </c>
      <c r="AI255" s="65">
        <f t="shared" si="207"/>
        <v>11725.2</v>
      </c>
      <c r="AJ255" s="65">
        <f t="shared" si="207"/>
        <v>0</v>
      </c>
      <c r="AK255" s="65">
        <f t="shared" si="207"/>
        <v>6</v>
      </c>
      <c r="AL255" s="65">
        <f t="shared" si="207"/>
        <v>3</v>
      </c>
      <c r="AM255" s="65">
        <f t="shared" si="207"/>
        <v>3</v>
      </c>
      <c r="AN255" s="65">
        <f t="shared" si="207"/>
        <v>0</v>
      </c>
      <c r="AO255" s="65">
        <f t="shared" si="207"/>
        <v>3</v>
      </c>
      <c r="AP255" s="65">
        <f t="shared" ref="AP255:BU255" si="208">AP46+AP44+AP39</f>
        <v>9900</v>
      </c>
      <c r="AQ255" s="65">
        <f t="shared" si="208"/>
        <v>15.25</v>
      </c>
      <c r="AR255" s="65">
        <f t="shared" si="208"/>
        <v>2225</v>
      </c>
      <c r="AS255" s="65">
        <f t="shared" si="208"/>
        <v>888</v>
      </c>
      <c r="AT255" s="65">
        <f t="shared" si="208"/>
        <v>117</v>
      </c>
      <c r="AU255" s="65">
        <f t="shared" si="208"/>
        <v>13170</v>
      </c>
      <c r="AV255" s="65">
        <f t="shared" si="208"/>
        <v>0</v>
      </c>
      <c r="AW255" s="65">
        <f t="shared" si="208"/>
        <v>13170</v>
      </c>
      <c r="AX255" s="65">
        <f t="shared" si="208"/>
        <v>0</v>
      </c>
      <c r="AY255" s="65">
        <f t="shared" si="208"/>
        <v>834</v>
      </c>
      <c r="AZ255" s="65">
        <f t="shared" si="208"/>
        <v>3280</v>
      </c>
      <c r="BA255" s="65">
        <f t="shared" si="208"/>
        <v>1652</v>
      </c>
      <c r="BB255" s="65">
        <f t="shared" si="208"/>
        <v>26</v>
      </c>
      <c r="BC255" s="65">
        <f t="shared" si="208"/>
        <v>258</v>
      </c>
      <c r="BD255" s="65">
        <f t="shared" si="208"/>
        <v>583</v>
      </c>
      <c r="BE255" s="65">
        <f t="shared" si="208"/>
        <v>1023</v>
      </c>
      <c r="BF255" s="65">
        <f t="shared" si="208"/>
        <v>3</v>
      </c>
      <c r="BG255" s="65">
        <f t="shared" si="208"/>
        <v>22800</v>
      </c>
      <c r="BH255" s="65">
        <f t="shared" si="208"/>
        <v>9810</v>
      </c>
      <c r="BI255" s="65">
        <f t="shared" si="208"/>
        <v>360</v>
      </c>
      <c r="BJ255" s="65">
        <f t="shared" si="208"/>
        <v>3</v>
      </c>
      <c r="BK255" s="65">
        <f t="shared" si="208"/>
        <v>9610.1</v>
      </c>
      <c r="BL255" s="65">
        <f t="shared" si="208"/>
        <v>5310.8</v>
      </c>
      <c r="BM255" s="65">
        <f t="shared" si="208"/>
        <v>0</v>
      </c>
      <c r="BN255" s="65">
        <f t="shared" si="208"/>
        <v>0</v>
      </c>
      <c r="BO255" s="65">
        <f t="shared" si="208"/>
        <v>0</v>
      </c>
      <c r="BP255" s="65">
        <f t="shared" si="208"/>
        <v>0</v>
      </c>
      <c r="BQ255" s="65">
        <f t="shared" si="208"/>
        <v>0</v>
      </c>
      <c r="BR255" s="65">
        <f t="shared" si="208"/>
        <v>0</v>
      </c>
      <c r="BS255" s="65">
        <f t="shared" si="208"/>
        <v>0</v>
      </c>
      <c r="BT255" s="65">
        <f t="shared" si="208"/>
        <v>3</v>
      </c>
      <c r="BU255" s="65">
        <f t="shared" si="208"/>
        <v>1652</v>
      </c>
      <c r="BV255" s="65">
        <f t="shared" ref="BV255:CT255" si="209">BV46+BV44+BV39</f>
        <v>11004</v>
      </c>
      <c r="BW255" s="65">
        <f t="shared" si="209"/>
        <v>0</v>
      </c>
      <c r="BX255" s="65">
        <f t="shared" si="209"/>
        <v>9900</v>
      </c>
      <c r="BY255" s="65">
        <f t="shared" si="209"/>
        <v>5452.7000000000007</v>
      </c>
      <c r="BZ255" s="65">
        <f t="shared" si="209"/>
        <v>3421.6</v>
      </c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>
        <f t="shared" si="209"/>
        <v>5802</v>
      </c>
      <c r="CN255" s="65">
        <f t="shared" si="209"/>
        <v>2373</v>
      </c>
      <c r="CO255" s="65">
        <f t="shared" si="209"/>
        <v>0</v>
      </c>
      <c r="CP255" s="65">
        <f t="shared" si="209"/>
        <v>0</v>
      </c>
      <c r="CQ255" s="65">
        <f t="shared" si="209"/>
        <v>3</v>
      </c>
      <c r="CR255" s="65">
        <f t="shared" si="209"/>
        <v>13170</v>
      </c>
      <c r="CS255" s="65">
        <f t="shared" si="209"/>
        <v>3</v>
      </c>
      <c r="CT255" s="65">
        <f t="shared" si="209"/>
        <v>13170</v>
      </c>
      <c r="CU255" s="304">
        <f>CU105+CU116+CU118</f>
        <v>172</v>
      </c>
      <c r="CV255" s="287">
        <f>CV105+CV116+CV118</f>
        <v>0</v>
      </c>
      <c r="CW255" s="287">
        <f>CW105+CW116+CW118</f>
        <v>0</v>
      </c>
      <c r="CX255" s="224"/>
      <c r="CY255" s="287">
        <f>CY105+CY116+CY118</f>
        <v>0</v>
      </c>
      <c r="CZ255" s="287">
        <f>CZ105+CZ116+CZ118</f>
        <v>0</v>
      </c>
      <c r="DA255" s="224"/>
      <c r="DB255" s="65">
        <f t="shared" ref="DB255:EC255" si="210">DB105+DB116+DB118</f>
        <v>3</v>
      </c>
      <c r="DC255" s="65">
        <f t="shared" si="210"/>
        <v>0</v>
      </c>
      <c r="DD255" s="65">
        <f t="shared" si="210"/>
        <v>0</v>
      </c>
      <c r="DE255" s="65">
        <f t="shared" si="210"/>
        <v>0</v>
      </c>
      <c r="DF255" s="65">
        <f t="shared" si="210"/>
        <v>3</v>
      </c>
      <c r="DG255" s="65">
        <f t="shared" si="210"/>
        <v>0</v>
      </c>
      <c r="DH255" s="65">
        <f t="shared" si="210"/>
        <v>0</v>
      </c>
      <c r="DI255" s="65">
        <f t="shared" si="210"/>
        <v>0</v>
      </c>
      <c r="DJ255" s="65">
        <f t="shared" si="210"/>
        <v>0</v>
      </c>
      <c r="DK255" s="65">
        <f t="shared" si="210"/>
        <v>155</v>
      </c>
      <c r="DL255" s="65">
        <f t="shared" si="210"/>
        <v>134</v>
      </c>
      <c r="DM255" s="65">
        <f t="shared" si="210"/>
        <v>21</v>
      </c>
      <c r="DN255" s="65">
        <f t="shared" si="210"/>
        <v>102</v>
      </c>
      <c r="DO255" s="65">
        <f t="shared" si="210"/>
        <v>74</v>
      </c>
      <c r="DP255" s="65">
        <f t="shared" si="210"/>
        <v>102</v>
      </c>
      <c r="DQ255" s="65">
        <f t="shared" si="210"/>
        <v>91</v>
      </c>
      <c r="DR255" s="65">
        <f t="shared" si="210"/>
        <v>73</v>
      </c>
      <c r="DS255" s="65">
        <f t="shared" si="210"/>
        <v>104</v>
      </c>
      <c r="DT255" s="65">
        <f t="shared" si="210"/>
        <v>89</v>
      </c>
      <c r="DU255" s="65">
        <f t="shared" si="210"/>
        <v>10</v>
      </c>
      <c r="DV255" s="65">
        <f t="shared" si="210"/>
        <v>4</v>
      </c>
      <c r="DW255" s="65">
        <f t="shared" si="210"/>
        <v>9</v>
      </c>
      <c r="DX255" s="65">
        <f t="shared" si="210"/>
        <v>4</v>
      </c>
      <c r="DY255" s="65">
        <f t="shared" si="210"/>
        <v>4</v>
      </c>
      <c r="DZ255" s="65">
        <f t="shared" si="210"/>
        <v>9</v>
      </c>
      <c r="EA255" s="65">
        <f t="shared" si="210"/>
        <v>4</v>
      </c>
      <c r="EB255" s="65">
        <f t="shared" si="210"/>
        <v>155</v>
      </c>
      <c r="EC255" s="65">
        <f t="shared" si="210"/>
        <v>155</v>
      </c>
      <c r="EH255" s="280"/>
    </row>
    <row r="256" spans="1:138" s="7" customFormat="1" x14ac:dyDescent="0.2">
      <c r="B256" s="174"/>
      <c r="C256" s="27" t="s">
        <v>315</v>
      </c>
      <c r="D256" s="19"/>
      <c r="E256" s="15"/>
      <c r="F256" s="184"/>
      <c r="G256" s="65">
        <f>G147+G138+G137+G126+G95+G94+G90+G88+G86+G85+G84+G83+G50+G47+G41+G38+G32+G22+G14+G21+G20+G19+G18+G17+G13</f>
        <v>25</v>
      </c>
      <c r="H256" s="262">
        <v>5</v>
      </c>
      <c r="I256" s="65"/>
      <c r="J256" s="65">
        <f t="shared" ref="J256:AO256" si="211">J147+J138+J137+J126+J95+J94+J90+J88+J86+J85+J84+J83+J50+J47+J41+J38+J32+J22+J14+J21+J20+J19+J18+J17+J13</f>
        <v>812732</v>
      </c>
      <c r="K256" s="65">
        <f t="shared" si="211"/>
        <v>48516</v>
      </c>
      <c r="L256" s="65">
        <f t="shared" si="211"/>
        <v>57683.53</v>
      </c>
      <c r="M256" s="65">
        <f t="shared" si="211"/>
        <v>0</v>
      </c>
      <c r="N256" s="65">
        <f t="shared" si="211"/>
        <v>2087</v>
      </c>
      <c r="O256" s="65">
        <f t="shared" si="211"/>
        <v>5129</v>
      </c>
      <c r="P256" s="65">
        <f t="shared" si="211"/>
        <v>2102</v>
      </c>
      <c r="Q256" s="65">
        <f t="shared" si="211"/>
        <v>3848</v>
      </c>
      <c r="R256" s="65">
        <f t="shared" si="211"/>
        <v>143129.25</v>
      </c>
      <c r="S256" s="65">
        <f t="shared" si="211"/>
        <v>84951.829999999973</v>
      </c>
      <c r="T256" s="65">
        <f t="shared" si="211"/>
        <v>1741</v>
      </c>
      <c r="U256" s="65">
        <f t="shared" si="211"/>
        <v>118783.13000000002</v>
      </c>
      <c r="V256" s="65">
        <f t="shared" si="211"/>
        <v>69986.100000000006</v>
      </c>
      <c r="W256" s="65">
        <f t="shared" si="211"/>
        <v>343</v>
      </c>
      <c r="X256" s="65">
        <f t="shared" si="211"/>
        <v>24138.320000000003</v>
      </c>
      <c r="Y256" s="65">
        <f t="shared" si="211"/>
        <v>14965.73</v>
      </c>
      <c r="Z256" s="65">
        <f t="shared" si="211"/>
        <v>3</v>
      </c>
      <c r="AA256" s="65">
        <f t="shared" si="211"/>
        <v>207.8</v>
      </c>
      <c r="AB256" s="65">
        <f t="shared" si="211"/>
        <v>0</v>
      </c>
      <c r="AC256" s="65">
        <f t="shared" si="211"/>
        <v>33346.959999999992</v>
      </c>
      <c r="AD256" s="65">
        <f t="shared" si="211"/>
        <v>13802.960000000001</v>
      </c>
      <c r="AE256" s="65">
        <f t="shared" si="211"/>
        <v>0</v>
      </c>
      <c r="AF256" s="65">
        <f t="shared" si="211"/>
        <v>13802.960000000001</v>
      </c>
      <c r="AG256" s="65">
        <f t="shared" si="211"/>
        <v>17268.900000000001</v>
      </c>
      <c r="AH256" s="65">
        <f t="shared" si="211"/>
        <v>2275.1</v>
      </c>
      <c r="AI256" s="65">
        <f t="shared" si="211"/>
        <v>176476.20999999993</v>
      </c>
      <c r="AJ256" s="65">
        <f t="shared" si="211"/>
        <v>20</v>
      </c>
      <c r="AK256" s="65">
        <f t="shared" si="211"/>
        <v>0</v>
      </c>
      <c r="AL256" s="65">
        <f t="shared" si="211"/>
        <v>119</v>
      </c>
      <c r="AM256" s="65">
        <f t="shared" si="211"/>
        <v>2</v>
      </c>
      <c r="AN256" s="65">
        <f t="shared" si="211"/>
        <v>5</v>
      </c>
      <c r="AO256" s="65">
        <f t="shared" si="211"/>
        <v>34</v>
      </c>
      <c r="AP256" s="65">
        <f t="shared" ref="AP256:BU256" si="212">AP147+AP138+AP137+AP126+AP95+AP94+AP90+AP88+AP86+AP85+AP84+AP83+AP50+AP47+AP41+AP38+AP32+AP22+AP14+AP21+AP20+AP19+AP18+AP17+AP13</f>
        <v>121809.76</v>
      </c>
      <c r="AQ256" s="65">
        <f t="shared" si="212"/>
        <v>1652.125</v>
      </c>
      <c r="AR256" s="65">
        <f t="shared" si="212"/>
        <v>11458</v>
      </c>
      <c r="AS256" s="65">
        <f t="shared" si="212"/>
        <v>10889.34</v>
      </c>
      <c r="AT256" s="65">
        <f t="shared" si="212"/>
        <v>2540</v>
      </c>
      <c r="AU256" s="65">
        <f t="shared" si="212"/>
        <v>122028</v>
      </c>
      <c r="AV256" s="65">
        <f t="shared" si="212"/>
        <v>1746</v>
      </c>
      <c r="AW256" s="65">
        <f t="shared" si="212"/>
        <v>120282</v>
      </c>
      <c r="AX256" s="65">
        <f t="shared" si="212"/>
        <v>0</v>
      </c>
      <c r="AY256" s="65">
        <f t="shared" si="212"/>
        <v>3501</v>
      </c>
      <c r="AZ256" s="65">
        <f t="shared" si="212"/>
        <v>48390</v>
      </c>
      <c r="BA256" s="65">
        <f t="shared" si="212"/>
        <v>48706</v>
      </c>
      <c r="BB256" s="65">
        <f t="shared" si="212"/>
        <v>495</v>
      </c>
      <c r="BC256" s="65">
        <f t="shared" si="212"/>
        <v>249</v>
      </c>
      <c r="BD256" s="65">
        <f t="shared" si="212"/>
        <v>8243</v>
      </c>
      <c r="BE256" s="65">
        <f t="shared" si="212"/>
        <v>9169</v>
      </c>
      <c r="BF256" s="65">
        <f t="shared" si="212"/>
        <v>12</v>
      </c>
      <c r="BG256" s="65">
        <f t="shared" si="212"/>
        <v>162821.79999999999</v>
      </c>
      <c r="BH256" s="65">
        <f t="shared" si="212"/>
        <v>8300.4</v>
      </c>
      <c r="BI256" s="65">
        <f t="shared" si="212"/>
        <v>0</v>
      </c>
      <c r="BJ256" s="65">
        <f t="shared" si="212"/>
        <v>25</v>
      </c>
      <c r="BK256" s="65">
        <f t="shared" si="212"/>
        <v>143129.25</v>
      </c>
      <c r="BL256" s="65">
        <f t="shared" si="212"/>
        <v>84951.829999999973</v>
      </c>
      <c r="BM256" s="65">
        <f t="shared" si="212"/>
        <v>0</v>
      </c>
      <c r="BN256" s="65">
        <f t="shared" si="212"/>
        <v>0</v>
      </c>
      <c r="BO256" s="65">
        <f t="shared" si="212"/>
        <v>0</v>
      </c>
      <c r="BP256" s="65">
        <f t="shared" si="212"/>
        <v>0</v>
      </c>
      <c r="BQ256" s="65">
        <f t="shared" si="212"/>
        <v>0</v>
      </c>
      <c r="BR256" s="65">
        <f t="shared" si="212"/>
        <v>0</v>
      </c>
      <c r="BS256" s="65">
        <f t="shared" si="212"/>
        <v>0</v>
      </c>
      <c r="BT256" s="65">
        <f t="shared" si="212"/>
        <v>60</v>
      </c>
      <c r="BU256" s="65">
        <f t="shared" si="212"/>
        <v>47980</v>
      </c>
      <c r="BV256" s="65">
        <f t="shared" ref="BV256:CT256" si="213">BV147+BV138+BV137+BV126+BV95+BV94+BV90+BV88+BV86+BV85+BV84+BV83+BV50+BV47+BV41+BV38+BV32+BV22+BV14+BV21+BV20+BV19+BV18+BV17+BV13</f>
        <v>103605</v>
      </c>
      <c r="BW256" s="65">
        <f t="shared" si="213"/>
        <v>36</v>
      </c>
      <c r="BX256" s="65">
        <f t="shared" si="213"/>
        <v>121809.76</v>
      </c>
      <c r="BY256" s="65">
        <f t="shared" si="213"/>
        <v>64750.37999999999</v>
      </c>
      <c r="BZ256" s="65">
        <f t="shared" si="213"/>
        <v>15583.669999999998</v>
      </c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>
        <f t="shared" si="213"/>
        <v>112151</v>
      </c>
      <c r="CN256" s="65">
        <f t="shared" si="213"/>
        <v>63635</v>
      </c>
      <c r="CO256" s="65">
        <f t="shared" si="213"/>
        <v>1</v>
      </c>
      <c r="CP256" s="65">
        <f t="shared" si="213"/>
        <v>1746</v>
      </c>
      <c r="CQ256" s="65">
        <f t="shared" si="213"/>
        <v>24</v>
      </c>
      <c r="CR256" s="65">
        <f t="shared" si="213"/>
        <v>120282</v>
      </c>
      <c r="CS256" s="65">
        <f t="shared" si="213"/>
        <v>25</v>
      </c>
      <c r="CT256" s="65">
        <f t="shared" si="213"/>
        <v>122028</v>
      </c>
      <c r="CU256" s="304">
        <f>CU82+CU72+CU83+CU84+CU85+CU86+CU87+CU88+CU98+CU104+CU107+CU119+CU122+CU128+CU129+CU130+CU131+CU133+CU135+CU126+CU127+CU141+CU157+CU158</f>
        <v>1149</v>
      </c>
      <c r="CV256" s="287">
        <f>CV82+CV72+CV83+CV84+CV85+CV86+CV87+CV88+CV98+CV104+CV107+CV119+CV122+CV128+CV129+CV130+CV131+CV133+CV135+CV126+CV127+CV141+CV157+CV158+CV167</f>
        <v>0</v>
      </c>
      <c r="CW256" s="287">
        <f>CW82+CW72+CW83+CW84+CW85+CW86+CW87+CW88+CW98+CW104+CW107+CW119+CW122+CW128+CW129+CW130+CW131+CW133+CW135+CW126+CW127+CW141+CW157+CW158+CW167</f>
        <v>0</v>
      </c>
      <c r="CX256" s="224"/>
      <c r="CY256" s="287">
        <f>CY82+CY72+CY83+CY84+CY85+CY86+CY87+CY88+CY98+CY104+CY107+CY119+CY122+CY128+CY129+CY130+CY131+CY133+CY135+CY126+CY127+CY141+CY157+CY158+CY167</f>
        <v>0</v>
      </c>
      <c r="CZ256" s="287">
        <f>CZ82+CZ72+CZ83+CZ84+CZ85+CZ86+CZ87+CZ88+CZ98+CZ104+CZ107+CZ119+CZ122+CZ128+CZ129+CZ130+CZ131+CZ133+CZ135+CZ126+CZ127+CZ141+CZ157+CZ158+CZ167</f>
        <v>0</v>
      </c>
      <c r="DA256" s="224"/>
      <c r="DB256" s="65">
        <f t="shared" ref="DB256:EC256" si="214">DB82+DB72+DB83+DB84+DB85+DB86+DB87+DB88+DB98+DB104+DB107+DB119+DB122+DB128+DB129+DB130+DB131+DB133+DB135+DB126+DB127+DB141+DB157+DB158+DB167</f>
        <v>25</v>
      </c>
      <c r="DC256" s="65">
        <f t="shared" si="214"/>
        <v>0</v>
      </c>
      <c r="DD256" s="65">
        <f t="shared" si="214"/>
        <v>0</v>
      </c>
      <c r="DE256" s="65">
        <f t="shared" si="214"/>
        <v>0</v>
      </c>
      <c r="DF256" s="65">
        <f t="shared" si="214"/>
        <v>47</v>
      </c>
      <c r="DG256" s="65">
        <f t="shared" si="214"/>
        <v>0</v>
      </c>
      <c r="DH256" s="65">
        <f t="shared" si="214"/>
        <v>0</v>
      </c>
      <c r="DI256" s="65">
        <f t="shared" si="214"/>
        <v>0</v>
      </c>
      <c r="DJ256" s="65">
        <f t="shared" si="214"/>
        <v>0</v>
      </c>
      <c r="DK256" s="65">
        <f t="shared" si="214"/>
        <v>2415</v>
      </c>
      <c r="DL256" s="65">
        <f t="shared" si="214"/>
        <v>2226</v>
      </c>
      <c r="DM256" s="65">
        <f t="shared" si="214"/>
        <v>189</v>
      </c>
      <c r="DN256" s="65">
        <f t="shared" si="214"/>
        <v>1740</v>
      </c>
      <c r="DO256" s="65">
        <f t="shared" si="214"/>
        <v>1120</v>
      </c>
      <c r="DP256" s="65">
        <f t="shared" si="214"/>
        <v>1509</v>
      </c>
      <c r="DQ256" s="65">
        <f t="shared" si="214"/>
        <v>1419</v>
      </c>
      <c r="DR256" s="65">
        <f t="shared" si="214"/>
        <v>1129</v>
      </c>
      <c r="DS256" s="65">
        <f t="shared" si="214"/>
        <v>1495</v>
      </c>
      <c r="DT256" s="65">
        <f t="shared" si="214"/>
        <v>1442</v>
      </c>
      <c r="DU256" s="65">
        <f t="shared" si="214"/>
        <v>107</v>
      </c>
      <c r="DV256" s="65">
        <f t="shared" si="214"/>
        <v>56</v>
      </c>
      <c r="DW256" s="65">
        <f t="shared" si="214"/>
        <v>162</v>
      </c>
      <c r="DX256" s="65">
        <f t="shared" si="214"/>
        <v>65</v>
      </c>
      <c r="DY256" s="65">
        <f t="shared" si="214"/>
        <v>56</v>
      </c>
      <c r="DZ256" s="65">
        <f t="shared" si="214"/>
        <v>161</v>
      </c>
      <c r="EA256" s="65">
        <f t="shared" si="214"/>
        <v>65</v>
      </c>
      <c r="EB256" s="65">
        <f t="shared" si="214"/>
        <v>2415</v>
      </c>
      <c r="EC256" s="65">
        <f t="shared" si="214"/>
        <v>2388</v>
      </c>
    </row>
    <row r="257" spans="1:133" s="7" customFormat="1" x14ac:dyDescent="0.2">
      <c r="B257" s="174"/>
      <c r="C257" s="245" t="s">
        <v>337</v>
      </c>
      <c r="D257" s="19"/>
      <c r="E257" s="24"/>
      <c r="F257" s="174"/>
      <c r="G257" s="63"/>
      <c r="H257" s="268">
        <v>9</v>
      </c>
      <c r="I257" s="66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118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6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39"/>
      <c r="BT257" s="39"/>
      <c r="BU257" s="39"/>
      <c r="BV257" s="39"/>
      <c r="BW257" s="39"/>
      <c r="BX257" s="63"/>
      <c r="BY257" s="84"/>
      <c r="BZ257" s="84"/>
      <c r="CA257" s="84"/>
      <c r="CB257" s="84"/>
      <c r="CC257" s="84"/>
      <c r="CD257" s="84"/>
      <c r="CE257" s="84"/>
      <c r="CF257" s="84"/>
      <c r="CG257" s="84"/>
      <c r="CH257" s="84"/>
      <c r="CI257" s="84"/>
      <c r="CJ257" s="84"/>
      <c r="CK257" s="84"/>
      <c r="CL257" s="84"/>
      <c r="CU257" s="299"/>
      <c r="CX257" s="222"/>
      <c r="DA257" s="222"/>
      <c r="DB257" s="239"/>
      <c r="DC257" s="239"/>
      <c r="DD257" s="239"/>
      <c r="DE257" s="239"/>
      <c r="DF257" s="239"/>
      <c r="DG257" s="239"/>
      <c r="DH257" s="239"/>
      <c r="DI257" s="239"/>
      <c r="DJ257" s="239"/>
      <c r="DK257" s="239"/>
      <c r="DL257" s="239"/>
      <c r="DM257" s="239"/>
      <c r="DN257" s="239"/>
      <c r="DO257" s="239"/>
      <c r="DP257" s="239"/>
      <c r="DQ257" s="239"/>
      <c r="DR257" s="239"/>
      <c r="DS257" s="239"/>
      <c r="DT257" s="239"/>
      <c r="DU257" s="239"/>
      <c r="DV257" s="239"/>
      <c r="DW257" s="239"/>
      <c r="DX257" s="239"/>
      <c r="DY257" s="239"/>
      <c r="DZ257" s="239"/>
      <c r="EA257" s="239"/>
      <c r="EB257" s="239"/>
      <c r="EC257" s="239"/>
    </row>
    <row r="258" spans="1:133" ht="20.25" x14ac:dyDescent="0.2">
      <c r="C258" s="245" t="s">
        <v>338</v>
      </c>
      <c r="D258" s="29"/>
      <c r="E258" s="31"/>
      <c r="F258" s="133"/>
      <c r="G258" s="68"/>
      <c r="H258" s="262">
        <v>5</v>
      </c>
      <c r="I258" s="31"/>
      <c r="N258" s="81"/>
      <c r="O258" s="81"/>
      <c r="R258" s="3"/>
      <c r="S258" s="32"/>
      <c r="U258" s="33"/>
      <c r="V258" s="33"/>
      <c r="AD258" s="32"/>
      <c r="BJ258" s="82"/>
      <c r="BK258" s="82"/>
      <c r="BL258" s="82"/>
      <c r="BM258" s="82"/>
      <c r="BN258" s="82"/>
      <c r="BO258" s="82"/>
      <c r="BP258" s="82"/>
      <c r="BQ258" s="82"/>
      <c r="CU258" s="290"/>
      <c r="CY258" s="3"/>
      <c r="CZ258" s="3"/>
      <c r="DB258" s="365"/>
    </row>
    <row r="259" spans="1:133" x14ac:dyDescent="0.2">
      <c r="C259" s="27" t="s">
        <v>343</v>
      </c>
      <c r="D259" s="29"/>
      <c r="E259" s="31"/>
      <c r="F259" s="133"/>
      <c r="G259" s="257">
        <f>G114+G123+G116+G117</f>
        <v>4</v>
      </c>
      <c r="H259" s="262">
        <v>5</v>
      </c>
      <c r="I259" s="257"/>
      <c r="J259" s="257">
        <f t="shared" ref="J259:AO259" si="215">J114+J123+J116+J117</f>
        <v>57932</v>
      </c>
      <c r="K259" s="257">
        <f t="shared" si="215"/>
        <v>4448</v>
      </c>
      <c r="L259" s="257">
        <f t="shared" si="215"/>
        <v>3158</v>
      </c>
      <c r="M259" s="257">
        <f t="shared" si="215"/>
        <v>962</v>
      </c>
      <c r="N259" s="257">
        <f t="shared" si="215"/>
        <v>208</v>
      </c>
      <c r="O259" s="257">
        <f t="shared" si="215"/>
        <v>429</v>
      </c>
      <c r="P259" s="257">
        <f t="shared" si="215"/>
        <v>208</v>
      </c>
      <c r="Q259" s="257">
        <f t="shared" si="215"/>
        <v>438</v>
      </c>
      <c r="R259" s="257">
        <f t="shared" si="215"/>
        <v>11212.11</v>
      </c>
      <c r="S259" s="257">
        <f t="shared" si="215"/>
        <v>6105.4500000000007</v>
      </c>
      <c r="T259" s="257">
        <f t="shared" si="215"/>
        <v>197</v>
      </c>
      <c r="U259" s="257">
        <f t="shared" si="215"/>
        <v>10655.45</v>
      </c>
      <c r="V259" s="257">
        <f t="shared" si="215"/>
        <v>5772.73</v>
      </c>
      <c r="W259" s="257">
        <f t="shared" si="215"/>
        <v>11</v>
      </c>
      <c r="X259" s="257">
        <f t="shared" si="215"/>
        <v>556.66</v>
      </c>
      <c r="Y259" s="257">
        <f t="shared" si="215"/>
        <v>332.72</v>
      </c>
      <c r="Z259" s="257">
        <f t="shared" si="215"/>
        <v>0</v>
      </c>
      <c r="AA259" s="257">
        <f t="shared" si="215"/>
        <v>0</v>
      </c>
      <c r="AB259" s="257">
        <f t="shared" si="215"/>
        <v>0</v>
      </c>
      <c r="AC259" s="257">
        <f t="shared" si="215"/>
        <v>54.7</v>
      </c>
      <c r="AD259" s="257">
        <f t="shared" si="215"/>
        <v>0</v>
      </c>
      <c r="AE259" s="257">
        <f t="shared" si="215"/>
        <v>0</v>
      </c>
      <c r="AF259" s="257">
        <f t="shared" si="215"/>
        <v>0</v>
      </c>
      <c r="AG259" s="257">
        <f t="shared" si="215"/>
        <v>54.7</v>
      </c>
      <c r="AH259" s="257">
        <f t="shared" si="215"/>
        <v>0</v>
      </c>
      <c r="AI259" s="257">
        <f t="shared" si="215"/>
        <v>11266.810000000001</v>
      </c>
      <c r="AJ259" s="257">
        <f t="shared" si="215"/>
        <v>0</v>
      </c>
      <c r="AK259" s="257">
        <f t="shared" si="215"/>
        <v>0</v>
      </c>
      <c r="AL259" s="257">
        <f t="shared" si="215"/>
        <v>11</v>
      </c>
      <c r="AM259" s="257">
        <f t="shared" si="215"/>
        <v>11</v>
      </c>
      <c r="AN259" s="257">
        <f t="shared" si="215"/>
        <v>3</v>
      </c>
      <c r="AO259" s="257">
        <f t="shared" si="215"/>
        <v>4</v>
      </c>
      <c r="AP259" s="257">
        <f t="shared" ref="AP259:BU259" si="216">AP114+AP123+AP116+AP117</f>
        <v>10016</v>
      </c>
      <c r="AQ259" s="257">
        <f t="shared" si="216"/>
        <v>0</v>
      </c>
      <c r="AR259" s="257">
        <f t="shared" si="216"/>
        <v>1717</v>
      </c>
      <c r="AS259" s="257">
        <f t="shared" si="216"/>
        <v>1466</v>
      </c>
      <c r="AT259" s="257">
        <f t="shared" si="216"/>
        <v>350</v>
      </c>
      <c r="AU259" s="257">
        <f t="shared" si="216"/>
        <v>15110</v>
      </c>
      <c r="AV259" s="257">
        <f t="shared" si="216"/>
        <v>0</v>
      </c>
      <c r="AW259" s="257">
        <f t="shared" si="216"/>
        <v>15110</v>
      </c>
      <c r="AX259" s="257">
        <f t="shared" si="216"/>
        <v>0</v>
      </c>
      <c r="AY259" s="257">
        <f t="shared" si="216"/>
        <v>722</v>
      </c>
      <c r="AZ259" s="257">
        <f t="shared" si="216"/>
        <v>4314</v>
      </c>
      <c r="BA259" s="257">
        <f t="shared" si="216"/>
        <v>4314</v>
      </c>
      <c r="BB259" s="257">
        <f t="shared" si="216"/>
        <v>20</v>
      </c>
      <c r="BC259" s="257">
        <f t="shared" si="216"/>
        <v>38</v>
      </c>
      <c r="BD259" s="257">
        <f t="shared" si="216"/>
        <v>507</v>
      </c>
      <c r="BE259" s="257">
        <f t="shared" si="216"/>
        <v>209</v>
      </c>
      <c r="BF259" s="257">
        <f t="shared" si="216"/>
        <v>3</v>
      </c>
      <c r="BG259" s="257">
        <f t="shared" si="216"/>
        <v>17172</v>
      </c>
      <c r="BH259" s="257">
        <f t="shared" si="216"/>
        <v>1400</v>
      </c>
      <c r="BI259" s="257">
        <f t="shared" si="216"/>
        <v>0</v>
      </c>
      <c r="BJ259" s="257">
        <f t="shared" si="216"/>
        <v>4</v>
      </c>
      <c r="BK259" s="257">
        <f t="shared" si="216"/>
        <v>11212.11</v>
      </c>
      <c r="BL259" s="257">
        <f t="shared" si="216"/>
        <v>6105.4500000000007</v>
      </c>
      <c r="BM259" s="257">
        <f t="shared" si="216"/>
        <v>0</v>
      </c>
      <c r="BN259" s="257">
        <f t="shared" si="216"/>
        <v>0</v>
      </c>
      <c r="BO259" s="257">
        <f t="shared" si="216"/>
        <v>0</v>
      </c>
      <c r="BP259" s="257">
        <f t="shared" si="216"/>
        <v>0</v>
      </c>
      <c r="BQ259" s="257">
        <f t="shared" si="216"/>
        <v>0</v>
      </c>
      <c r="BR259" s="257">
        <f t="shared" si="216"/>
        <v>0</v>
      </c>
      <c r="BS259" s="257">
        <f t="shared" si="216"/>
        <v>0</v>
      </c>
      <c r="BT259" s="257">
        <f t="shared" si="216"/>
        <v>3</v>
      </c>
      <c r="BU259" s="257">
        <f t="shared" si="216"/>
        <v>3504</v>
      </c>
      <c r="BV259" s="257">
        <f t="shared" ref="BV259:CT259" si="217">BV114+BV123+BV116+BV117</f>
        <v>8042</v>
      </c>
      <c r="BW259" s="257">
        <f t="shared" si="217"/>
        <v>0</v>
      </c>
      <c r="BX259" s="257">
        <f t="shared" si="217"/>
        <v>10016</v>
      </c>
      <c r="BY259" s="257">
        <f t="shared" si="217"/>
        <v>6009.880000000001</v>
      </c>
      <c r="BZ259" s="257">
        <f t="shared" si="217"/>
        <v>2100.4899999999998</v>
      </c>
      <c r="CA259" s="257"/>
      <c r="CB259" s="257"/>
      <c r="CC259" s="257"/>
      <c r="CD259" s="257"/>
      <c r="CE259" s="257"/>
      <c r="CF259" s="257"/>
      <c r="CG259" s="257"/>
      <c r="CH259" s="257"/>
      <c r="CI259" s="257"/>
      <c r="CJ259" s="257"/>
      <c r="CK259" s="257"/>
      <c r="CL259" s="257"/>
      <c r="CM259" s="257">
        <f t="shared" si="217"/>
        <v>9381</v>
      </c>
      <c r="CN259" s="257">
        <f t="shared" si="217"/>
        <v>4933</v>
      </c>
      <c r="CO259" s="257">
        <f t="shared" si="217"/>
        <v>0</v>
      </c>
      <c r="CP259" s="257">
        <f t="shared" si="217"/>
        <v>0</v>
      </c>
      <c r="CQ259" s="257">
        <f t="shared" si="217"/>
        <v>4</v>
      </c>
      <c r="CR259" s="257">
        <f t="shared" si="217"/>
        <v>15110</v>
      </c>
      <c r="CS259" s="257">
        <f t="shared" si="217"/>
        <v>4</v>
      </c>
      <c r="CT259" s="257">
        <f t="shared" si="217"/>
        <v>15110</v>
      </c>
      <c r="CU259" s="290">
        <f>CU54+CU137+CU146+CU138</f>
        <v>204</v>
      </c>
      <c r="CV259" s="3">
        <f>CV54+CV137+CV146+CV138</f>
        <v>0</v>
      </c>
      <c r="CW259" s="3">
        <f>CW54+CW137+CW146+CW138</f>
        <v>0</v>
      </c>
      <c r="CX259" s="224"/>
      <c r="CY259" s="3">
        <f>CY54+CY137+CY146+CY138</f>
        <v>0</v>
      </c>
      <c r="CZ259" s="3">
        <f>CZ54+CZ137+CZ146+CZ138</f>
        <v>0</v>
      </c>
      <c r="DA259" s="224"/>
      <c r="DB259" s="365">
        <f t="shared" ref="DB259:EC259" si="218">DB54+DB137+DB146+DB138</f>
        <v>4</v>
      </c>
      <c r="DC259" s="238">
        <f t="shared" si="218"/>
        <v>0</v>
      </c>
      <c r="DD259" s="238">
        <f t="shared" si="218"/>
        <v>0</v>
      </c>
      <c r="DE259" s="238">
        <f t="shared" si="218"/>
        <v>0</v>
      </c>
      <c r="DF259" s="238">
        <f t="shared" si="218"/>
        <v>5</v>
      </c>
      <c r="DG259" s="238">
        <f t="shared" si="218"/>
        <v>0</v>
      </c>
      <c r="DH259" s="238">
        <f t="shared" si="218"/>
        <v>0</v>
      </c>
      <c r="DI259" s="238">
        <f t="shared" si="218"/>
        <v>0</v>
      </c>
      <c r="DJ259" s="238">
        <f t="shared" si="218"/>
        <v>0</v>
      </c>
      <c r="DK259" s="238">
        <f t="shared" si="218"/>
        <v>271</v>
      </c>
      <c r="DL259" s="238">
        <f t="shared" si="218"/>
        <v>242</v>
      </c>
      <c r="DM259" s="238">
        <f t="shared" si="218"/>
        <v>29</v>
      </c>
      <c r="DN259" s="238">
        <f t="shared" si="218"/>
        <v>194</v>
      </c>
      <c r="DO259" s="238">
        <f t="shared" si="218"/>
        <v>113</v>
      </c>
      <c r="DP259" s="238">
        <f t="shared" si="218"/>
        <v>179</v>
      </c>
      <c r="DQ259" s="238">
        <f t="shared" si="218"/>
        <v>151</v>
      </c>
      <c r="DR259" s="238">
        <f t="shared" si="218"/>
        <v>126</v>
      </c>
      <c r="DS259" s="238">
        <f t="shared" si="218"/>
        <v>161</v>
      </c>
      <c r="DT259" s="238">
        <f t="shared" si="218"/>
        <v>175</v>
      </c>
      <c r="DU259" s="238">
        <f t="shared" si="218"/>
        <v>19</v>
      </c>
      <c r="DV259" s="238">
        <f t="shared" si="218"/>
        <v>6</v>
      </c>
      <c r="DW259" s="238">
        <f t="shared" si="218"/>
        <v>35</v>
      </c>
      <c r="DX259" s="238">
        <f t="shared" si="218"/>
        <v>6</v>
      </c>
      <c r="DY259" s="238">
        <f t="shared" si="218"/>
        <v>6</v>
      </c>
      <c r="DZ259" s="238">
        <f t="shared" si="218"/>
        <v>35</v>
      </c>
      <c r="EA259" s="238">
        <f t="shared" si="218"/>
        <v>6</v>
      </c>
      <c r="EB259" s="238">
        <f t="shared" si="218"/>
        <v>271</v>
      </c>
      <c r="EC259" s="238">
        <f t="shared" si="218"/>
        <v>267</v>
      </c>
    </row>
    <row r="260" spans="1:133" x14ac:dyDescent="0.2">
      <c r="D260" s="29"/>
      <c r="E260" s="31"/>
      <c r="F260" s="133"/>
      <c r="H260" s="31"/>
      <c r="I260" s="31"/>
      <c r="R260" s="29"/>
      <c r="S260" s="32"/>
      <c r="U260" s="33"/>
      <c r="V260" s="33"/>
      <c r="W260" s="68"/>
      <c r="X260" s="68"/>
      <c r="AD260" s="32"/>
      <c r="BJ260" s="29"/>
      <c r="BK260" s="29"/>
      <c r="BM260" s="29"/>
      <c r="BN260" s="29"/>
      <c r="DB260" s="365"/>
    </row>
    <row r="261" spans="1:133" x14ac:dyDescent="0.2">
      <c r="D261" s="29"/>
      <c r="E261" s="31"/>
      <c r="F261" s="133"/>
      <c r="H261" s="31"/>
      <c r="I261" s="31"/>
      <c r="R261" s="32"/>
      <c r="S261" s="32"/>
      <c r="U261" s="33"/>
      <c r="V261" s="33"/>
      <c r="AD261" s="32"/>
      <c r="DB261" s="365"/>
    </row>
    <row r="262" spans="1:133" x14ac:dyDescent="0.2">
      <c r="D262" s="29"/>
      <c r="E262" s="31"/>
      <c r="F262" s="133"/>
      <c r="H262" s="260"/>
      <c r="I262" s="31"/>
      <c r="R262" s="366">
        <f>R248+og!R248</f>
        <v>1053814.4800000002</v>
      </c>
      <c r="S262" s="32"/>
      <c r="U262" s="33"/>
      <c r="V262" s="33"/>
      <c r="AC262" s="366">
        <f>AC248+og!AC248</f>
        <v>87872.66</v>
      </c>
      <c r="AD262" s="32"/>
      <c r="AI262" s="366">
        <f>AI248+og!AI248</f>
        <v>1141687.1400000001</v>
      </c>
      <c r="DB262" s="365"/>
    </row>
    <row r="263" spans="1:133" s="340" customFormat="1" hidden="1" x14ac:dyDescent="0.2">
      <c r="A263" s="3"/>
      <c r="B263" s="167"/>
      <c r="C263" s="3" t="s">
        <v>26</v>
      </c>
      <c r="D263" s="29"/>
      <c r="E263" s="31"/>
      <c r="F263" s="133"/>
      <c r="G263" s="3">
        <v>181</v>
      </c>
      <c r="H263" s="31"/>
      <c r="I263" s="31"/>
      <c r="J263" s="3">
        <v>4319202.5</v>
      </c>
      <c r="K263" s="3">
        <v>235917</v>
      </c>
      <c r="L263" s="3">
        <v>151381.53</v>
      </c>
      <c r="M263" s="3">
        <v>80862</v>
      </c>
      <c r="N263" s="3">
        <v>16884</v>
      </c>
      <c r="O263" s="3">
        <v>37677</v>
      </c>
      <c r="P263" s="3">
        <v>16942</v>
      </c>
      <c r="Q263" s="3">
        <v>33094</v>
      </c>
      <c r="R263" s="32">
        <v>915468.03</v>
      </c>
      <c r="S263" s="32">
        <v>556914.33999999985</v>
      </c>
      <c r="T263" s="3">
        <v>15424</v>
      </c>
      <c r="U263" s="33">
        <v>836068.38</v>
      </c>
      <c r="V263" s="33">
        <v>507836.94999999995</v>
      </c>
      <c r="W263" s="3">
        <v>1455</v>
      </c>
      <c r="X263" s="3">
        <v>79067.75</v>
      </c>
      <c r="Y263" s="3">
        <v>49005.319999999992</v>
      </c>
      <c r="Z263" s="3">
        <v>5</v>
      </c>
      <c r="AA263" s="3">
        <v>331.9</v>
      </c>
      <c r="AB263" s="3">
        <v>72.069999999999993</v>
      </c>
      <c r="AC263" s="3">
        <v>84093.459999999977</v>
      </c>
      <c r="AD263" s="32">
        <v>27191.64</v>
      </c>
      <c r="AE263" s="82">
        <v>0</v>
      </c>
      <c r="AF263" s="3">
        <v>27191.64</v>
      </c>
      <c r="AG263" s="3">
        <v>53099.520000000004</v>
      </c>
      <c r="AH263" s="3">
        <v>3802.2999999999997</v>
      </c>
      <c r="AI263" s="3">
        <v>999561.49000000011</v>
      </c>
      <c r="AJ263" s="3">
        <v>20</v>
      </c>
      <c r="AK263" s="3">
        <v>279</v>
      </c>
      <c r="AL263" s="3">
        <v>689</v>
      </c>
      <c r="AM263" s="3">
        <v>288</v>
      </c>
      <c r="AN263" s="3">
        <v>33</v>
      </c>
      <c r="AO263" s="3">
        <v>366</v>
      </c>
      <c r="AP263" s="3">
        <v>771066.06</v>
      </c>
      <c r="AQ263" s="3">
        <v>6345.67</v>
      </c>
      <c r="AR263" s="3">
        <v>94079.17</v>
      </c>
      <c r="AS263" s="4">
        <v>61708.67</v>
      </c>
      <c r="AT263" s="3">
        <v>19374</v>
      </c>
      <c r="AU263" s="3">
        <v>1190447.67</v>
      </c>
      <c r="AV263" s="3">
        <v>362237</v>
      </c>
      <c r="AW263" s="3">
        <v>828210.66999999993</v>
      </c>
      <c r="AX263" s="4">
        <v>228312.33333333334</v>
      </c>
      <c r="AY263" s="3">
        <v>42347.333333333328</v>
      </c>
      <c r="AZ263" s="3">
        <v>221243.5</v>
      </c>
      <c r="BA263" s="3">
        <v>202138.5</v>
      </c>
      <c r="BB263" s="3">
        <v>5243</v>
      </c>
      <c r="BC263" s="3">
        <v>3541</v>
      </c>
      <c r="BD263" s="3">
        <v>55596</v>
      </c>
      <c r="BE263" s="3">
        <v>45044.5</v>
      </c>
      <c r="BF263" s="3">
        <v>234</v>
      </c>
      <c r="BG263" s="3">
        <v>2234452.5899159661</v>
      </c>
      <c r="BH263" s="3">
        <v>417843.4</v>
      </c>
      <c r="BI263" s="3">
        <v>19092</v>
      </c>
      <c r="BJ263" s="3">
        <v>79</v>
      </c>
      <c r="BK263" s="3">
        <v>414985.69</v>
      </c>
      <c r="BL263" s="3">
        <v>245787.46000000002</v>
      </c>
      <c r="BM263" s="3">
        <v>97</v>
      </c>
      <c r="BN263" s="3">
        <v>453708.05000000005</v>
      </c>
      <c r="BO263" s="3">
        <v>281933.00999999995</v>
      </c>
      <c r="BP263" s="3">
        <v>5</v>
      </c>
      <c r="BQ263" s="3">
        <v>46774.29</v>
      </c>
      <c r="BR263" s="3">
        <v>29193.87</v>
      </c>
      <c r="BS263" s="3">
        <v>39</v>
      </c>
      <c r="BT263" s="3">
        <v>325</v>
      </c>
      <c r="BU263" s="3">
        <v>142525</v>
      </c>
      <c r="BV263" s="3">
        <v>393401</v>
      </c>
      <c r="BW263" s="3">
        <v>401</v>
      </c>
      <c r="BX263" s="3">
        <v>389022.76</v>
      </c>
      <c r="BY263" s="84">
        <v>340363.02999999997</v>
      </c>
      <c r="BZ263" s="84">
        <v>129919.76999999999</v>
      </c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3">
        <v>553681</v>
      </c>
      <c r="CN263" s="3">
        <v>317764</v>
      </c>
      <c r="CO263" s="3">
        <v>50</v>
      </c>
      <c r="CP263" s="3">
        <v>362237</v>
      </c>
      <c r="CQ263" s="3">
        <v>131</v>
      </c>
      <c r="CR263" s="3">
        <v>828210.66999999993</v>
      </c>
      <c r="CS263" s="3">
        <v>181</v>
      </c>
      <c r="CT263" s="3">
        <v>1190447.67</v>
      </c>
      <c r="CU263" s="3"/>
      <c r="CV263" s="3">
        <v>1</v>
      </c>
      <c r="CW263" s="3">
        <v>5811.7</v>
      </c>
      <c r="CX263" s="220"/>
      <c r="CY263" s="220">
        <v>1</v>
      </c>
      <c r="CZ263" s="220">
        <v>6705.9</v>
      </c>
      <c r="DA263" s="220"/>
      <c r="DB263" s="365">
        <v>181</v>
      </c>
      <c r="DC263" s="238">
        <v>0</v>
      </c>
      <c r="DD263" s="238">
        <v>0</v>
      </c>
      <c r="DE263" s="238">
        <v>6</v>
      </c>
      <c r="DF263" s="238">
        <v>333</v>
      </c>
      <c r="DG263" s="238">
        <v>0</v>
      </c>
      <c r="DH263" s="238">
        <v>0</v>
      </c>
      <c r="DI263" s="238">
        <v>12</v>
      </c>
      <c r="DJ263" s="238">
        <v>0</v>
      </c>
      <c r="DK263" s="238">
        <v>16858</v>
      </c>
      <c r="DL263" s="238">
        <v>15546</v>
      </c>
      <c r="DM263" s="238">
        <v>1312</v>
      </c>
      <c r="DN263" s="238">
        <v>12411</v>
      </c>
      <c r="DO263" s="238">
        <v>7750</v>
      </c>
      <c r="DP263" s="238">
        <v>11263</v>
      </c>
      <c r="DQ263" s="238">
        <v>9911</v>
      </c>
      <c r="DR263" s="238">
        <v>8094</v>
      </c>
      <c r="DS263" s="238">
        <v>10791</v>
      </c>
      <c r="DT263" s="238">
        <v>10446</v>
      </c>
      <c r="DU263" s="238">
        <v>755</v>
      </c>
      <c r="DV263" s="238">
        <v>405</v>
      </c>
      <c r="DW263" s="238">
        <v>1038</v>
      </c>
      <c r="DX263" s="238">
        <v>477</v>
      </c>
      <c r="DY263" s="238">
        <v>415</v>
      </c>
      <c r="DZ263" s="238">
        <v>1018</v>
      </c>
      <c r="EA263" s="238">
        <v>500</v>
      </c>
      <c r="EB263" s="238">
        <v>16858</v>
      </c>
      <c r="EC263" s="238">
        <v>16762</v>
      </c>
    </row>
    <row r="264" spans="1:133" s="340" customFormat="1" hidden="1" x14ac:dyDescent="0.2">
      <c r="A264" s="3"/>
      <c r="B264" s="167"/>
      <c r="C264" s="3" t="s">
        <v>14</v>
      </c>
      <c r="D264" s="29"/>
      <c r="E264" s="31"/>
      <c r="F264" s="133"/>
      <c r="G264" s="3">
        <v>59</v>
      </c>
      <c r="H264" s="31">
        <v>5</v>
      </c>
      <c r="I264" s="31"/>
      <c r="J264" s="3">
        <v>896918.5</v>
      </c>
      <c r="K264" s="3">
        <v>65910</v>
      </c>
      <c r="L264" s="3">
        <v>75675</v>
      </c>
      <c r="M264" s="3">
        <v>0</v>
      </c>
      <c r="N264" s="3">
        <v>5160</v>
      </c>
      <c r="O264" s="3">
        <v>10190</v>
      </c>
      <c r="P264" s="3">
        <v>5179</v>
      </c>
      <c r="Q264" s="3">
        <v>9076</v>
      </c>
      <c r="R264" s="32">
        <v>224309.87999999998</v>
      </c>
      <c r="S264" s="32">
        <v>147489.73999999996</v>
      </c>
      <c r="T264" s="3">
        <v>4622</v>
      </c>
      <c r="U264" s="33">
        <v>201331.68000000002</v>
      </c>
      <c r="V264" s="33">
        <v>132940.40000000002</v>
      </c>
      <c r="W264" s="3">
        <v>538</v>
      </c>
      <c r="X264" s="3">
        <v>22978.2</v>
      </c>
      <c r="Y264" s="3">
        <v>14549.339999999993</v>
      </c>
      <c r="Z264" s="3">
        <v>0</v>
      </c>
      <c r="AA264" s="3">
        <v>0</v>
      </c>
      <c r="AB264" s="3">
        <v>0</v>
      </c>
      <c r="AC264" s="3">
        <v>12865.339999999998</v>
      </c>
      <c r="AD264" s="32">
        <v>1804.8700000000003</v>
      </c>
      <c r="AE264" s="82">
        <v>0</v>
      </c>
      <c r="AF264" s="3">
        <v>1804.8700000000003</v>
      </c>
      <c r="AG264" s="3">
        <v>10848.069999999998</v>
      </c>
      <c r="AH264" s="3">
        <v>212.4</v>
      </c>
      <c r="AI264" s="3">
        <v>237175.22</v>
      </c>
      <c r="AJ264" s="3">
        <v>0</v>
      </c>
      <c r="AK264" s="3">
        <v>0</v>
      </c>
      <c r="AL264" s="3">
        <v>283</v>
      </c>
      <c r="AM264" s="3">
        <v>0</v>
      </c>
      <c r="AN264" s="3">
        <v>22</v>
      </c>
      <c r="AO264" s="3">
        <v>77</v>
      </c>
      <c r="AP264" s="3">
        <v>174034</v>
      </c>
      <c r="AQ264" s="3">
        <v>280.75</v>
      </c>
      <c r="AR264" s="3">
        <v>27458.5</v>
      </c>
      <c r="AS264" s="4">
        <v>18018</v>
      </c>
      <c r="AT264" s="3">
        <v>4053</v>
      </c>
      <c r="AU264" s="3">
        <v>223075</v>
      </c>
      <c r="AV264" s="3">
        <v>0</v>
      </c>
      <c r="AW264" s="3">
        <v>223075</v>
      </c>
      <c r="AX264" s="4">
        <v>70136</v>
      </c>
      <c r="AY264" s="3">
        <v>11582</v>
      </c>
      <c r="AZ264" s="3">
        <v>63013.5</v>
      </c>
      <c r="BA264" s="3">
        <v>63319.5</v>
      </c>
      <c r="BB264" s="3">
        <v>1346</v>
      </c>
      <c r="BC264" s="3">
        <v>819</v>
      </c>
      <c r="BD264" s="3">
        <v>15485</v>
      </c>
      <c r="BE264" s="3">
        <v>5493.5</v>
      </c>
      <c r="BF264" s="3">
        <v>140</v>
      </c>
      <c r="BG264" s="3">
        <v>758657.78991596634</v>
      </c>
      <c r="BH264" s="3">
        <v>22005</v>
      </c>
      <c r="BI264" s="3">
        <v>0</v>
      </c>
      <c r="BJ264" s="3">
        <v>20</v>
      </c>
      <c r="BK264" s="3">
        <v>96684.01999999999</v>
      </c>
      <c r="BL264" s="3">
        <v>61247.719999999994</v>
      </c>
      <c r="BM264" s="3">
        <v>37</v>
      </c>
      <c r="BN264" s="3">
        <v>115603.35999999999</v>
      </c>
      <c r="BO264" s="3">
        <v>78106.14999999998</v>
      </c>
      <c r="BP264" s="3">
        <v>2</v>
      </c>
      <c r="BQ264" s="3">
        <v>12022.5</v>
      </c>
      <c r="BR264" s="3">
        <v>8135.87</v>
      </c>
      <c r="BS264" s="3">
        <v>17</v>
      </c>
      <c r="BT264" s="3">
        <v>107</v>
      </c>
      <c r="BU264" s="3">
        <v>27750</v>
      </c>
      <c r="BV264" s="3">
        <v>51314</v>
      </c>
      <c r="BW264" s="3">
        <v>251</v>
      </c>
      <c r="BX264" s="3">
        <v>93051</v>
      </c>
      <c r="BY264" s="84">
        <v>82601.069999999992</v>
      </c>
      <c r="BZ264" s="84">
        <v>18473.27</v>
      </c>
      <c r="CA264" s="84"/>
      <c r="CB264" s="84"/>
      <c r="CC264" s="84"/>
      <c r="CD264" s="84"/>
      <c r="CE264" s="84"/>
      <c r="CF264" s="84"/>
      <c r="CG264" s="84"/>
      <c r="CH264" s="84"/>
      <c r="CI264" s="84"/>
      <c r="CJ264" s="84"/>
      <c r="CK264" s="84"/>
      <c r="CL264" s="84"/>
      <c r="CM264" s="3">
        <v>178252</v>
      </c>
      <c r="CN264" s="3">
        <v>112342</v>
      </c>
      <c r="CO264" s="3">
        <v>0</v>
      </c>
      <c r="CP264" s="3">
        <v>0</v>
      </c>
      <c r="CQ264" s="3">
        <v>59</v>
      </c>
      <c r="CR264" s="3">
        <v>223075</v>
      </c>
      <c r="CS264" s="3">
        <v>59</v>
      </c>
      <c r="CT264" s="3">
        <v>223075</v>
      </c>
      <c r="CU264" s="3"/>
      <c r="CV264" s="3">
        <v>1</v>
      </c>
      <c r="CW264" s="3">
        <v>5811.7</v>
      </c>
      <c r="CX264" s="220"/>
      <c r="CY264" s="220">
        <v>1</v>
      </c>
      <c r="CZ264" s="220">
        <v>6705.9</v>
      </c>
      <c r="DA264" s="220"/>
      <c r="DB264" s="365">
        <v>59</v>
      </c>
      <c r="DC264" s="238">
        <v>0</v>
      </c>
      <c r="DD264" s="238">
        <v>0</v>
      </c>
      <c r="DE264" s="238">
        <v>2</v>
      </c>
      <c r="DF264" s="238">
        <v>116</v>
      </c>
      <c r="DG264" s="238">
        <v>0</v>
      </c>
      <c r="DH264" s="238">
        <v>0</v>
      </c>
      <c r="DI264" s="238">
        <v>2</v>
      </c>
      <c r="DJ264" s="238">
        <v>0</v>
      </c>
      <c r="DK264" s="238">
        <v>5586</v>
      </c>
      <c r="DL264" s="238">
        <v>5228</v>
      </c>
      <c r="DM264" s="238">
        <v>358</v>
      </c>
      <c r="DN264" s="238">
        <v>4302</v>
      </c>
      <c r="DO264" s="238">
        <v>2524</v>
      </c>
      <c r="DP264" s="238">
        <v>3950</v>
      </c>
      <c r="DQ264" s="238">
        <v>3388</v>
      </c>
      <c r="DR264" s="238">
        <v>2726</v>
      </c>
      <c r="DS264" s="238">
        <v>3665</v>
      </c>
      <c r="DT264" s="238">
        <v>3668</v>
      </c>
      <c r="DU264" s="238">
        <v>208</v>
      </c>
      <c r="DV264" s="238">
        <v>116</v>
      </c>
      <c r="DW264" s="238">
        <v>323</v>
      </c>
      <c r="DX264" s="238">
        <v>145</v>
      </c>
      <c r="DY264" s="238">
        <v>121</v>
      </c>
      <c r="DZ264" s="238">
        <v>306</v>
      </c>
      <c r="EA264" s="238">
        <v>158</v>
      </c>
      <c r="EB264" s="238">
        <v>5586</v>
      </c>
      <c r="EC264" s="238">
        <v>5568</v>
      </c>
    </row>
    <row r="265" spans="1:133" s="340" customFormat="1" hidden="1" x14ac:dyDescent="0.2">
      <c r="A265" s="3"/>
      <c r="B265" s="339"/>
      <c r="C265" s="339" t="s">
        <v>15</v>
      </c>
      <c r="D265" s="339"/>
      <c r="E265" s="339"/>
      <c r="F265" s="339"/>
      <c r="G265" s="339">
        <v>26</v>
      </c>
      <c r="H265" s="339">
        <v>9</v>
      </c>
      <c r="I265" s="339"/>
      <c r="J265" s="339">
        <v>886371</v>
      </c>
      <c r="K265" s="339">
        <v>45341</v>
      </c>
      <c r="L265" s="339">
        <v>14865</v>
      </c>
      <c r="M265" s="339">
        <v>16898</v>
      </c>
      <c r="N265" s="339">
        <v>2798</v>
      </c>
      <c r="O265" s="339">
        <v>6117</v>
      </c>
      <c r="P265" s="339">
        <v>2802</v>
      </c>
      <c r="Q265" s="339">
        <v>5338</v>
      </c>
      <c r="R265" s="339">
        <v>151102.41000000003</v>
      </c>
      <c r="S265" s="339">
        <v>86431.460000000021</v>
      </c>
      <c r="T265" s="339">
        <v>2653</v>
      </c>
      <c r="U265" s="339">
        <v>143521.50000000003</v>
      </c>
      <c r="V265" s="339">
        <v>81796.709999999977</v>
      </c>
      <c r="W265" s="339">
        <v>144</v>
      </c>
      <c r="X265" s="339">
        <v>7522.5099999999993</v>
      </c>
      <c r="Y265" s="339">
        <v>4603.7999999999993</v>
      </c>
      <c r="Z265" s="339">
        <v>1</v>
      </c>
      <c r="AA265" s="339">
        <v>58.4</v>
      </c>
      <c r="AB265" s="339">
        <v>30.95</v>
      </c>
      <c r="AC265" s="339">
        <v>25960.01</v>
      </c>
      <c r="AD265" s="339">
        <v>7736.06</v>
      </c>
      <c r="AE265" s="339">
        <v>0</v>
      </c>
      <c r="AF265" s="339">
        <v>7736.06</v>
      </c>
      <c r="AG265" s="339">
        <v>17471.650000000001</v>
      </c>
      <c r="AH265" s="339">
        <v>752.3</v>
      </c>
      <c r="AI265" s="339">
        <v>177062.42</v>
      </c>
      <c r="AJ265" s="339">
        <v>0</v>
      </c>
      <c r="AK265" s="339">
        <v>87</v>
      </c>
      <c r="AL265" s="339">
        <v>87</v>
      </c>
      <c r="AM265" s="339">
        <v>86</v>
      </c>
      <c r="AN265" s="339">
        <v>3</v>
      </c>
      <c r="AO265" s="339">
        <v>60</v>
      </c>
      <c r="AP265" s="339">
        <v>147804</v>
      </c>
      <c r="AQ265" s="339">
        <v>961.875</v>
      </c>
      <c r="AR265" s="339">
        <v>15512</v>
      </c>
      <c r="AS265" s="339">
        <v>8187</v>
      </c>
      <c r="AT265" s="339">
        <v>3385</v>
      </c>
      <c r="AU265" s="339">
        <v>243599</v>
      </c>
      <c r="AV265" s="339">
        <v>140234</v>
      </c>
      <c r="AW265" s="339">
        <v>103365</v>
      </c>
      <c r="AX265" s="339">
        <v>0</v>
      </c>
      <c r="AY265" s="339">
        <v>8138</v>
      </c>
      <c r="AZ265" s="339">
        <v>41267</v>
      </c>
      <c r="BA265" s="339">
        <v>27341</v>
      </c>
      <c r="BB265" s="339">
        <v>238</v>
      </c>
      <c r="BC265" s="339">
        <v>323</v>
      </c>
      <c r="BD265" s="339">
        <v>9589</v>
      </c>
      <c r="BE265" s="339">
        <v>5904</v>
      </c>
      <c r="BF265" s="339">
        <v>14</v>
      </c>
      <c r="BG265" s="339">
        <v>540423</v>
      </c>
      <c r="BH265" s="339">
        <v>114117</v>
      </c>
      <c r="BI265" s="339">
        <v>6747</v>
      </c>
      <c r="BJ265" s="339">
        <v>26</v>
      </c>
      <c r="BK265" s="339">
        <v>151102.41000000003</v>
      </c>
      <c r="BL265" s="339">
        <v>86431.460000000021</v>
      </c>
      <c r="BM265" s="339">
        <v>0</v>
      </c>
      <c r="BN265" s="339">
        <v>0</v>
      </c>
      <c r="BO265" s="339">
        <v>0</v>
      </c>
      <c r="BP265" s="339">
        <v>0</v>
      </c>
      <c r="BQ265" s="339">
        <v>0</v>
      </c>
      <c r="BR265" s="339">
        <v>0</v>
      </c>
      <c r="BS265" s="339">
        <v>5</v>
      </c>
      <c r="BT265" s="339">
        <v>45</v>
      </c>
      <c r="BU265" s="339">
        <v>27341</v>
      </c>
      <c r="BV265" s="339">
        <v>95191</v>
      </c>
      <c r="BW265" s="339">
        <v>86</v>
      </c>
      <c r="BX265" s="339">
        <v>147804</v>
      </c>
      <c r="BY265" s="339">
        <v>62329.360000000008</v>
      </c>
      <c r="BZ265" s="339">
        <v>31188.21</v>
      </c>
      <c r="CA265" s="339"/>
      <c r="CB265" s="339"/>
      <c r="CC265" s="339"/>
      <c r="CD265" s="339"/>
      <c r="CE265" s="339"/>
      <c r="CF265" s="339"/>
      <c r="CG265" s="339"/>
      <c r="CH265" s="339"/>
      <c r="CI265" s="339"/>
      <c r="CJ265" s="339"/>
      <c r="CK265" s="339"/>
      <c r="CL265" s="339"/>
      <c r="CM265" s="3">
        <v>85148</v>
      </c>
      <c r="CN265" s="3">
        <v>39807</v>
      </c>
      <c r="CO265" s="3">
        <v>17</v>
      </c>
      <c r="CP265" s="3">
        <v>140234</v>
      </c>
      <c r="CQ265" s="3">
        <v>9</v>
      </c>
      <c r="CR265" s="3">
        <v>103365</v>
      </c>
      <c r="CS265" s="3">
        <v>26</v>
      </c>
      <c r="CT265" s="3">
        <v>243599</v>
      </c>
      <c r="CU265" s="3"/>
      <c r="CV265" s="3">
        <v>0</v>
      </c>
      <c r="CW265" s="3">
        <v>0</v>
      </c>
      <c r="CX265" s="220"/>
      <c r="CY265" s="220">
        <v>0</v>
      </c>
      <c r="CZ265" s="220">
        <v>0</v>
      </c>
      <c r="DA265" s="220"/>
      <c r="DB265" s="365">
        <v>26</v>
      </c>
      <c r="DC265" s="238">
        <v>0</v>
      </c>
      <c r="DD265" s="238">
        <v>0</v>
      </c>
      <c r="DE265" s="238">
        <v>2</v>
      </c>
      <c r="DF265" s="238">
        <v>48</v>
      </c>
      <c r="DG265" s="238">
        <v>0</v>
      </c>
      <c r="DH265" s="238">
        <v>0</v>
      </c>
      <c r="DI265" s="238">
        <v>8</v>
      </c>
      <c r="DJ265" s="238">
        <v>0</v>
      </c>
      <c r="DK265" s="238">
        <v>2447</v>
      </c>
      <c r="DL265" s="238">
        <v>2256</v>
      </c>
      <c r="DM265" s="238">
        <v>191</v>
      </c>
      <c r="DN265" s="238">
        <v>1797</v>
      </c>
      <c r="DO265" s="238">
        <v>1168</v>
      </c>
      <c r="DP265" s="238">
        <v>1619</v>
      </c>
      <c r="DQ265" s="238">
        <v>1504</v>
      </c>
      <c r="DR265" s="238">
        <v>1197</v>
      </c>
      <c r="DS265" s="238">
        <v>1561</v>
      </c>
      <c r="DT265" s="238">
        <v>1570</v>
      </c>
      <c r="DU265" s="238">
        <v>125</v>
      </c>
      <c r="DV265" s="238">
        <v>68</v>
      </c>
      <c r="DW265" s="238">
        <v>116</v>
      </c>
      <c r="DX265" s="238">
        <v>79</v>
      </c>
      <c r="DY265" s="238">
        <v>70</v>
      </c>
      <c r="DZ265" s="238">
        <v>113</v>
      </c>
      <c r="EA265" s="238">
        <v>82</v>
      </c>
      <c r="EB265" s="238">
        <v>2447</v>
      </c>
      <c r="EC265" s="238">
        <v>2431</v>
      </c>
    </row>
    <row r="266" spans="1:133" s="340" customFormat="1" hidden="1" x14ac:dyDescent="0.2">
      <c r="A266" s="3"/>
      <c r="B266" s="167"/>
      <c r="C266" s="3" t="s">
        <v>16</v>
      </c>
      <c r="D266" s="29"/>
      <c r="E266" s="31"/>
      <c r="F266" s="133"/>
      <c r="G266" s="3">
        <v>32</v>
      </c>
      <c r="H266" s="31">
        <v>9</v>
      </c>
      <c r="I266" s="31"/>
      <c r="J266" s="3">
        <v>824231</v>
      </c>
      <c r="K266" s="3">
        <v>36542</v>
      </c>
      <c r="L266" s="3">
        <v>0</v>
      </c>
      <c r="M266" s="3">
        <v>32700</v>
      </c>
      <c r="N266" s="3">
        <v>3883</v>
      </c>
      <c r="O266" s="3">
        <v>8551</v>
      </c>
      <c r="P266" s="3">
        <v>3894</v>
      </c>
      <c r="Q266" s="3">
        <v>8173</v>
      </c>
      <c r="R266" s="32">
        <v>206238.73000000004</v>
      </c>
      <c r="S266" s="32">
        <v>122675.76999999997</v>
      </c>
      <c r="T266" s="3">
        <v>3639</v>
      </c>
      <c r="U266" s="33">
        <v>193808.38</v>
      </c>
      <c r="V266" s="33">
        <v>115073.45</v>
      </c>
      <c r="W266" s="3">
        <v>243</v>
      </c>
      <c r="X266" s="3">
        <v>12364.650000000001</v>
      </c>
      <c r="Y266" s="3">
        <v>7561.2000000000007</v>
      </c>
      <c r="Z266" s="3">
        <v>1</v>
      </c>
      <c r="AA266" s="3">
        <v>65.7</v>
      </c>
      <c r="AB266" s="3">
        <v>41.12</v>
      </c>
      <c r="AC266" s="3">
        <v>3322.05</v>
      </c>
      <c r="AD266" s="32">
        <v>587.65</v>
      </c>
      <c r="AE266" s="82">
        <v>0</v>
      </c>
      <c r="AF266" s="3">
        <v>587.65</v>
      </c>
      <c r="AG266" s="3">
        <v>2734.4000000000005</v>
      </c>
      <c r="AH266" s="3">
        <v>0</v>
      </c>
      <c r="AI266" s="3">
        <v>209560.78000000009</v>
      </c>
      <c r="AJ266" s="3">
        <v>0</v>
      </c>
      <c r="AK266" s="3">
        <v>109</v>
      </c>
      <c r="AL266" s="3">
        <v>109</v>
      </c>
      <c r="AM266" s="3">
        <v>109</v>
      </c>
      <c r="AN266" s="3">
        <v>0</v>
      </c>
      <c r="AO266" s="3">
        <v>111</v>
      </c>
      <c r="AP266" s="3">
        <v>173712</v>
      </c>
      <c r="AQ266" s="3">
        <v>1631.5</v>
      </c>
      <c r="AR266" s="3">
        <v>20296</v>
      </c>
      <c r="AS266" s="4">
        <v>11724</v>
      </c>
      <c r="AT266" s="3">
        <v>3592</v>
      </c>
      <c r="AU266" s="3">
        <v>274678</v>
      </c>
      <c r="AV266" s="3">
        <v>153659</v>
      </c>
      <c r="AW266" s="3">
        <v>121019</v>
      </c>
      <c r="AX266" s="4">
        <v>95996</v>
      </c>
      <c r="AY266" s="3">
        <v>9237</v>
      </c>
      <c r="AZ266" s="3">
        <v>32449</v>
      </c>
      <c r="BA266" s="3">
        <v>31009</v>
      </c>
      <c r="BB266" s="3">
        <v>1806</v>
      </c>
      <c r="BC266" s="3">
        <v>419</v>
      </c>
      <c r="BD266" s="3">
        <v>12314</v>
      </c>
      <c r="BE266" s="3">
        <v>9314</v>
      </c>
      <c r="BF266" s="3">
        <v>23</v>
      </c>
      <c r="BG266" s="3">
        <v>415596</v>
      </c>
      <c r="BH266" s="3">
        <v>147977</v>
      </c>
      <c r="BI266" s="3">
        <v>7647</v>
      </c>
      <c r="BJ266" s="3">
        <v>0</v>
      </c>
      <c r="BK266" s="3">
        <v>0</v>
      </c>
      <c r="BL266" s="3">
        <v>0</v>
      </c>
      <c r="BM266" s="3">
        <v>32</v>
      </c>
      <c r="BN266" s="3">
        <v>206238.73000000004</v>
      </c>
      <c r="BO266" s="3">
        <v>122675.76999999997</v>
      </c>
      <c r="BP266" s="3">
        <v>0</v>
      </c>
      <c r="BQ266" s="3">
        <v>0</v>
      </c>
      <c r="BR266" s="3">
        <v>0</v>
      </c>
      <c r="BS266" s="3">
        <v>15</v>
      </c>
      <c r="BT266" s="3">
        <v>50</v>
      </c>
      <c r="BU266" s="3">
        <v>31009</v>
      </c>
      <c r="BV266" s="3">
        <v>124065</v>
      </c>
      <c r="BW266" s="3">
        <v>0</v>
      </c>
      <c r="BX266" s="3">
        <v>0</v>
      </c>
      <c r="BY266" s="84">
        <v>61976.409999999989</v>
      </c>
      <c r="BZ266" s="84">
        <v>29613.129999999997</v>
      </c>
      <c r="CA266" s="84"/>
      <c r="CB266" s="84"/>
      <c r="CC266" s="84"/>
      <c r="CD266" s="84"/>
      <c r="CE266" s="84"/>
      <c r="CF266" s="84"/>
      <c r="CG266" s="84"/>
      <c r="CH266" s="84"/>
      <c r="CI266" s="84"/>
      <c r="CJ266" s="84"/>
      <c r="CK266" s="84"/>
      <c r="CL266" s="84"/>
      <c r="CM266" s="3">
        <v>95644</v>
      </c>
      <c r="CN266" s="3">
        <v>59102</v>
      </c>
      <c r="CO266" s="3">
        <v>21</v>
      </c>
      <c r="CP266" s="3">
        <v>153659</v>
      </c>
      <c r="CQ266" s="3">
        <v>11</v>
      </c>
      <c r="CR266" s="3">
        <v>121019</v>
      </c>
      <c r="CS266" s="3">
        <v>32</v>
      </c>
      <c r="CT266" s="3">
        <v>274678</v>
      </c>
      <c r="CU266" s="3"/>
      <c r="CV266" s="3">
        <v>0</v>
      </c>
      <c r="CW266" s="3">
        <v>0</v>
      </c>
      <c r="CX266" s="220"/>
      <c r="CY266" s="220">
        <v>0</v>
      </c>
      <c r="CZ266" s="220">
        <v>0</v>
      </c>
      <c r="DA266" s="220"/>
      <c r="DB266" s="365">
        <v>32</v>
      </c>
      <c r="DC266" s="238">
        <v>0</v>
      </c>
      <c r="DD266" s="238">
        <v>0</v>
      </c>
      <c r="DE266" s="238">
        <v>1</v>
      </c>
      <c r="DF266" s="238">
        <v>55</v>
      </c>
      <c r="DG266" s="238">
        <v>0</v>
      </c>
      <c r="DH266" s="238">
        <v>0</v>
      </c>
      <c r="DI266" s="238">
        <v>1</v>
      </c>
      <c r="DJ266" s="238">
        <v>0</v>
      </c>
      <c r="DK266" s="238">
        <v>2863</v>
      </c>
      <c r="DL266" s="238">
        <v>2615</v>
      </c>
      <c r="DM266" s="238">
        <v>248</v>
      </c>
      <c r="DN266" s="238">
        <v>2025</v>
      </c>
      <c r="DO266" s="238">
        <v>1289</v>
      </c>
      <c r="DP266" s="238">
        <v>1890</v>
      </c>
      <c r="DQ266" s="238">
        <v>1585</v>
      </c>
      <c r="DR266" s="238">
        <v>1352</v>
      </c>
      <c r="DS266" s="238">
        <v>1804</v>
      </c>
      <c r="DT266" s="238">
        <v>1681</v>
      </c>
      <c r="DU266" s="238">
        <v>124</v>
      </c>
      <c r="DV266" s="238">
        <v>77</v>
      </c>
      <c r="DW266" s="238">
        <v>204</v>
      </c>
      <c r="DX266" s="238">
        <v>88</v>
      </c>
      <c r="DY266" s="238">
        <v>79</v>
      </c>
      <c r="DZ266" s="238">
        <v>202</v>
      </c>
      <c r="EA266" s="238">
        <v>90</v>
      </c>
      <c r="EB266" s="238">
        <v>2863</v>
      </c>
      <c r="EC266" s="238">
        <v>2852</v>
      </c>
    </row>
    <row r="267" spans="1:133" s="340" customFormat="1" hidden="1" x14ac:dyDescent="0.2">
      <c r="A267" s="3"/>
      <c r="B267" s="167"/>
      <c r="C267" s="3" t="s">
        <v>17</v>
      </c>
      <c r="D267" s="29"/>
      <c r="E267" s="31"/>
      <c r="F267" s="133"/>
      <c r="G267" s="3">
        <v>32</v>
      </c>
      <c r="H267" s="31">
        <v>9</v>
      </c>
      <c r="I267" s="31"/>
      <c r="J267" s="3">
        <v>767552</v>
      </c>
      <c r="K267" s="3">
        <v>31731</v>
      </c>
      <c r="L267" s="3">
        <v>0</v>
      </c>
      <c r="M267" s="3">
        <v>28680</v>
      </c>
      <c r="N267" s="3">
        <v>2583</v>
      </c>
      <c r="O267" s="3">
        <v>6898</v>
      </c>
      <c r="P267" s="3">
        <v>2592</v>
      </c>
      <c r="Q267" s="3">
        <v>5910</v>
      </c>
      <c r="R267" s="32">
        <v>169865.55</v>
      </c>
      <c r="S267" s="32">
        <v>103949.29</v>
      </c>
      <c r="T267" s="3">
        <v>2412</v>
      </c>
      <c r="U267" s="33">
        <v>158611.13999999998</v>
      </c>
      <c r="V267" s="33">
        <v>97113.61</v>
      </c>
      <c r="W267" s="3">
        <v>171</v>
      </c>
      <c r="X267" s="3">
        <v>11254.409999999996</v>
      </c>
      <c r="Y267" s="3">
        <v>6835.6799999999994</v>
      </c>
      <c r="Z267" s="3">
        <v>0</v>
      </c>
      <c r="AA267" s="3">
        <v>0</v>
      </c>
      <c r="AB267" s="3">
        <v>0</v>
      </c>
      <c r="AC267" s="3">
        <v>6429.2999999999993</v>
      </c>
      <c r="AD267" s="32">
        <v>1714.8</v>
      </c>
      <c r="AE267" s="82">
        <v>0</v>
      </c>
      <c r="AF267" s="3">
        <v>1714.8</v>
      </c>
      <c r="AG267" s="3">
        <v>4152</v>
      </c>
      <c r="AH267" s="3">
        <v>562.5</v>
      </c>
      <c r="AI267" s="3">
        <v>176294.84999999995</v>
      </c>
      <c r="AJ267" s="3">
        <v>0</v>
      </c>
      <c r="AK267" s="3">
        <v>77</v>
      </c>
      <c r="AL267" s="3">
        <v>77</v>
      </c>
      <c r="AM267" s="3">
        <v>77</v>
      </c>
      <c r="AN267" s="3">
        <v>0</v>
      </c>
      <c r="AO267" s="3">
        <v>77</v>
      </c>
      <c r="AP267" s="3">
        <v>133790.29999999999</v>
      </c>
      <c r="AQ267" s="3">
        <v>1804.17</v>
      </c>
      <c r="AR267" s="3">
        <v>15412.67</v>
      </c>
      <c r="AS267" s="4">
        <v>10536.33</v>
      </c>
      <c r="AT267" s="3">
        <v>5337</v>
      </c>
      <c r="AU267" s="3">
        <v>298787.67</v>
      </c>
      <c r="AV267" s="3">
        <v>66598</v>
      </c>
      <c r="AW267" s="3">
        <v>232189.66999999998</v>
      </c>
      <c r="AX267" s="4">
        <v>62180.333333333336</v>
      </c>
      <c r="AY267" s="3">
        <v>8333.3333333333321</v>
      </c>
      <c r="AZ267" s="3">
        <v>28530</v>
      </c>
      <c r="BA267" s="3">
        <v>25797</v>
      </c>
      <c r="BB267" s="3">
        <v>1312</v>
      </c>
      <c r="BC267" s="3">
        <v>1435</v>
      </c>
      <c r="BD267" s="3">
        <v>8875</v>
      </c>
      <c r="BE267" s="3">
        <v>13932</v>
      </c>
      <c r="BF267" s="3">
        <v>39</v>
      </c>
      <c r="BG267" s="3">
        <v>316982</v>
      </c>
      <c r="BH267" s="3">
        <v>114234</v>
      </c>
      <c r="BI267" s="3">
        <v>4338</v>
      </c>
      <c r="BJ267" s="3">
        <v>1</v>
      </c>
      <c r="BK267" s="3">
        <v>3247.8</v>
      </c>
      <c r="BL267" s="3">
        <v>1740.2</v>
      </c>
      <c r="BM267" s="3">
        <v>28</v>
      </c>
      <c r="BN267" s="3">
        <v>131865.96</v>
      </c>
      <c r="BO267" s="3">
        <v>81151.09</v>
      </c>
      <c r="BP267" s="3">
        <v>3</v>
      </c>
      <c r="BQ267" s="3">
        <v>34751.79</v>
      </c>
      <c r="BR267" s="3">
        <v>21058</v>
      </c>
      <c r="BS267" s="3">
        <v>2</v>
      </c>
      <c r="BT267" s="3">
        <v>57</v>
      </c>
      <c r="BU267" s="3">
        <v>3289</v>
      </c>
      <c r="BV267" s="3">
        <v>180</v>
      </c>
      <c r="BW267" s="3">
        <v>28</v>
      </c>
      <c r="BX267" s="3">
        <v>6442</v>
      </c>
      <c r="BY267" s="84">
        <v>57243.229999999981</v>
      </c>
      <c r="BZ267" s="84">
        <v>29539.399999999994</v>
      </c>
      <c r="CA267" s="84"/>
      <c r="CB267" s="84"/>
      <c r="CC267" s="84"/>
      <c r="CD267" s="84"/>
      <c r="CE267" s="84"/>
      <c r="CF267" s="84"/>
      <c r="CG267" s="84"/>
      <c r="CH267" s="84"/>
      <c r="CI267" s="84"/>
      <c r="CJ267" s="84"/>
      <c r="CK267" s="84"/>
      <c r="CL267" s="84"/>
      <c r="CM267" s="3">
        <v>67303</v>
      </c>
      <c r="CN267" s="3">
        <v>35572</v>
      </c>
      <c r="CO267" s="3">
        <v>11</v>
      </c>
      <c r="CP267" s="3">
        <v>66598</v>
      </c>
      <c r="CQ267" s="3">
        <v>21</v>
      </c>
      <c r="CR267" s="3">
        <v>232189.66999999998</v>
      </c>
      <c r="CS267" s="3">
        <v>32</v>
      </c>
      <c r="CT267" s="3">
        <v>298787.67</v>
      </c>
      <c r="CU267" s="3"/>
      <c r="CV267" s="3">
        <v>0</v>
      </c>
      <c r="CW267" s="3">
        <v>0</v>
      </c>
      <c r="CX267" s="220"/>
      <c r="CY267" s="220">
        <v>0</v>
      </c>
      <c r="CZ267" s="220">
        <v>0</v>
      </c>
      <c r="DA267" s="220"/>
      <c r="DB267" s="365">
        <v>32</v>
      </c>
      <c r="DC267" s="238">
        <v>0</v>
      </c>
      <c r="DD267" s="238">
        <v>0</v>
      </c>
      <c r="DE267" s="238">
        <v>1</v>
      </c>
      <c r="DF267" s="238">
        <v>59</v>
      </c>
      <c r="DG267" s="238">
        <v>0</v>
      </c>
      <c r="DH267" s="238">
        <v>0</v>
      </c>
      <c r="DI267" s="238">
        <v>1</v>
      </c>
      <c r="DJ267" s="238">
        <v>0</v>
      </c>
      <c r="DK267" s="238">
        <v>3121</v>
      </c>
      <c r="DL267" s="238">
        <v>2845</v>
      </c>
      <c r="DM267" s="238">
        <v>276</v>
      </c>
      <c r="DN267" s="238">
        <v>2251</v>
      </c>
      <c r="DO267" s="238">
        <v>1462</v>
      </c>
      <c r="DP267" s="238">
        <v>2014</v>
      </c>
      <c r="DQ267" s="238">
        <v>1773</v>
      </c>
      <c r="DR267" s="238">
        <v>1491</v>
      </c>
      <c r="DS267" s="238">
        <v>2001</v>
      </c>
      <c r="DT267" s="238">
        <v>1821</v>
      </c>
      <c r="DU267" s="238">
        <v>162</v>
      </c>
      <c r="DV267" s="238">
        <v>78</v>
      </c>
      <c r="DW267" s="238">
        <v>189</v>
      </c>
      <c r="DX267" s="238">
        <v>90</v>
      </c>
      <c r="DY267" s="238">
        <v>79</v>
      </c>
      <c r="DZ267" s="238">
        <v>192</v>
      </c>
      <c r="EA267" s="238">
        <v>95</v>
      </c>
      <c r="EB267" s="238">
        <v>3121</v>
      </c>
      <c r="EC267" s="238">
        <v>3101</v>
      </c>
    </row>
    <row r="268" spans="1:133" s="340" customFormat="1" hidden="1" x14ac:dyDescent="0.2">
      <c r="A268" s="3"/>
      <c r="B268" s="167"/>
      <c r="C268" s="3" t="s">
        <v>18</v>
      </c>
      <c r="D268" s="29"/>
      <c r="E268" s="31"/>
      <c r="F268" s="133"/>
      <c r="G268" s="3">
        <v>3</v>
      </c>
      <c r="H268" s="31">
        <v>12</v>
      </c>
      <c r="I268" s="31"/>
      <c r="J268" s="3">
        <v>73466</v>
      </c>
      <c r="K268" s="3">
        <v>3429</v>
      </c>
      <c r="L268" s="3">
        <v>0</v>
      </c>
      <c r="M268" s="3">
        <v>1622</v>
      </c>
      <c r="N268" s="3">
        <v>165</v>
      </c>
      <c r="O268" s="3">
        <v>363</v>
      </c>
      <c r="P268" s="3">
        <v>165</v>
      </c>
      <c r="Q268" s="3">
        <v>311</v>
      </c>
      <c r="R268" s="32">
        <v>9610.1</v>
      </c>
      <c r="S268" s="32">
        <v>5310.8</v>
      </c>
      <c r="T268" s="3">
        <v>160</v>
      </c>
      <c r="U268" s="33">
        <v>9357.1</v>
      </c>
      <c r="V268" s="33">
        <v>5153.95</v>
      </c>
      <c r="W268" s="3">
        <v>5</v>
      </c>
      <c r="X268" s="3">
        <v>253</v>
      </c>
      <c r="Y268" s="3">
        <v>156.85</v>
      </c>
      <c r="Z268" s="3">
        <v>0</v>
      </c>
      <c r="AA268" s="3">
        <v>0</v>
      </c>
      <c r="AB268" s="3">
        <v>0</v>
      </c>
      <c r="AC268" s="3">
        <v>2115.1</v>
      </c>
      <c r="AD268" s="32">
        <v>1545.3000000000002</v>
      </c>
      <c r="AE268" s="82">
        <v>0</v>
      </c>
      <c r="AF268" s="3">
        <v>1545.3000000000002</v>
      </c>
      <c r="AG268" s="3">
        <v>569.79999999999995</v>
      </c>
      <c r="AH268" s="3">
        <v>0</v>
      </c>
      <c r="AI268" s="3">
        <v>11725.2</v>
      </c>
      <c r="AJ268" s="3">
        <v>0</v>
      </c>
      <c r="AK268" s="3">
        <v>6</v>
      </c>
      <c r="AL268" s="3">
        <v>3</v>
      </c>
      <c r="AM268" s="3">
        <v>3</v>
      </c>
      <c r="AN268" s="3">
        <v>0</v>
      </c>
      <c r="AO268" s="3">
        <v>3</v>
      </c>
      <c r="AP268" s="3">
        <v>9900</v>
      </c>
      <c r="AQ268" s="3">
        <v>15.25</v>
      </c>
      <c r="AR268" s="3">
        <v>2225</v>
      </c>
      <c r="AS268" s="4">
        <v>888</v>
      </c>
      <c r="AT268" s="3">
        <v>117</v>
      </c>
      <c r="AU268" s="3">
        <v>13170</v>
      </c>
      <c r="AV268" s="3">
        <v>0</v>
      </c>
      <c r="AW268" s="3">
        <v>13170</v>
      </c>
      <c r="AX268" s="4">
        <v>0</v>
      </c>
      <c r="AY268" s="3">
        <v>834</v>
      </c>
      <c r="AZ268" s="3">
        <v>3280</v>
      </c>
      <c r="BA268" s="3">
        <v>1652</v>
      </c>
      <c r="BB268" s="3">
        <v>26</v>
      </c>
      <c r="BC268" s="3">
        <v>258</v>
      </c>
      <c r="BD268" s="3">
        <v>583</v>
      </c>
      <c r="BE268" s="3">
        <v>1023</v>
      </c>
      <c r="BF268" s="3">
        <v>3</v>
      </c>
      <c r="BG268" s="3">
        <v>22800</v>
      </c>
      <c r="BH268" s="3">
        <v>9810</v>
      </c>
      <c r="BI268" s="3">
        <v>360</v>
      </c>
      <c r="BJ268" s="3">
        <v>3</v>
      </c>
      <c r="BK268" s="3">
        <v>9610.1</v>
      </c>
      <c r="BL268" s="3">
        <v>5310.8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  <c r="BT268" s="3">
        <v>3</v>
      </c>
      <c r="BU268" s="3">
        <v>1652</v>
      </c>
      <c r="BV268" s="3">
        <v>11004</v>
      </c>
      <c r="BW268" s="3">
        <v>0</v>
      </c>
      <c r="BX268" s="3">
        <v>9900</v>
      </c>
      <c r="BY268" s="84">
        <v>5452.7000000000007</v>
      </c>
      <c r="BZ268" s="84">
        <v>3421.6</v>
      </c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3">
        <v>5802</v>
      </c>
      <c r="CN268" s="3">
        <v>2373</v>
      </c>
      <c r="CO268" s="3">
        <v>0</v>
      </c>
      <c r="CP268" s="3">
        <v>0</v>
      </c>
      <c r="CQ268" s="3">
        <v>3</v>
      </c>
      <c r="CR268" s="3">
        <v>13170</v>
      </c>
      <c r="CS268" s="3">
        <v>3</v>
      </c>
      <c r="CT268" s="3">
        <v>13170</v>
      </c>
      <c r="CU268" s="3"/>
      <c r="CV268" s="3">
        <v>0</v>
      </c>
      <c r="CW268" s="3">
        <v>0</v>
      </c>
      <c r="CX268" s="220"/>
      <c r="CY268" s="220">
        <v>0</v>
      </c>
      <c r="CZ268" s="220">
        <v>0</v>
      </c>
      <c r="DA268" s="220"/>
      <c r="DB268" s="365">
        <v>3</v>
      </c>
      <c r="DC268" s="238">
        <v>0</v>
      </c>
      <c r="DD268" s="238">
        <v>0</v>
      </c>
      <c r="DE268" s="238">
        <v>0</v>
      </c>
      <c r="DF268" s="238">
        <v>3</v>
      </c>
      <c r="DG268" s="238">
        <v>0</v>
      </c>
      <c r="DH268" s="238">
        <v>0</v>
      </c>
      <c r="DI268" s="238">
        <v>0</v>
      </c>
      <c r="DJ268" s="238">
        <v>0</v>
      </c>
      <c r="DK268" s="238">
        <v>155</v>
      </c>
      <c r="DL268" s="238">
        <v>134</v>
      </c>
      <c r="DM268" s="238">
        <v>21</v>
      </c>
      <c r="DN268" s="238">
        <v>102</v>
      </c>
      <c r="DO268" s="238">
        <v>74</v>
      </c>
      <c r="DP268" s="238">
        <v>102</v>
      </c>
      <c r="DQ268" s="238">
        <v>91</v>
      </c>
      <c r="DR268" s="238">
        <v>73</v>
      </c>
      <c r="DS268" s="238">
        <v>104</v>
      </c>
      <c r="DT268" s="238">
        <v>89</v>
      </c>
      <c r="DU268" s="238">
        <v>10</v>
      </c>
      <c r="DV268" s="238">
        <v>4</v>
      </c>
      <c r="DW268" s="238">
        <v>9</v>
      </c>
      <c r="DX268" s="238">
        <v>4</v>
      </c>
      <c r="DY268" s="238">
        <v>4</v>
      </c>
      <c r="DZ268" s="238">
        <v>9</v>
      </c>
      <c r="EA268" s="238">
        <v>4</v>
      </c>
      <c r="EB268" s="238">
        <v>155</v>
      </c>
      <c r="EC268" s="238">
        <v>155</v>
      </c>
    </row>
    <row r="269" spans="1:133" s="340" customFormat="1" hidden="1" x14ac:dyDescent="0.2">
      <c r="A269" s="3"/>
      <c r="B269" s="167"/>
      <c r="C269" s="3" t="s">
        <v>315</v>
      </c>
      <c r="D269" s="29"/>
      <c r="E269" s="31"/>
      <c r="F269" s="133"/>
      <c r="G269" s="3">
        <v>25</v>
      </c>
      <c r="H269" s="31">
        <v>5</v>
      </c>
      <c r="I269" s="31"/>
      <c r="J269" s="3">
        <v>812732</v>
      </c>
      <c r="K269" s="3">
        <v>48516</v>
      </c>
      <c r="L269" s="3">
        <v>57683.53</v>
      </c>
      <c r="M269" s="3">
        <v>0</v>
      </c>
      <c r="N269" s="3">
        <v>2087</v>
      </c>
      <c r="O269" s="3">
        <v>5129</v>
      </c>
      <c r="P269" s="3">
        <v>2102</v>
      </c>
      <c r="Q269" s="3">
        <v>3848</v>
      </c>
      <c r="R269" s="32">
        <v>143129.25</v>
      </c>
      <c r="S269" s="32">
        <v>84951.829999999973</v>
      </c>
      <c r="T269" s="3">
        <v>1741</v>
      </c>
      <c r="U269" s="33">
        <v>118783.13000000002</v>
      </c>
      <c r="V269" s="33">
        <v>69986.100000000006</v>
      </c>
      <c r="W269" s="3">
        <v>343</v>
      </c>
      <c r="X269" s="3">
        <v>24138.320000000003</v>
      </c>
      <c r="Y269" s="3">
        <v>14965.73</v>
      </c>
      <c r="Z269" s="3">
        <v>3</v>
      </c>
      <c r="AA269" s="3">
        <v>207.8</v>
      </c>
      <c r="AB269" s="3">
        <v>0</v>
      </c>
      <c r="AC269" s="3">
        <v>33346.959999999992</v>
      </c>
      <c r="AD269" s="32">
        <v>13802.960000000001</v>
      </c>
      <c r="AE269" s="82">
        <v>0</v>
      </c>
      <c r="AF269" s="3">
        <v>13802.960000000001</v>
      </c>
      <c r="AG269" s="3">
        <v>17268.900000000001</v>
      </c>
      <c r="AH269" s="3">
        <v>2275.1</v>
      </c>
      <c r="AI269" s="3">
        <v>176476.20999999993</v>
      </c>
      <c r="AJ269" s="3">
        <v>20</v>
      </c>
      <c r="AK269" s="3">
        <v>0</v>
      </c>
      <c r="AL269" s="3">
        <v>119</v>
      </c>
      <c r="AM269" s="3">
        <v>2</v>
      </c>
      <c r="AN269" s="3">
        <v>5</v>
      </c>
      <c r="AO269" s="3">
        <v>34</v>
      </c>
      <c r="AP269" s="3">
        <v>121809.76</v>
      </c>
      <c r="AQ269" s="3">
        <v>1652.125</v>
      </c>
      <c r="AR269" s="3">
        <v>11458</v>
      </c>
      <c r="AS269" s="4">
        <v>10889.34</v>
      </c>
      <c r="AT269" s="3">
        <v>2540</v>
      </c>
      <c r="AU269" s="3">
        <v>122028</v>
      </c>
      <c r="AV269" s="3">
        <v>1746</v>
      </c>
      <c r="AW269" s="3">
        <v>120282</v>
      </c>
      <c r="AX269" s="4">
        <v>0</v>
      </c>
      <c r="AY269" s="3">
        <v>3501</v>
      </c>
      <c r="AZ269" s="3">
        <v>48390</v>
      </c>
      <c r="BA269" s="3">
        <v>48706</v>
      </c>
      <c r="BB269" s="3">
        <v>495</v>
      </c>
      <c r="BC269" s="3">
        <v>249</v>
      </c>
      <c r="BD269" s="3">
        <v>8243</v>
      </c>
      <c r="BE269" s="3">
        <v>9169</v>
      </c>
      <c r="BF269" s="3">
        <v>12</v>
      </c>
      <c r="BG269" s="3">
        <v>162821.79999999999</v>
      </c>
      <c r="BH269" s="3">
        <v>8300.4</v>
      </c>
      <c r="BI269" s="3">
        <v>0</v>
      </c>
      <c r="BJ269" s="3">
        <v>25</v>
      </c>
      <c r="BK269" s="3">
        <v>143129.25</v>
      </c>
      <c r="BL269" s="3">
        <v>84951.829999999973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60</v>
      </c>
      <c r="BU269" s="3">
        <v>47980</v>
      </c>
      <c r="BV269" s="3">
        <v>103605</v>
      </c>
      <c r="BW269" s="3">
        <v>36</v>
      </c>
      <c r="BX269" s="3">
        <v>121809.76</v>
      </c>
      <c r="BY269" s="84">
        <v>64750.37999999999</v>
      </c>
      <c r="BZ269" s="84">
        <v>15583.669999999998</v>
      </c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3">
        <v>112151</v>
      </c>
      <c r="CN269" s="3">
        <v>63635</v>
      </c>
      <c r="CO269" s="3">
        <v>1</v>
      </c>
      <c r="CP269" s="3">
        <v>1746</v>
      </c>
      <c r="CQ269" s="3">
        <v>24</v>
      </c>
      <c r="CR269" s="3">
        <v>120282</v>
      </c>
      <c r="CS269" s="3">
        <v>25</v>
      </c>
      <c r="CT269" s="3">
        <v>122028</v>
      </c>
      <c r="CU269" s="3"/>
      <c r="CV269" s="3">
        <v>0</v>
      </c>
      <c r="CW269" s="3">
        <v>0</v>
      </c>
      <c r="CX269" s="220"/>
      <c r="CY269" s="220">
        <v>0</v>
      </c>
      <c r="CZ269" s="220">
        <v>0</v>
      </c>
      <c r="DA269" s="220"/>
      <c r="DB269" s="365">
        <v>25</v>
      </c>
      <c r="DC269" s="238">
        <v>0</v>
      </c>
      <c r="DD269" s="238">
        <v>0</v>
      </c>
      <c r="DE269" s="238">
        <v>0</v>
      </c>
      <c r="DF269" s="238">
        <v>47</v>
      </c>
      <c r="DG269" s="238">
        <v>0</v>
      </c>
      <c r="DH269" s="238">
        <v>0</v>
      </c>
      <c r="DI269" s="238">
        <v>0</v>
      </c>
      <c r="DJ269" s="238">
        <v>0</v>
      </c>
      <c r="DK269" s="238">
        <v>2415</v>
      </c>
      <c r="DL269" s="238">
        <v>2226</v>
      </c>
      <c r="DM269" s="238">
        <v>189</v>
      </c>
      <c r="DN269" s="238">
        <v>1740</v>
      </c>
      <c r="DO269" s="238">
        <v>1120</v>
      </c>
      <c r="DP269" s="238">
        <v>1509</v>
      </c>
      <c r="DQ269" s="238">
        <v>1419</v>
      </c>
      <c r="DR269" s="238">
        <v>1129</v>
      </c>
      <c r="DS269" s="238">
        <v>1495</v>
      </c>
      <c r="DT269" s="238">
        <v>1442</v>
      </c>
      <c r="DU269" s="238">
        <v>107</v>
      </c>
      <c r="DV269" s="238">
        <v>56</v>
      </c>
      <c r="DW269" s="238">
        <v>162</v>
      </c>
      <c r="DX269" s="238">
        <v>65</v>
      </c>
      <c r="DY269" s="238">
        <v>56</v>
      </c>
      <c r="DZ269" s="238">
        <v>161</v>
      </c>
      <c r="EA269" s="238">
        <v>65</v>
      </c>
      <c r="EB269" s="238">
        <v>2415</v>
      </c>
      <c r="EC269" s="238">
        <v>2388</v>
      </c>
    </row>
    <row r="270" spans="1:133" s="340" customFormat="1" hidden="1" x14ac:dyDescent="0.2">
      <c r="A270" s="3"/>
      <c r="B270" s="167"/>
      <c r="C270" s="3" t="s">
        <v>337</v>
      </c>
      <c r="D270" s="29"/>
      <c r="E270" s="31"/>
      <c r="F270" s="133"/>
      <c r="G270" s="3"/>
      <c r="H270" s="31">
        <v>9</v>
      </c>
      <c r="I270" s="31"/>
      <c r="J270" s="3"/>
      <c r="K270" s="3"/>
      <c r="L270" s="3"/>
      <c r="M270" s="3"/>
      <c r="N270" s="3"/>
      <c r="O270" s="3"/>
      <c r="P270" s="3"/>
      <c r="Q270" s="3"/>
      <c r="R270" s="32"/>
      <c r="S270" s="32"/>
      <c r="T270" s="3"/>
      <c r="U270" s="33"/>
      <c r="V270" s="33"/>
      <c r="W270" s="3"/>
      <c r="X270" s="3"/>
      <c r="Y270" s="3"/>
      <c r="Z270" s="3"/>
      <c r="AA270" s="3"/>
      <c r="AB270" s="3"/>
      <c r="AC270" s="3"/>
      <c r="AD270" s="32"/>
      <c r="AE270" s="82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4"/>
      <c r="AT270" s="3"/>
      <c r="AU270" s="3"/>
      <c r="AV270" s="3"/>
      <c r="AW270" s="3"/>
      <c r="AX270" s="4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220"/>
      <c r="CY270" s="220"/>
      <c r="CZ270" s="220"/>
      <c r="DA270" s="220"/>
      <c r="DB270" s="365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</row>
    <row r="271" spans="1:133" s="340" customFormat="1" hidden="1" x14ac:dyDescent="0.2">
      <c r="A271" s="3"/>
      <c r="B271" s="167"/>
      <c r="C271" s="3" t="s">
        <v>338</v>
      </c>
      <c r="D271" s="29"/>
      <c r="E271" s="31"/>
      <c r="F271" s="133"/>
      <c r="G271" s="3"/>
      <c r="H271" s="31">
        <v>5</v>
      </c>
      <c r="I271" s="31"/>
      <c r="J271" s="3"/>
      <c r="K271" s="3"/>
      <c r="L271" s="3"/>
      <c r="M271" s="3"/>
      <c r="N271" s="3"/>
      <c r="O271" s="3"/>
      <c r="P271" s="3"/>
      <c r="Q271" s="3"/>
      <c r="R271" s="32"/>
      <c r="S271" s="32"/>
      <c r="T271" s="3"/>
      <c r="U271" s="33"/>
      <c r="V271" s="33"/>
      <c r="W271" s="3"/>
      <c r="X271" s="3"/>
      <c r="Y271" s="3"/>
      <c r="Z271" s="3"/>
      <c r="AA271" s="3"/>
      <c r="AB271" s="3"/>
      <c r="AC271" s="3"/>
      <c r="AD271" s="32"/>
      <c r="AE271" s="82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4"/>
      <c r="AT271" s="3"/>
      <c r="AU271" s="3"/>
      <c r="AV271" s="3"/>
      <c r="AW271" s="3"/>
      <c r="AX271" s="4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84"/>
      <c r="BZ271" s="84"/>
      <c r="CA271" s="84"/>
      <c r="CB271" s="84"/>
      <c r="CC271" s="84"/>
      <c r="CD271" s="84"/>
      <c r="CE271" s="84"/>
      <c r="CF271" s="84"/>
      <c r="CG271" s="84"/>
      <c r="CH271" s="84"/>
      <c r="CI271" s="84"/>
      <c r="CJ271" s="84"/>
      <c r="CK271" s="84"/>
      <c r="CL271" s="84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220"/>
      <c r="CY271" s="220"/>
      <c r="CZ271" s="220"/>
      <c r="DA271" s="220"/>
      <c r="DB271" s="365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</row>
    <row r="272" spans="1:133" s="340" customFormat="1" hidden="1" x14ac:dyDescent="0.2">
      <c r="A272" s="3"/>
      <c r="B272" s="167"/>
      <c r="C272" s="3" t="s">
        <v>343</v>
      </c>
      <c r="D272" s="29"/>
      <c r="E272" s="31"/>
      <c r="F272" s="133"/>
      <c r="G272" s="3">
        <v>4</v>
      </c>
      <c r="H272" s="31">
        <v>5</v>
      </c>
      <c r="I272" s="31"/>
      <c r="J272" s="3">
        <v>57932</v>
      </c>
      <c r="K272" s="3">
        <v>4448</v>
      </c>
      <c r="L272" s="3">
        <v>3158</v>
      </c>
      <c r="M272" s="3">
        <v>962</v>
      </c>
      <c r="N272" s="3">
        <v>208</v>
      </c>
      <c r="O272" s="3">
        <v>429</v>
      </c>
      <c r="P272" s="3">
        <v>208</v>
      </c>
      <c r="Q272" s="3">
        <v>438</v>
      </c>
      <c r="R272" s="32">
        <v>11212.11</v>
      </c>
      <c r="S272" s="32">
        <v>6105.4500000000007</v>
      </c>
      <c r="T272" s="3">
        <v>197</v>
      </c>
      <c r="U272" s="33">
        <v>10655.45</v>
      </c>
      <c r="V272" s="33">
        <v>5772.73</v>
      </c>
      <c r="W272" s="3">
        <v>11</v>
      </c>
      <c r="X272" s="3">
        <v>556.66</v>
      </c>
      <c r="Y272" s="3">
        <v>332.72</v>
      </c>
      <c r="Z272" s="3">
        <v>0</v>
      </c>
      <c r="AA272" s="3">
        <v>0</v>
      </c>
      <c r="AB272" s="3">
        <v>0</v>
      </c>
      <c r="AC272" s="3">
        <v>54.7</v>
      </c>
      <c r="AD272" s="32">
        <v>0</v>
      </c>
      <c r="AE272" s="82">
        <v>0</v>
      </c>
      <c r="AF272" s="3">
        <v>0</v>
      </c>
      <c r="AG272" s="3">
        <v>54.7</v>
      </c>
      <c r="AH272" s="3">
        <v>0</v>
      </c>
      <c r="AI272" s="3">
        <v>11266.810000000001</v>
      </c>
      <c r="AJ272" s="3">
        <v>0</v>
      </c>
      <c r="AK272" s="3">
        <v>0</v>
      </c>
      <c r="AL272" s="3">
        <v>11</v>
      </c>
      <c r="AM272" s="3">
        <v>11</v>
      </c>
      <c r="AN272" s="3">
        <v>3</v>
      </c>
      <c r="AO272" s="3">
        <v>4</v>
      </c>
      <c r="AP272" s="3">
        <v>10016</v>
      </c>
      <c r="AQ272" s="3">
        <v>0</v>
      </c>
      <c r="AR272" s="3">
        <v>1717</v>
      </c>
      <c r="AS272" s="4">
        <v>1466</v>
      </c>
      <c r="AT272" s="3">
        <v>350</v>
      </c>
      <c r="AU272" s="3">
        <v>15110</v>
      </c>
      <c r="AV272" s="3">
        <v>0</v>
      </c>
      <c r="AW272" s="3">
        <v>15110</v>
      </c>
      <c r="AX272" s="4">
        <v>0</v>
      </c>
      <c r="AY272" s="3">
        <v>722</v>
      </c>
      <c r="AZ272" s="3">
        <v>4314</v>
      </c>
      <c r="BA272" s="3">
        <v>4314</v>
      </c>
      <c r="BB272" s="3">
        <v>20</v>
      </c>
      <c r="BC272" s="3">
        <v>38</v>
      </c>
      <c r="BD272" s="3">
        <v>507</v>
      </c>
      <c r="BE272" s="3">
        <v>209</v>
      </c>
      <c r="BF272" s="3">
        <v>3</v>
      </c>
      <c r="BG272" s="3">
        <v>17172</v>
      </c>
      <c r="BH272" s="3">
        <v>1400</v>
      </c>
      <c r="BI272" s="3">
        <v>0</v>
      </c>
      <c r="BJ272" s="3">
        <v>4</v>
      </c>
      <c r="BK272" s="3">
        <v>11212.11</v>
      </c>
      <c r="BL272" s="3">
        <v>6105.4500000000007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3</v>
      </c>
      <c r="BU272" s="3">
        <v>3504</v>
      </c>
      <c r="BV272" s="3">
        <v>8042</v>
      </c>
      <c r="BW272" s="3">
        <v>0</v>
      </c>
      <c r="BX272" s="3">
        <v>10016</v>
      </c>
      <c r="BY272" s="84">
        <v>6009.880000000001</v>
      </c>
      <c r="BZ272" s="84">
        <v>2100.4899999999998</v>
      </c>
      <c r="CA272" s="84"/>
      <c r="CB272" s="84"/>
      <c r="CC272" s="84"/>
      <c r="CD272" s="84"/>
      <c r="CE272" s="84"/>
      <c r="CF272" s="84"/>
      <c r="CG272" s="84"/>
      <c r="CH272" s="84"/>
      <c r="CI272" s="84"/>
      <c r="CJ272" s="84"/>
      <c r="CK272" s="84"/>
      <c r="CL272" s="84"/>
      <c r="CM272" s="3">
        <v>9381</v>
      </c>
      <c r="CN272" s="3">
        <v>4933</v>
      </c>
      <c r="CO272" s="3">
        <v>0</v>
      </c>
      <c r="CP272" s="3">
        <v>0</v>
      </c>
      <c r="CQ272" s="3">
        <v>4</v>
      </c>
      <c r="CR272" s="3">
        <v>15110</v>
      </c>
      <c r="CS272" s="3">
        <v>4</v>
      </c>
      <c r="CT272" s="3">
        <v>15110</v>
      </c>
      <c r="CU272" s="3"/>
      <c r="CV272" s="3">
        <v>0</v>
      </c>
      <c r="CW272" s="3">
        <v>0</v>
      </c>
      <c r="CX272" s="220"/>
      <c r="CY272" s="220">
        <v>0</v>
      </c>
      <c r="CZ272" s="220">
        <v>0</v>
      </c>
      <c r="DA272" s="220"/>
      <c r="DB272" s="365">
        <v>4</v>
      </c>
      <c r="DC272" s="238">
        <v>0</v>
      </c>
      <c r="DD272" s="238">
        <v>0</v>
      </c>
      <c r="DE272" s="238">
        <v>0</v>
      </c>
      <c r="DF272" s="238">
        <v>5</v>
      </c>
      <c r="DG272" s="238">
        <v>0</v>
      </c>
      <c r="DH272" s="238">
        <v>0</v>
      </c>
      <c r="DI272" s="238">
        <v>0</v>
      </c>
      <c r="DJ272" s="238">
        <v>0</v>
      </c>
      <c r="DK272" s="238">
        <v>271</v>
      </c>
      <c r="DL272" s="238">
        <v>242</v>
      </c>
      <c r="DM272" s="238">
        <v>29</v>
      </c>
      <c r="DN272" s="238">
        <v>194</v>
      </c>
      <c r="DO272" s="238">
        <v>113</v>
      </c>
      <c r="DP272" s="238">
        <v>179</v>
      </c>
      <c r="DQ272" s="238">
        <v>151</v>
      </c>
      <c r="DR272" s="238">
        <v>126</v>
      </c>
      <c r="DS272" s="238">
        <v>161</v>
      </c>
      <c r="DT272" s="238">
        <v>175</v>
      </c>
      <c r="DU272" s="238">
        <v>19</v>
      </c>
      <c r="DV272" s="238">
        <v>6</v>
      </c>
      <c r="DW272" s="238">
        <v>35</v>
      </c>
      <c r="DX272" s="238">
        <v>6</v>
      </c>
      <c r="DY272" s="238">
        <v>6</v>
      </c>
      <c r="DZ272" s="238">
        <v>35</v>
      </c>
      <c r="EA272" s="238">
        <v>6</v>
      </c>
      <c r="EB272" s="238">
        <v>271</v>
      </c>
      <c r="EC272" s="238">
        <v>267</v>
      </c>
    </row>
    <row r="273" spans="1:133" hidden="1" x14ac:dyDescent="0.2">
      <c r="D273" s="29"/>
      <c r="E273" s="31"/>
      <c r="F273" s="133"/>
      <c r="H273" s="31"/>
      <c r="I273" s="31"/>
      <c r="R273" s="32"/>
      <c r="S273" s="32"/>
      <c r="U273" s="33"/>
      <c r="V273" s="33"/>
      <c r="AD273" s="32"/>
      <c r="DB273" s="365"/>
    </row>
    <row r="274" spans="1:133" s="340" customFormat="1" hidden="1" x14ac:dyDescent="0.2">
      <c r="A274" s="3"/>
      <c r="B274" s="167"/>
      <c r="C274" s="3"/>
      <c r="D274" s="29"/>
      <c r="E274" s="31"/>
      <c r="F274" s="133"/>
      <c r="G274" s="68">
        <f t="shared" ref="G274:AG274" si="219">G250-G263</f>
        <v>0</v>
      </c>
      <c r="H274" s="68">
        <f t="shared" si="219"/>
        <v>0</v>
      </c>
      <c r="I274" s="68">
        <f t="shared" si="219"/>
        <v>0</v>
      </c>
      <c r="J274" s="68">
        <f t="shared" si="219"/>
        <v>0</v>
      </c>
      <c r="K274" s="68">
        <f t="shared" si="219"/>
        <v>0</v>
      </c>
      <c r="L274" s="68">
        <f t="shared" si="219"/>
        <v>0</v>
      </c>
      <c r="M274" s="68">
        <f t="shared" si="219"/>
        <v>0</v>
      </c>
      <c r="N274" s="68">
        <f t="shared" si="219"/>
        <v>0</v>
      </c>
      <c r="O274" s="68">
        <f t="shared" si="219"/>
        <v>0</v>
      </c>
      <c r="P274" s="68">
        <f t="shared" si="219"/>
        <v>0</v>
      </c>
      <c r="Q274" s="68">
        <f t="shared" si="219"/>
        <v>0</v>
      </c>
      <c r="R274" s="68">
        <f t="shared" si="219"/>
        <v>0</v>
      </c>
      <c r="S274" s="68">
        <f t="shared" si="219"/>
        <v>0</v>
      </c>
      <c r="T274" s="68">
        <f t="shared" si="219"/>
        <v>0</v>
      </c>
      <c r="U274" s="68">
        <f t="shared" si="219"/>
        <v>0</v>
      </c>
      <c r="V274" s="68">
        <f t="shared" si="219"/>
        <v>0</v>
      </c>
      <c r="W274" s="68">
        <f t="shared" si="219"/>
        <v>0</v>
      </c>
      <c r="X274" s="68">
        <f t="shared" si="219"/>
        <v>0</v>
      </c>
      <c r="Y274" s="68">
        <f t="shared" si="219"/>
        <v>0</v>
      </c>
      <c r="Z274" s="68">
        <f t="shared" si="219"/>
        <v>0</v>
      </c>
      <c r="AA274" s="68">
        <f t="shared" si="219"/>
        <v>0</v>
      </c>
      <c r="AB274" s="68">
        <f t="shared" si="219"/>
        <v>0</v>
      </c>
      <c r="AC274" s="68">
        <f t="shared" si="219"/>
        <v>0</v>
      </c>
      <c r="AD274" s="68">
        <f t="shared" si="219"/>
        <v>0</v>
      </c>
      <c r="AE274" s="68">
        <f t="shared" si="219"/>
        <v>0</v>
      </c>
      <c r="AF274" s="68">
        <f t="shared" si="219"/>
        <v>0</v>
      </c>
      <c r="AG274" s="68">
        <f t="shared" si="219"/>
        <v>0</v>
      </c>
      <c r="AH274" s="68">
        <f>AH250-AH263</f>
        <v>0</v>
      </c>
      <c r="AI274" s="68">
        <f t="shared" ref="AI274:DF275" si="220">AI250-AI263</f>
        <v>0</v>
      </c>
      <c r="AJ274" s="68">
        <f t="shared" si="220"/>
        <v>0</v>
      </c>
      <c r="AK274" s="68">
        <f t="shared" si="220"/>
        <v>0</v>
      </c>
      <c r="AL274" s="68">
        <f t="shared" si="220"/>
        <v>0</v>
      </c>
      <c r="AM274" s="68">
        <f t="shared" si="220"/>
        <v>0</v>
      </c>
      <c r="AN274" s="68">
        <f t="shared" si="220"/>
        <v>0</v>
      </c>
      <c r="AO274" s="68">
        <f t="shared" si="220"/>
        <v>0</v>
      </c>
      <c r="AP274" s="68">
        <f t="shared" si="220"/>
        <v>0</v>
      </c>
      <c r="AQ274" s="68">
        <f t="shared" si="220"/>
        <v>0</v>
      </c>
      <c r="AR274" s="68">
        <f t="shared" si="220"/>
        <v>0</v>
      </c>
      <c r="AS274" s="68">
        <f t="shared" si="220"/>
        <v>0</v>
      </c>
      <c r="AT274" s="68">
        <f t="shared" si="220"/>
        <v>0</v>
      </c>
      <c r="AU274" s="68">
        <f t="shared" si="220"/>
        <v>0</v>
      </c>
      <c r="AV274" s="68">
        <f t="shared" si="220"/>
        <v>0</v>
      </c>
      <c r="AW274" s="68">
        <f t="shared" si="220"/>
        <v>0</v>
      </c>
      <c r="AX274" s="68">
        <f t="shared" si="220"/>
        <v>0</v>
      </c>
      <c r="AY274" s="68">
        <f t="shared" si="220"/>
        <v>0</v>
      </c>
      <c r="AZ274" s="68">
        <f t="shared" si="220"/>
        <v>0</v>
      </c>
      <c r="BA274" s="68">
        <f t="shared" si="220"/>
        <v>0</v>
      </c>
      <c r="BB274" s="68">
        <f t="shared" si="220"/>
        <v>0</v>
      </c>
      <c r="BC274" s="68">
        <f t="shared" si="220"/>
        <v>0</v>
      </c>
      <c r="BD274" s="68">
        <f t="shared" si="220"/>
        <v>0</v>
      </c>
      <c r="BE274" s="68">
        <f t="shared" si="220"/>
        <v>0</v>
      </c>
      <c r="BF274" s="68">
        <f t="shared" si="220"/>
        <v>0</v>
      </c>
      <c r="BG274" s="68">
        <f t="shared" si="220"/>
        <v>0</v>
      </c>
      <c r="BH274" s="68">
        <f t="shared" si="220"/>
        <v>0</v>
      </c>
      <c r="BI274" s="68">
        <f t="shared" si="220"/>
        <v>0</v>
      </c>
      <c r="BJ274" s="68">
        <f t="shared" si="220"/>
        <v>0</v>
      </c>
      <c r="BK274" s="68">
        <f t="shared" si="220"/>
        <v>0</v>
      </c>
      <c r="BL274" s="68">
        <f t="shared" si="220"/>
        <v>0</v>
      </c>
      <c r="BM274" s="68">
        <f t="shared" si="220"/>
        <v>0</v>
      </c>
      <c r="BN274" s="68">
        <f t="shared" si="220"/>
        <v>0</v>
      </c>
      <c r="BO274" s="68">
        <f t="shared" si="220"/>
        <v>0</v>
      </c>
      <c r="BP274" s="68">
        <f t="shared" si="220"/>
        <v>0</v>
      </c>
      <c r="BQ274" s="68">
        <f t="shared" si="220"/>
        <v>0</v>
      </c>
      <c r="BR274" s="68">
        <f t="shared" si="220"/>
        <v>0</v>
      </c>
      <c r="BS274" s="68">
        <f t="shared" si="220"/>
        <v>0</v>
      </c>
      <c r="BT274" s="68">
        <f t="shared" si="220"/>
        <v>0</v>
      </c>
      <c r="BU274" s="68">
        <f t="shared" si="220"/>
        <v>0</v>
      </c>
      <c r="BV274" s="68">
        <f t="shared" si="220"/>
        <v>0</v>
      </c>
      <c r="BW274" s="68">
        <f t="shared" si="220"/>
        <v>0</v>
      </c>
      <c r="BX274" s="68">
        <f t="shared" si="220"/>
        <v>0</v>
      </c>
      <c r="BY274" s="68">
        <f t="shared" si="220"/>
        <v>0</v>
      </c>
      <c r="BZ274" s="68">
        <f t="shared" si="220"/>
        <v>0</v>
      </c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>
        <f t="shared" si="220"/>
        <v>0</v>
      </c>
      <c r="CN274" s="68">
        <f t="shared" si="220"/>
        <v>0</v>
      </c>
      <c r="CO274" s="68">
        <f t="shared" si="220"/>
        <v>0</v>
      </c>
      <c r="CP274" s="68">
        <f t="shared" si="220"/>
        <v>0</v>
      </c>
      <c r="CQ274" s="68">
        <f t="shared" si="220"/>
        <v>0</v>
      </c>
      <c r="CR274" s="68">
        <f t="shared" si="220"/>
        <v>0</v>
      </c>
      <c r="CS274" s="68">
        <f t="shared" si="220"/>
        <v>0</v>
      </c>
      <c r="CT274" s="68">
        <f t="shared" si="220"/>
        <v>0</v>
      </c>
      <c r="CU274" s="68"/>
      <c r="CV274" s="68">
        <f t="shared" si="220"/>
        <v>0</v>
      </c>
      <c r="CW274" s="68">
        <f t="shared" si="220"/>
        <v>0</v>
      </c>
      <c r="CX274" s="68">
        <f t="shared" si="220"/>
        <v>0</v>
      </c>
      <c r="CY274" s="68">
        <f t="shared" si="220"/>
        <v>0</v>
      </c>
      <c r="CZ274" s="68">
        <f t="shared" si="220"/>
        <v>0</v>
      </c>
      <c r="DA274" s="68">
        <f t="shared" si="220"/>
        <v>0</v>
      </c>
      <c r="DB274" s="68">
        <f t="shared" si="220"/>
        <v>0</v>
      </c>
      <c r="DC274" s="68">
        <f t="shared" si="220"/>
        <v>0</v>
      </c>
      <c r="DD274" s="68">
        <f t="shared" si="220"/>
        <v>0</v>
      </c>
      <c r="DE274" s="68">
        <f t="shared" si="220"/>
        <v>0</v>
      </c>
      <c r="DF274" s="68">
        <f t="shared" si="220"/>
        <v>0</v>
      </c>
      <c r="DG274" s="68">
        <f t="shared" ref="DG274:EC278" si="221">DG250-DG263</f>
        <v>0</v>
      </c>
      <c r="DH274" s="68">
        <f t="shared" si="221"/>
        <v>0</v>
      </c>
      <c r="DI274" s="68">
        <f t="shared" si="221"/>
        <v>0</v>
      </c>
      <c r="DJ274" s="68">
        <f t="shared" si="221"/>
        <v>0</v>
      </c>
      <c r="DK274" s="68">
        <f t="shared" si="221"/>
        <v>0</v>
      </c>
      <c r="DL274" s="68">
        <f t="shared" si="221"/>
        <v>0</v>
      </c>
      <c r="DM274" s="68">
        <f t="shared" si="221"/>
        <v>0</v>
      </c>
      <c r="DN274" s="68">
        <f t="shared" si="221"/>
        <v>0</v>
      </c>
      <c r="DO274" s="68">
        <f t="shared" si="221"/>
        <v>0</v>
      </c>
      <c r="DP274" s="68">
        <f t="shared" si="221"/>
        <v>0</v>
      </c>
      <c r="DQ274" s="68">
        <f t="shared" si="221"/>
        <v>0</v>
      </c>
      <c r="DR274" s="68">
        <f t="shared" si="221"/>
        <v>0</v>
      </c>
      <c r="DS274" s="68">
        <f t="shared" si="221"/>
        <v>0</v>
      </c>
      <c r="DT274" s="68">
        <f t="shared" si="221"/>
        <v>0</v>
      </c>
      <c r="DU274" s="68">
        <f t="shared" si="221"/>
        <v>0</v>
      </c>
      <c r="DV274" s="68">
        <f t="shared" si="221"/>
        <v>0</v>
      </c>
      <c r="DW274" s="68">
        <f t="shared" si="221"/>
        <v>0</v>
      </c>
      <c r="DX274" s="68">
        <f t="shared" si="221"/>
        <v>0</v>
      </c>
      <c r="DY274" s="68">
        <f t="shared" si="221"/>
        <v>0</v>
      </c>
      <c r="DZ274" s="68">
        <f t="shared" si="221"/>
        <v>0</v>
      </c>
      <c r="EA274" s="68">
        <f t="shared" si="221"/>
        <v>0</v>
      </c>
      <c r="EB274" s="68">
        <f t="shared" si="221"/>
        <v>0</v>
      </c>
      <c r="EC274" s="68">
        <f t="shared" si="221"/>
        <v>0</v>
      </c>
    </row>
    <row r="275" spans="1:133" s="340" customFormat="1" hidden="1" x14ac:dyDescent="0.2">
      <c r="A275" s="3"/>
      <c r="B275" s="167"/>
      <c r="C275" s="3"/>
      <c r="D275" s="29"/>
      <c r="E275" s="31"/>
      <c r="F275" s="133"/>
      <c r="G275" s="68">
        <f t="shared" ref="G275:AG275" si="222">G251-G264</f>
        <v>0</v>
      </c>
      <c r="H275" s="68">
        <f t="shared" si="222"/>
        <v>0</v>
      </c>
      <c r="I275" s="68">
        <f t="shared" si="222"/>
        <v>0</v>
      </c>
      <c r="J275" s="68">
        <f t="shared" si="222"/>
        <v>0</v>
      </c>
      <c r="K275" s="68">
        <f t="shared" si="222"/>
        <v>0</v>
      </c>
      <c r="L275" s="68">
        <f t="shared" si="222"/>
        <v>0</v>
      </c>
      <c r="M275" s="68">
        <f t="shared" si="222"/>
        <v>0</v>
      </c>
      <c r="N275" s="68">
        <f t="shared" si="222"/>
        <v>0</v>
      </c>
      <c r="O275" s="68">
        <f t="shared" si="222"/>
        <v>0</v>
      </c>
      <c r="P275" s="68">
        <f t="shared" si="222"/>
        <v>0</v>
      </c>
      <c r="Q275" s="68">
        <f t="shared" si="222"/>
        <v>0</v>
      </c>
      <c r="R275" s="68">
        <f t="shared" si="222"/>
        <v>0</v>
      </c>
      <c r="S275" s="68">
        <f t="shared" si="222"/>
        <v>0</v>
      </c>
      <c r="T275" s="68">
        <f t="shared" si="222"/>
        <v>0</v>
      </c>
      <c r="U275" s="68">
        <f t="shared" si="222"/>
        <v>0</v>
      </c>
      <c r="V275" s="68">
        <f t="shared" si="222"/>
        <v>0</v>
      </c>
      <c r="W275" s="68">
        <f t="shared" si="222"/>
        <v>0</v>
      </c>
      <c r="X275" s="68">
        <f t="shared" si="222"/>
        <v>0</v>
      </c>
      <c r="Y275" s="68">
        <f t="shared" si="222"/>
        <v>0</v>
      </c>
      <c r="Z275" s="68">
        <f t="shared" si="222"/>
        <v>0</v>
      </c>
      <c r="AA275" s="68">
        <f t="shared" si="222"/>
        <v>0</v>
      </c>
      <c r="AB275" s="68">
        <f t="shared" si="222"/>
        <v>0</v>
      </c>
      <c r="AC275" s="68">
        <f t="shared" si="222"/>
        <v>0</v>
      </c>
      <c r="AD275" s="68">
        <f t="shared" si="222"/>
        <v>0</v>
      </c>
      <c r="AE275" s="68">
        <f t="shared" si="222"/>
        <v>0</v>
      </c>
      <c r="AF275" s="68">
        <f t="shared" si="222"/>
        <v>0</v>
      </c>
      <c r="AG275" s="68">
        <f t="shared" si="222"/>
        <v>0</v>
      </c>
      <c r="AH275" s="68">
        <f t="shared" ref="AH275:AW283" si="223">AH251-AH264</f>
        <v>0</v>
      </c>
      <c r="AI275" s="68">
        <f t="shared" si="223"/>
        <v>0</v>
      </c>
      <c r="AJ275" s="68">
        <f t="shared" si="223"/>
        <v>0</v>
      </c>
      <c r="AK275" s="68">
        <f t="shared" si="223"/>
        <v>0</v>
      </c>
      <c r="AL275" s="68">
        <f t="shared" si="223"/>
        <v>0</v>
      </c>
      <c r="AM275" s="68">
        <f t="shared" si="223"/>
        <v>0</v>
      </c>
      <c r="AN275" s="68">
        <f t="shared" si="223"/>
        <v>0</v>
      </c>
      <c r="AO275" s="68">
        <f t="shared" si="223"/>
        <v>0</v>
      </c>
      <c r="AP275" s="68">
        <f t="shared" si="223"/>
        <v>0</v>
      </c>
      <c r="AQ275" s="68">
        <f t="shared" si="223"/>
        <v>0</v>
      </c>
      <c r="AR275" s="68">
        <f t="shared" si="223"/>
        <v>0</v>
      </c>
      <c r="AS275" s="68">
        <f t="shared" si="223"/>
        <v>0</v>
      </c>
      <c r="AT275" s="68">
        <f t="shared" si="223"/>
        <v>0</v>
      </c>
      <c r="AU275" s="68">
        <f t="shared" si="223"/>
        <v>0</v>
      </c>
      <c r="AV275" s="68">
        <f t="shared" si="223"/>
        <v>0</v>
      </c>
      <c r="AW275" s="68">
        <f t="shared" si="223"/>
        <v>0</v>
      </c>
      <c r="AX275" s="68">
        <f t="shared" si="220"/>
        <v>0</v>
      </c>
      <c r="AY275" s="68">
        <f t="shared" si="220"/>
        <v>0</v>
      </c>
      <c r="AZ275" s="68">
        <f t="shared" si="220"/>
        <v>0</v>
      </c>
      <c r="BA275" s="68">
        <f t="shared" si="220"/>
        <v>0</v>
      </c>
      <c r="BB275" s="68">
        <f t="shared" si="220"/>
        <v>0</v>
      </c>
      <c r="BC275" s="68">
        <f t="shared" si="220"/>
        <v>0</v>
      </c>
      <c r="BD275" s="68">
        <f t="shared" si="220"/>
        <v>0</v>
      </c>
      <c r="BE275" s="68">
        <f t="shared" si="220"/>
        <v>0</v>
      </c>
      <c r="BF275" s="68">
        <f t="shared" si="220"/>
        <v>0</v>
      </c>
      <c r="BG275" s="68">
        <f t="shared" si="220"/>
        <v>0</v>
      </c>
      <c r="BH275" s="68">
        <f t="shared" si="220"/>
        <v>0</v>
      </c>
      <c r="BI275" s="68">
        <f t="shared" si="220"/>
        <v>0</v>
      </c>
      <c r="BJ275" s="68">
        <f t="shared" si="220"/>
        <v>0</v>
      </c>
      <c r="BK275" s="68">
        <f t="shared" si="220"/>
        <v>0</v>
      </c>
      <c r="BL275" s="68">
        <f t="shared" si="220"/>
        <v>0</v>
      </c>
      <c r="BM275" s="68">
        <f t="shared" si="220"/>
        <v>0</v>
      </c>
      <c r="BN275" s="68">
        <f t="shared" si="220"/>
        <v>0</v>
      </c>
      <c r="BO275" s="68">
        <f t="shared" si="220"/>
        <v>0</v>
      </c>
      <c r="BP275" s="68">
        <f t="shared" si="220"/>
        <v>0</v>
      </c>
      <c r="BQ275" s="68">
        <f t="shared" si="220"/>
        <v>0</v>
      </c>
      <c r="BR275" s="68">
        <f t="shared" si="220"/>
        <v>0</v>
      </c>
      <c r="BS275" s="68">
        <f t="shared" si="220"/>
        <v>0</v>
      </c>
      <c r="BT275" s="68">
        <f t="shared" si="220"/>
        <v>0</v>
      </c>
      <c r="BU275" s="68">
        <f t="shared" si="220"/>
        <v>0</v>
      </c>
      <c r="BV275" s="68">
        <f t="shared" si="220"/>
        <v>0</v>
      </c>
      <c r="BW275" s="68">
        <f t="shared" si="220"/>
        <v>0</v>
      </c>
      <c r="BX275" s="68">
        <f t="shared" si="220"/>
        <v>0</v>
      </c>
      <c r="BY275" s="68">
        <f t="shared" si="220"/>
        <v>0</v>
      </c>
      <c r="BZ275" s="68">
        <f t="shared" si="220"/>
        <v>0</v>
      </c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>
        <f t="shared" si="220"/>
        <v>0</v>
      </c>
      <c r="CN275" s="68">
        <f t="shared" si="220"/>
        <v>0</v>
      </c>
      <c r="CO275" s="68">
        <f t="shared" si="220"/>
        <v>0</v>
      </c>
      <c r="CP275" s="68">
        <f t="shared" si="220"/>
        <v>0</v>
      </c>
      <c r="CQ275" s="68">
        <f t="shared" si="220"/>
        <v>0</v>
      </c>
      <c r="CR275" s="68">
        <f t="shared" si="220"/>
        <v>0</v>
      </c>
      <c r="CS275" s="68">
        <f t="shared" si="220"/>
        <v>0</v>
      </c>
      <c r="CT275" s="68">
        <f t="shared" si="220"/>
        <v>0</v>
      </c>
      <c r="CU275" s="68"/>
      <c r="CV275" s="68">
        <f t="shared" si="220"/>
        <v>0</v>
      </c>
      <c r="CW275" s="68">
        <f t="shared" si="220"/>
        <v>0</v>
      </c>
      <c r="CX275" s="68">
        <f t="shared" si="220"/>
        <v>0</v>
      </c>
      <c r="CY275" s="68">
        <f t="shared" si="220"/>
        <v>0</v>
      </c>
      <c r="CZ275" s="68">
        <f t="shared" si="220"/>
        <v>0</v>
      </c>
      <c r="DA275" s="68">
        <f t="shared" si="220"/>
        <v>0</v>
      </c>
      <c r="DB275" s="68">
        <f t="shared" si="220"/>
        <v>0</v>
      </c>
      <c r="DC275" s="68">
        <f t="shared" si="220"/>
        <v>0</v>
      </c>
      <c r="DD275" s="68">
        <f t="shared" si="220"/>
        <v>0</v>
      </c>
      <c r="DE275" s="68">
        <f t="shared" si="220"/>
        <v>0</v>
      </c>
      <c r="DF275" s="68">
        <f t="shared" si="220"/>
        <v>0</v>
      </c>
      <c r="DG275" s="68">
        <f t="shared" si="221"/>
        <v>0</v>
      </c>
      <c r="DH275" s="68">
        <f t="shared" si="221"/>
        <v>0</v>
      </c>
      <c r="DI275" s="68">
        <f t="shared" si="221"/>
        <v>0</v>
      </c>
      <c r="DJ275" s="68">
        <f t="shared" si="221"/>
        <v>0</v>
      </c>
      <c r="DK275" s="68">
        <f t="shared" si="221"/>
        <v>0</v>
      </c>
      <c r="DL275" s="68">
        <f t="shared" si="221"/>
        <v>0</v>
      </c>
      <c r="DM275" s="68">
        <f t="shared" si="221"/>
        <v>0</v>
      </c>
      <c r="DN275" s="68">
        <f t="shared" si="221"/>
        <v>0</v>
      </c>
      <c r="DO275" s="68">
        <f t="shared" si="221"/>
        <v>0</v>
      </c>
      <c r="DP275" s="68">
        <f t="shared" si="221"/>
        <v>0</v>
      </c>
      <c r="DQ275" s="68">
        <f t="shared" si="221"/>
        <v>0</v>
      </c>
      <c r="DR275" s="68">
        <f t="shared" si="221"/>
        <v>0</v>
      </c>
      <c r="DS275" s="68">
        <f t="shared" si="221"/>
        <v>0</v>
      </c>
      <c r="DT275" s="68">
        <f t="shared" si="221"/>
        <v>0</v>
      </c>
      <c r="DU275" s="68">
        <f t="shared" si="221"/>
        <v>0</v>
      </c>
      <c r="DV275" s="68">
        <f t="shared" si="221"/>
        <v>0</v>
      </c>
      <c r="DW275" s="68">
        <f t="shared" si="221"/>
        <v>0</v>
      </c>
      <c r="DX275" s="68">
        <f t="shared" si="221"/>
        <v>0</v>
      </c>
      <c r="DY275" s="68">
        <f t="shared" si="221"/>
        <v>0</v>
      </c>
      <c r="DZ275" s="68">
        <f t="shared" si="221"/>
        <v>0</v>
      </c>
      <c r="EA275" s="68">
        <f t="shared" si="221"/>
        <v>0</v>
      </c>
      <c r="EB275" s="68">
        <f t="shared" si="221"/>
        <v>0</v>
      </c>
      <c r="EC275" s="68">
        <f t="shared" si="221"/>
        <v>0</v>
      </c>
    </row>
    <row r="276" spans="1:133" s="340" customFormat="1" hidden="1" x14ac:dyDescent="0.2">
      <c r="A276" s="3"/>
      <c r="B276" s="167"/>
      <c r="C276" s="3"/>
      <c r="D276" s="29"/>
      <c r="E276" s="31"/>
      <c r="F276" s="133"/>
      <c r="G276" s="68">
        <f t="shared" ref="G276:AG276" si="224">G252-G265</f>
        <v>0</v>
      </c>
      <c r="H276" s="68">
        <f t="shared" si="224"/>
        <v>0</v>
      </c>
      <c r="I276" s="68">
        <f t="shared" si="224"/>
        <v>0</v>
      </c>
      <c r="J276" s="68">
        <f t="shared" si="224"/>
        <v>0</v>
      </c>
      <c r="K276" s="68">
        <f t="shared" si="224"/>
        <v>0</v>
      </c>
      <c r="L276" s="68">
        <f t="shared" si="224"/>
        <v>0</v>
      </c>
      <c r="M276" s="68">
        <f t="shared" si="224"/>
        <v>0</v>
      </c>
      <c r="N276" s="68">
        <f t="shared" si="224"/>
        <v>0</v>
      </c>
      <c r="O276" s="68">
        <f t="shared" si="224"/>
        <v>0</v>
      </c>
      <c r="P276" s="68">
        <f t="shared" si="224"/>
        <v>0</v>
      </c>
      <c r="Q276" s="68">
        <f t="shared" si="224"/>
        <v>0</v>
      </c>
      <c r="R276" s="68">
        <f t="shared" si="224"/>
        <v>0</v>
      </c>
      <c r="S276" s="68">
        <f t="shared" si="224"/>
        <v>0</v>
      </c>
      <c r="T276" s="68">
        <f t="shared" si="224"/>
        <v>0</v>
      </c>
      <c r="U276" s="68">
        <f t="shared" si="224"/>
        <v>0</v>
      </c>
      <c r="V276" s="68">
        <f t="shared" si="224"/>
        <v>0</v>
      </c>
      <c r="W276" s="68">
        <f t="shared" si="224"/>
        <v>0</v>
      </c>
      <c r="X276" s="68">
        <f t="shared" si="224"/>
        <v>0</v>
      </c>
      <c r="Y276" s="68">
        <f t="shared" si="224"/>
        <v>0</v>
      </c>
      <c r="Z276" s="68">
        <f t="shared" si="224"/>
        <v>0</v>
      </c>
      <c r="AA276" s="68">
        <f t="shared" si="224"/>
        <v>0</v>
      </c>
      <c r="AB276" s="68">
        <f t="shared" si="224"/>
        <v>0</v>
      </c>
      <c r="AC276" s="68">
        <f t="shared" si="224"/>
        <v>0</v>
      </c>
      <c r="AD276" s="68">
        <f t="shared" si="224"/>
        <v>0</v>
      </c>
      <c r="AE276" s="68">
        <f t="shared" si="224"/>
        <v>0</v>
      </c>
      <c r="AF276" s="68">
        <f t="shared" si="224"/>
        <v>0</v>
      </c>
      <c r="AG276" s="68">
        <f t="shared" si="224"/>
        <v>0</v>
      </c>
      <c r="AH276" s="68">
        <f t="shared" si="223"/>
        <v>0</v>
      </c>
      <c r="AI276" s="68">
        <f t="shared" ref="AI276:DF279" si="225">AI252-AI265</f>
        <v>0</v>
      </c>
      <c r="AJ276" s="68">
        <f t="shared" si="225"/>
        <v>0</v>
      </c>
      <c r="AK276" s="68">
        <f t="shared" si="225"/>
        <v>0</v>
      </c>
      <c r="AL276" s="68">
        <f t="shared" si="225"/>
        <v>0</v>
      </c>
      <c r="AM276" s="68">
        <f t="shared" si="225"/>
        <v>0</v>
      </c>
      <c r="AN276" s="68">
        <f t="shared" si="225"/>
        <v>0</v>
      </c>
      <c r="AO276" s="68">
        <f t="shared" si="225"/>
        <v>0</v>
      </c>
      <c r="AP276" s="68">
        <f t="shared" si="225"/>
        <v>0</v>
      </c>
      <c r="AQ276" s="68">
        <f t="shared" si="225"/>
        <v>0</v>
      </c>
      <c r="AR276" s="68">
        <f t="shared" si="225"/>
        <v>0</v>
      </c>
      <c r="AS276" s="68">
        <f t="shared" si="225"/>
        <v>0</v>
      </c>
      <c r="AT276" s="68">
        <f t="shared" si="225"/>
        <v>0</v>
      </c>
      <c r="AU276" s="68">
        <f t="shared" si="225"/>
        <v>0</v>
      </c>
      <c r="AV276" s="68">
        <f t="shared" si="225"/>
        <v>0</v>
      </c>
      <c r="AW276" s="68">
        <f t="shared" si="225"/>
        <v>0</v>
      </c>
      <c r="AX276" s="68">
        <f t="shared" si="225"/>
        <v>0</v>
      </c>
      <c r="AY276" s="68">
        <f t="shared" si="225"/>
        <v>0</v>
      </c>
      <c r="AZ276" s="68">
        <f t="shared" si="225"/>
        <v>0</v>
      </c>
      <c r="BA276" s="68">
        <f t="shared" si="225"/>
        <v>0</v>
      </c>
      <c r="BB276" s="68">
        <f t="shared" si="225"/>
        <v>0</v>
      </c>
      <c r="BC276" s="68">
        <f t="shared" si="225"/>
        <v>0</v>
      </c>
      <c r="BD276" s="68">
        <f t="shared" si="225"/>
        <v>0</v>
      </c>
      <c r="BE276" s="68">
        <f t="shared" si="225"/>
        <v>0</v>
      </c>
      <c r="BF276" s="68">
        <f t="shared" si="225"/>
        <v>0</v>
      </c>
      <c r="BG276" s="68">
        <f t="shared" si="225"/>
        <v>0</v>
      </c>
      <c r="BH276" s="68">
        <f t="shared" si="225"/>
        <v>0</v>
      </c>
      <c r="BI276" s="68">
        <f t="shared" si="225"/>
        <v>0</v>
      </c>
      <c r="BJ276" s="68">
        <f t="shared" si="225"/>
        <v>0</v>
      </c>
      <c r="BK276" s="68">
        <f t="shared" si="225"/>
        <v>0</v>
      </c>
      <c r="BL276" s="68">
        <f t="shared" si="225"/>
        <v>0</v>
      </c>
      <c r="BM276" s="68">
        <f t="shared" si="225"/>
        <v>0</v>
      </c>
      <c r="BN276" s="68">
        <f t="shared" si="225"/>
        <v>0</v>
      </c>
      <c r="BO276" s="68">
        <f t="shared" si="225"/>
        <v>0</v>
      </c>
      <c r="BP276" s="68">
        <f t="shared" si="225"/>
        <v>0</v>
      </c>
      <c r="BQ276" s="68">
        <f t="shared" si="225"/>
        <v>0</v>
      </c>
      <c r="BR276" s="68">
        <f t="shared" si="225"/>
        <v>0</v>
      </c>
      <c r="BS276" s="68">
        <f t="shared" si="225"/>
        <v>0</v>
      </c>
      <c r="BT276" s="68">
        <f t="shared" si="225"/>
        <v>0</v>
      </c>
      <c r="BU276" s="68">
        <f t="shared" si="225"/>
        <v>0</v>
      </c>
      <c r="BV276" s="68">
        <f t="shared" si="225"/>
        <v>0</v>
      </c>
      <c r="BW276" s="68">
        <f t="shared" si="225"/>
        <v>0</v>
      </c>
      <c r="BX276" s="68">
        <f t="shared" si="225"/>
        <v>0</v>
      </c>
      <c r="BY276" s="68">
        <f t="shared" si="225"/>
        <v>0</v>
      </c>
      <c r="BZ276" s="68">
        <f t="shared" si="225"/>
        <v>0</v>
      </c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>
        <f t="shared" si="225"/>
        <v>0</v>
      </c>
      <c r="CN276" s="68">
        <f t="shared" si="225"/>
        <v>0</v>
      </c>
      <c r="CO276" s="68">
        <f t="shared" si="225"/>
        <v>0</v>
      </c>
      <c r="CP276" s="68">
        <f t="shared" si="225"/>
        <v>0</v>
      </c>
      <c r="CQ276" s="68">
        <f t="shared" si="225"/>
        <v>0</v>
      </c>
      <c r="CR276" s="68">
        <f t="shared" si="225"/>
        <v>0</v>
      </c>
      <c r="CS276" s="68">
        <f t="shared" si="225"/>
        <v>0</v>
      </c>
      <c r="CT276" s="68">
        <f t="shared" si="225"/>
        <v>0</v>
      </c>
      <c r="CU276" s="68"/>
      <c r="CV276" s="68">
        <f t="shared" si="225"/>
        <v>0</v>
      </c>
      <c r="CW276" s="68">
        <f t="shared" si="225"/>
        <v>0</v>
      </c>
      <c r="CX276" s="68">
        <f t="shared" si="225"/>
        <v>0</v>
      </c>
      <c r="CY276" s="68">
        <f t="shared" si="225"/>
        <v>0</v>
      </c>
      <c r="CZ276" s="68">
        <f t="shared" si="225"/>
        <v>0</v>
      </c>
      <c r="DA276" s="68">
        <f t="shared" si="225"/>
        <v>0</v>
      </c>
      <c r="DB276" s="68">
        <f t="shared" si="225"/>
        <v>0</v>
      </c>
      <c r="DC276" s="68">
        <f t="shared" si="225"/>
        <v>0</v>
      </c>
      <c r="DD276" s="68">
        <f t="shared" si="225"/>
        <v>0</v>
      </c>
      <c r="DE276" s="68">
        <f t="shared" si="225"/>
        <v>0</v>
      </c>
      <c r="DF276" s="68">
        <f t="shared" si="225"/>
        <v>0</v>
      </c>
      <c r="DG276" s="68">
        <f t="shared" si="221"/>
        <v>0</v>
      </c>
      <c r="DH276" s="68">
        <f t="shared" si="221"/>
        <v>0</v>
      </c>
      <c r="DI276" s="68">
        <f t="shared" si="221"/>
        <v>0</v>
      </c>
      <c r="DJ276" s="68">
        <f t="shared" si="221"/>
        <v>0</v>
      </c>
      <c r="DK276" s="68">
        <f t="shared" si="221"/>
        <v>0</v>
      </c>
      <c r="DL276" s="68">
        <f t="shared" si="221"/>
        <v>0</v>
      </c>
      <c r="DM276" s="68">
        <f t="shared" si="221"/>
        <v>0</v>
      </c>
      <c r="DN276" s="68">
        <f t="shared" si="221"/>
        <v>0</v>
      </c>
      <c r="DO276" s="68">
        <f t="shared" si="221"/>
        <v>0</v>
      </c>
      <c r="DP276" s="68">
        <f t="shared" si="221"/>
        <v>0</v>
      </c>
      <c r="DQ276" s="68">
        <f t="shared" si="221"/>
        <v>0</v>
      </c>
      <c r="DR276" s="68">
        <f t="shared" si="221"/>
        <v>0</v>
      </c>
      <c r="DS276" s="68">
        <f t="shared" si="221"/>
        <v>0</v>
      </c>
      <c r="DT276" s="68">
        <f t="shared" si="221"/>
        <v>0</v>
      </c>
      <c r="DU276" s="68">
        <f t="shared" si="221"/>
        <v>0</v>
      </c>
      <c r="DV276" s="68">
        <f t="shared" si="221"/>
        <v>0</v>
      </c>
      <c r="DW276" s="68">
        <f t="shared" si="221"/>
        <v>0</v>
      </c>
      <c r="DX276" s="68">
        <f t="shared" si="221"/>
        <v>0</v>
      </c>
      <c r="DY276" s="68">
        <f t="shared" si="221"/>
        <v>0</v>
      </c>
      <c r="DZ276" s="68">
        <f t="shared" si="221"/>
        <v>0</v>
      </c>
      <c r="EA276" s="68">
        <f t="shared" si="221"/>
        <v>0</v>
      </c>
      <c r="EB276" s="68">
        <f t="shared" si="221"/>
        <v>0</v>
      </c>
      <c r="EC276" s="68">
        <f t="shared" si="221"/>
        <v>0</v>
      </c>
    </row>
    <row r="277" spans="1:133" s="340" customFormat="1" hidden="1" x14ac:dyDescent="0.2">
      <c r="A277" s="3"/>
      <c r="B277" s="167"/>
      <c r="C277" s="3"/>
      <c r="D277" s="29"/>
      <c r="E277" s="31"/>
      <c r="F277" s="133"/>
      <c r="G277" s="68">
        <f t="shared" ref="G277:AG277" si="226">G253-G266</f>
        <v>0</v>
      </c>
      <c r="H277" s="68">
        <f t="shared" si="226"/>
        <v>0</v>
      </c>
      <c r="I277" s="68">
        <f t="shared" si="226"/>
        <v>0</v>
      </c>
      <c r="J277" s="68">
        <f t="shared" si="226"/>
        <v>0</v>
      </c>
      <c r="K277" s="68">
        <f t="shared" si="226"/>
        <v>0</v>
      </c>
      <c r="L277" s="68">
        <f t="shared" si="226"/>
        <v>0</v>
      </c>
      <c r="M277" s="68">
        <f t="shared" si="226"/>
        <v>0</v>
      </c>
      <c r="N277" s="68">
        <f t="shared" si="226"/>
        <v>0</v>
      </c>
      <c r="O277" s="68">
        <f t="shared" si="226"/>
        <v>0</v>
      </c>
      <c r="P277" s="68">
        <f t="shared" si="226"/>
        <v>0</v>
      </c>
      <c r="Q277" s="68">
        <f t="shared" si="226"/>
        <v>0</v>
      </c>
      <c r="R277" s="68">
        <f t="shared" si="226"/>
        <v>0</v>
      </c>
      <c r="S277" s="68">
        <f t="shared" si="226"/>
        <v>0</v>
      </c>
      <c r="T277" s="68">
        <f t="shared" si="226"/>
        <v>0</v>
      </c>
      <c r="U277" s="68">
        <f t="shared" si="226"/>
        <v>0</v>
      </c>
      <c r="V277" s="68">
        <f t="shared" si="226"/>
        <v>0</v>
      </c>
      <c r="W277" s="68">
        <f t="shared" si="226"/>
        <v>0</v>
      </c>
      <c r="X277" s="68">
        <f t="shared" si="226"/>
        <v>0</v>
      </c>
      <c r="Y277" s="68">
        <f t="shared" si="226"/>
        <v>0</v>
      </c>
      <c r="Z277" s="68">
        <f t="shared" si="226"/>
        <v>0</v>
      </c>
      <c r="AA277" s="68">
        <f t="shared" si="226"/>
        <v>0</v>
      </c>
      <c r="AB277" s="68">
        <f t="shared" si="226"/>
        <v>0</v>
      </c>
      <c r="AC277" s="68">
        <f t="shared" si="226"/>
        <v>0</v>
      </c>
      <c r="AD277" s="68">
        <f t="shared" si="226"/>
        <v>0</v>
      </c>
      <c r="AE277" s="68">
        <f t="shared" si="226"/>
        <v>0</v>
      </c>
      <c r="AF277" s="68">
        <f t="shared" si="226"/>
        <v>0</v>
      </c>
      <c r="AG277" s="68">
        <f t="shared" si="226"/>
        <v>0</v>
      </c>
      <c r="AH277" s="68">
        <f t="shared" si="223"/>
        <v>0</v>
      </c>
      <c r="AI277" s="68">
        <f t="shared" si="225"/>
        <v>0</v>
      </c>
      <c r="AJ277" s="68">
        <f t="shared" si="225"/>
        <v>0</v>
      </c>
      <c r="AK277" s="68">
        <f t="shared" si="225"/>
        <v>0</v>
      </c>
      <c r="AL277" s="68">
        <f t="shared" si="225"/>
        <v>0</v>
      </c>
      <c r="AM277" s="68">
        <f t="shared" si="225"/>
        <v>0</v>
      </c>
      <c r="AN277" s="68">
        <f t="shared" si="225"/>
        <v>0</v>
      </c>
      <c r="AO277" s="68">
        <f t="shared" si="225"/>
        <v>0</v>
      </c>
      <c r="AP277" s="68">
        <f t="shared" si="225"/>
        <v>0</v>
      </c>
      <c r="AQ277" s="68">
        <f t="shared" si="225"/>
        <v>0</v>
      </c>
      <c r="AR277" s="68">
        <f t="shared" si="225"/>
        <v>0</v>
      </c>
      <c r="AS277" s="68">
        <f t="shared" si="225"/>
        <v>0</v>
      </c>
      <c r="AT277" s="68">
        <f t="shared" si="225"/>
        <v>0</v>
      </c>
      <c r="AU277" s="68">
        <f t="shared" si="225"/>
        <v>0</v>
      </c>
      <c r="AV277" s="68">
        <f t="shared" si="225"/>
        <v>0</v>
      </c>
      <c r="AW277" s="68">
        <f t="shared" si="225"/>
        <v>0</v>
      </c>
      <c r="AX277" s="68">
        <f t="shared" si="225"/>
        <v>0</v>
      </c>
      <c r="AY277" s="68">
        <f t="shared" si="225"/>
        <v>0</v>
      </c>
      <c r="AZ277" s="68">
        <f t="shared" si="225"/>
        <v>0</v>
      </c>
      <c r="BA277" s="68">
        <f t="shared" si="225"/>
        <v>0</v>
      </c>
      <c r="BB277" s="68">
        <f t="shared" si="225"/>
        <v>0</v>
      </c>
      <c r="BC277" s="68">
        <f t="shared" si="225"/>
        <v>0</v>
      </c>
      <c r="BD277" s="68">
        <f t="shared" si="225"/>
        <v>0</v>
      </c>
      <c r="BE277" s="68">
        <f t="shared" si="225"/>
        <v>0</v>
      </c>
      <c r="BF277" s="68">
        <f t="shared" si="225"/>
        <v>0</v>
      </c>
      <c r="BG277" s="68">
        <f t="shared" si="225"/>
        <v>0</v>
      </c>
      <c r="BH277" s="68">
        <f t="shared" si="225"/>
        <v>0</v>
      </c>
      <c r="BI277" s="68">
        <f t="shared" si="225"/>
        <v>0</v>
      </c>
      <c r="BJ277" s="68">
        <f t="shared" si="225"/>
        <v>0</v>
      </c>
      <c r="BK277" s="68">
        <f t="shared" si="225"/>
        <v>0</v>
      </c>
      <c r="BL277" s="68">
        <f t="shared" si="225"/>
        <v>0</v>
      </c>
      <c r="BM277" s="68">
        <f t="shared" si="225"/>
        <v>0</v>
      </c>
      <c r="BN277" s="68">
        <f t="shared" si="225"/>
        <v>0</v>
      </c>
      <c r="BO277" s="68">
        <f t="shared" si="225"/>
        <v>0</v>
      </c>
      <c r="BP277" s="68">
        <f t="shared" si="225"/>
        <v>0</v>
      </c>
      <c r="BQ277" s="68">
        <f t="shared" si="225"/>
        <v>0</v>
      </c>
      <c r="BR277" s="68">
        <f t="shared" si="225"/>
        <v>0</v>
      </c>
      <c r="BS277" s="68">
        <f t="shared" si="225"/>
        <v>0</v>
      </c>
      <c r="BT277" s="68">
        <f t="shared" si="225"/>
        <v>0</v>
      </c>
      <c r="BU277" s="68">
        <f t="shared" si="225"/>
        <v>0</v>
      </c>
      <c r="BV277" s="68">
        <f t="shared" si="225"/>
        <v>0</v>
      </c>
      <c r="BW277" s="68">
        <f t="shared" si="225"/>
        <v>0</v>
      </c>
      <c r="BX277" s="68">
        <f t="shared" si="225"/>
        <v>0</v>
      </c>
      <c r="BY277" s="68">
        <f t="shared" si="225"/>
        <v>0</v>
      </c>
      <c r="BZ277" s="68">
        <f t="shared" si="225"/>
        <v>0</v>
      </c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>
        <f t="shared" si="225"/>
        <v>0</v>
      </c>
      <c r="CN277" s="68">
        <f t="shared" si="225"/>
        <v>0</v>
      </c>
      <c r="CO277" s="68">
        <f t="shared" si="225"/>
        <v>0</v>
      </c>
      <c r="CP277" s="68">
        <f t="shared" si="225"/>
        <v>0</v>
      </c>
      <c r="CQ277" s="68">
        <f t="shared" si="225"/>
        <v>0</v>
      </c>
      <c r="CR277" s="68">
        <f t="shared" si="225"/>
        <v>0</v>
      </c>
      <c r="CS277" s="68">
        <f t="shared" si="225"/>
        <v>0</v>
      </c>
      <c r="CT277" s="68">
        <f t="shared" si="225"/>
        <v>0</v>
      </c>
      <c r="CU277" s="68"/>
      <c r="CV277" s="68">
        <f t="shared" si="225"/>
        <v>0</v>
      </c>
      <c r="CW277" s="68">
        <f t="shared" si="225"/>
        <v>0</v>
      </c>
      <c r="CX277" s="68">
        <f t="shared" si="225"/>
        <v>0</v>
      </c>
      <c r="CY277" s="68">
        <f t="shared" si="225"/>
        <v>0</v>
      </c>
      <c r="CZ277" s="68">
        <f t="shared" si="225"/>
        <v>0</v>
      </c>
      <c r="DA277" s="68">
        <f t="shared" si="225"/>
        <v>0</v>
      </c>
      <c r="DB277" s="68">
        <f t="shared" si="225"/>
        <v>0</v>
      </c>
      <c r="DC277" s="68">
        <f t="shared" si="225"/>
        <v>0</v>
      </c>
      <c r="DD277" s="68">
        <f t="shared" si="225"/>
        <v>0</v>
      </c>
      <c r="DE277" s="68">
        <f t="shared" si="225"/>
        <v>0</v>
      </c>
      <c r="DF277" s="68">
        <f t="shared" si="225"/>
        <v>0</v>
      </c>
      <c r="DG277" s="68">
        <f t="shared" si="221"/>
        <v>0</v>
      </c>
      <c r="DH277" s="68">
        <f t="shared" si="221"/>
        <v>0</v>
      </c>
      <c r="DI277" s="68">
        <f t="shared" si="221"/>
        <v>0</v>
      </c>
      <c r="DJ277" s="68">
        <f t="shared" si="221"/>
        <v>0</v>
      </c>
      <c r="DK277" s="68">
        <f t="shared" si="221"/>
        <v>0</v>
      </c>
      <c r="DL277" s="68">
        <f t="shared" si="221"/>
        <v>0</v>
      </c>
      <c r="DM277" s="68">
        <f t="shared" si="221"/>
        <v>0</v>
      </c>
      <c r="DN277" s="68">
        <f t="shared" si="221"/>
        <v>0</v>
      </c>
      <c r="DO277" s="68">
        <f t="shared" si="221"/>
        <v>0</v>
      </c>
      <c r="DP277" s="68">
        <f t="shared" si="221"/>
        <v>0</v>
      </c>
      <c r="DQ277" s="68">
        <f t="shared" si="221"/>
        <v>0</v>
      </c>
      <c r="DR277" s="68">
        <f t="shared" si="221"/>
        <v>0</v>
      </c>
      <c r="DS277" s="68">
        <f t="shared" si="221"/>
        <v>0</v>
      </c>
      <c r="DT277" s="68">
        <f t="shared" si="221"/>
        <v>0</v>
      </c>
      <c r="DU277" s="68">
        <f t="shared" si="221"/>
        <v>0</v>
      </c>
      <c r="DV277" s="68">
        <f t="shared" si="221"/>
        <v>0</v>
      </c>
      <c r="DW277" s="68">
        <f t="shared" si="221"/>
        <v>0</v>
      </c>
      <c r="DX277" s="68">
        <f t="shared" si="221"/>
        <v>0</v>
      </c>
      <c r="DY277" s="68">
        <f t="shared" si="221"/>
        <v>0</v>
      </c>
      <c r="DZ277" s="68">
        <f t="shared" si="221"/>
        <v>0</v>
      </c>
      <c r="EA277" s="68">
        <f t="shared" si="221"/>
        <v>0</v>
      </c>
      <c r="EB277" s="68">
        <f t="shared" si="221"/>
        <v>0</v>
      </c>
      <c r="EC277" s="68">
        <f t="shared" si="221"/>
        <v>0</v>
      </c>
    </row>
    <row r="278" spans="1:133" s="340" customFormat="1" hidden="1" x14ac:dyDescent="0.2">
      <c r="A278" s="3"/>
      <c r="B278" s="167"/>
      <c r="C278" s="3"/>
      <c r="D278" s="29"/>
      <c r="E278" s="31"/>
      <c r="F278" s="133"/>
      <c r="G278" s="68">
        <f t="shared" ref="G278:AG278" si="227">G254-G267</f>
        <v>0</v>
      </c>
      <c r="H278" s="68">
        <f t="shared" si="227"/>
        <v>0</v>
      </c>
      <c r="I278" s="68">
        <f t="shared" si="227"/>
        <v>0</v>
      </c>
      <c r="J278" s="68">
        <f t="shared" si="227"/>
        <v>0</v>
      </c>
      <c r="K278" s="68">
        <f t="shared" si="227"/>
        <v>0</v>
      </c>
      <c r="L278" s="68">
        <f t="shared" si="227"/>
        <v>0</v>
      </c>
      <c r="M278" s="68">
        <f t="shared" si="227"/>
        <v>0</v>
      </c>
      <c r="N278" s="68">
        <f t="shared" si="227"/>
        <v>0</v>
      </c>
      <c r="O278" s="68">
        <f t="shared" si="227"/>
        <v>0</v>
      </c>
      <c r="P278" s="68">
        <f t="shared" si="227"/>
        <v>0</v>
      </c>
      <c r="Q278" s="68">
        <f t="shared" si="227"/>
        <v>0</v>
      </c>
      <c r="R278" s="68">
        <f t="shared" si="227"/>
        <v>0</v>
      </c>
      <c r="S278" s="68">
        <f t="shared" si="227"/>
        <v>0</v>
      </c>
      <c r="T278" s="68">
        <f t="shared" si="227"/>
        <v>0</v>
      </c>
      <c r="U278" s="68">
        <f t="shared" si="227"/>
        <v>0</v>
      </c>
      <c r="V278" s="68">
        <f t="shared" si="227"/>
        <v>0</v>
      </c>
      <c r="W278" s="68">
        <f t="shared" si="227"/>
        <v>0</v>
      </c>
      <c r="X278" s="68">
        <f t="shared" si="227"/>
        <v>0</v>
      </c>
      <c r="Y278" s="68">
        <f t="shared" si="227"/>
        <v>0</v>
      </c>
      <c r="Z278" s="68">
        <f t="shared" si="227"/>
        <v>0</v>
      </c>
      <c r="AA278" s="68">
        <f t="shared" si="227"/>
        <v>0</v>
      </c>
      <c r="AB278" s="68">
        <f t="shared" si="227"/>
        <v>0</v>
      </c>
      <c r="AC278" s="68">
        <f t="shared" si="227"/>
        <v>0</v>
      </c>
      <c r="AD278" s="68">
        <f t="shared" si="227"/>
        <v>0</v>
      </c>
      <c r="AE278" s="68">
        <f t="shared" si="227"/>
        <v>0</v>
      </c>
      <c r="AF278" s="68">
        <f t="shared" si="227"/>
        <v>0</v>
      </c>
      <c r="AG278" s="68">
        <f t="shared" si="227"/>
        <v>0</v>
      </c>
      <c r="AH278" s="68">
        <f t="shared" si="223"/>
        <v>0</v>
      </c>
      <c r="AI278" s="68">
        <f t="shared" si="225"/>
        <v>0</v>
      </c>
      <c r="AJ278" s="68">
        <f t="shared" si="225"/>
        <v>0</v>
      </c>
      <c r="AK278" s="68">
        <f t="shared" si="225"/>
        <v>0</v>
      </c>
      <c r="AL278" s="68">
        <f t="shared" si="225"/>
        <v>0</v>
      </c>
      <c r="AM278" s="68">
        <f t="shared" si="225"/>
        <v>0</v>
      </c>
      <c r="AN278" s="68">
        <f t="shared" si="225"/>
        <v>0</v>
      </c>
      <c r="AO278" s="68">
        <f t="shared" si="225"/>
        <v>0</v>
      </c>
      <c r="AP278" s="68">
        <f t="shared" si="225"/>
        <v>0</v>
      </c>
      <c r="AQ278" s="68">
        <f t="shared" si="225"/>
        <v>0</v>
      </c>
      <c r="AR278" s="68">
        <f t="shared" si="225"/>
        <v>0</v>
      </c>
      <c r="AS278" s="68">
        <f t="shared" si="225"/>
        <v>0</v>
      </c>
      <c r="AT278" s="68">
        <f t="shared" si="225"/>
        <v>0</v>
      </c>
      <c r="AU278" s="68">
        <f t="shared" si="225"/>
        <v>0</v>
      </c>
      <c r="AV278" s="68">
        <f t="shared" si="225"/>
        <v>0</v>
      </c>
      <c r="AW278" s="68">
        <f t="shared" si="225"/>
        <v>0</v>
      </c>
      <c r="AX278" s="68">
        <f t="shared" si="225"/>
        <v>0</v>
      </c>
      <c r="AY278" s="68">
        <f t="shared" si="225"/>
        <v>0</v>
      </c>
      <c r="AZ278" s="68">
        <f t="shared" si="225"/>
        <v>0</v>
      </c>
      <c r="BA278" s="68">
        <f t="shared" si="225"/>
        <v>0</v>
      </c>
      <c r="BB278" s="68">
        <f t="shared" si="225"/>
        <v>0</v>
      </c>
      <c r="BC278" s="68">
        <f t="shared" si="225"/>
        <v>0</v>
      </c>
      <c r="BD278" s="68">
        <f t="shared" si="225"/>
        <v>0</v>
      </c>
      <c r="BE278" s="68">
        <f t="shared" si="225"/>
        <v>0</v>
      </c>
      <c r="BF278" s="68">
        <f t="shared" si="225"/>
        <v>0</v>
      </c>
      <c r="BG278" s="68">
        <f t="shared" si="225"/>
        <v>0</v>
      </c>
      <c r="BH278" s="68">
        <f t="shared" si="225"/>
        <v>0</v>
      </c>
      <c r="BI278" s="68">
        <f t="shared" si="225"/>
        <v>0</v>
      </c>
      <c r="BJ278" s="68">
        <f t="shared" si="225"/>
        <v>0</v>
      </c>
      <c r="BK278" s="68">
        <f t="shared" si="225"/>
        <v>0</v>
      </c>
      <c r="BL278" s="68">
        <f t="shared" si="225"/>
        <v>0</v>
      </c>
      <c r="BM278" s="68">
        <f t="shared" si="225"/>
        <v>0</v>
      </c>
      <c r="BN278" s="68">
        <f t="shared" si="225"/>
        <v>0</v>
      </c>
      <c r="BO278" s="68">
        <f t="shared" si="225"/>
        <v>0</v>
      </c>
      <c r="BP278" s="68">
        <f t="shared" si="225"/>
        <v>0</v>
      </c>
      <c r="BQ278" s="68">
        <f t="shared" si="225"/>
        <v>0</v>
      </c>
      <c r="BR278" s="68">
        <f t="shared" si="225"/>
        <v>0</v>
      </c>
      <c r="BS278" s="68">
        <f t="shared" si="225"/>
        <v>0</v>
      </c>
      <c r="BT278" s="68">
        <f t="shared" si="225"/>
        <v>0</v>
      </c>
      <c r="BU278" s="68">
        <f t="shared" si="225"/>
        <v>0</v>
      </c>
      <c r="BV278" s="68">
        <f t="shared" si="225"/>
        <v>0</v>
      </c>
      <c r="BW278" s="68">
        <f t="shared" si="225"/>
        <v>0</v>
      </c>
      <c r="BX278" s="68">
        <f t="shared" si="225"/>
        <v>0</v>
      </c>
      <c r="BY278" s="68">
        <f t="shared" si="225"/>
        <v>0</v>
      </c>
      <c r="BZ278" s="68">
        <f t="shared" si="225"/>
        <v>0</v>
      </c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>
        <f t="shared" si="225"/>
        <v>0</v>
      </c>
      <c r="CN278" s="68">
        <f t="shared" si="225"/>
        <v>0</v>
      </c>
      <c r="CO278" s="68">
        <f t="shared" si="225"/>
        <v>0</v>
      </c>
      <c r="CP278" s="68">
        <f t="shared" si="225"/>
        <v>0</v>
      </c>
      <c r="CQ278" s="68">
        <f t="shared" si="225"/>
        <v>0</v>
      </c>
      <c r="CR278" s="68">
        <f t="shared" si="225"/>
        <v>0</v>
      </c>
      <c r="CS278" s="68">
        <f t="shared" si="225"/>
        <v>0</v>
      </c>
      <c r="CT278" s="68">
        <f t="shared" si="225"/>
        <v>0</v>
      </c>
      <c r="CU278" s="68"/>
      <c r="CV278" s="68">
        <f t="shared" si="225"/>
        <v>0</v>
      </c>
      <c r="CW278" s="68">
        <f t="shared" si="225"/>
        <v>0</v>
      </c>
      <c r="CX278" s="68">
        <f t="shared" si="225"/>
        <v>0</v>
      </c>
      <c r="CY278" s="68">
        <f t="shared" si="225"/>
        <v>0</v>
      </c>
      <c r="CZ278" s="68">
        <f t="shared" si="225"/>
        <v>0</v>
      </c>
      <c r="DA278" s="68">
        <f t="shared" si="225"/>
        <v>0</v>
      </c>
      <c r="DB278" s="68">
        <f t="shared" si="225"/>
        <v>0</v>
      </c>
      <c r="DC278" s="68">
        <f t="shared" si="225"/>
        <v>0</v>
      </c>
      <c r="DD278" s="68">
        <f t="shared" si="225"/>
        <v>0</v>
      </c>
      <c r="DE278" s="68">
        <f t="shared" si="225"/>
        <v>0</v>
      </c>
      <c r="DF278" s="68">
        <f t="shared" si="225"/>
        <v>0</v>
      </c>
      <c r="DG278" s="68">
        <f t="shared" si="221"/>
        <v>0</v>
      </c>
      <c r="DH278" s="68">
        <f t="shared" si="221"/>
        <v>0</v>
      </c>
      <c r="DI278" s="68">
        <f t="shared" si="221"/>
        <v>0</v>
      </c>
      <c r="DJ278" s="68">
        <f t="shared" si="221"/>
        <v>0</v>
      </c>
      <c r="DK278" s="68">
        <f t="shared" si="221"/>
        <v>0</v>
      </c>
      <c r="DL278" s="68">
        <f t="shared" si="221"/>
        <v>0</v>
      </c>
      <c r="DM278" s="68">
        <f t="shared" si="221"/>
        <v>0</v>
      </c>
      <c r="DN278" s="68">
        <f t="shared" si="221"/>
        <v>0</v>
      </c>
      <c r="DO278" s="68">
        <f t="shared" si="221"/>
        <v>0</v>
      </c>
      <c r="DP278" s="68">
        <f t="shared" si="221"/>
        <v>0</v>
      </c>
      <c r="DQ278" s="68">
        <f t="shared" si="221"/>
        <v>0</v>
      </c>
      <c r="DR278" s="68">
        <f t="shared" si="221"/>
        <v>0</v>
      </c>
      <c r="DS278" s="68">
        <f t="shared" si="221"/>
        <v>0</v>
      </c>
      <c r="DT278" s="68">
        <f t="shared" si="221"/>
        <v>0</v>
      </c>
      <c r="DU278" s="68">
        <f t="shared" si="221"/>
        <v>0</v>
      </c>
      <c r="DV278" s="68">
        <f t="shared" si="221"/>
        <v>0</v>
      </c>
      <c r="DW278" s="68">
        <f t="shared" si="221"/>
        <v>0</v>
      </c>
      <c r="DX278" s="68">
        <f t="shared" si="221"/>
        <v>0</v>
      </c>
      <c r="DY278" s="68">
        <f t="shared" si="221"/>
        <v>0</v>
      </c>
      <c r="DZ278" s="68">
        <f t="shared" si="221"/>
        <v>0</v>
      </c>
      <c r="EA278" s="68">
        <f t="shared" si="221"/>
        <v>0</v>
      </c>
      <c r="EB278" s="68">
        <f t="shared" si="221"/>
        <v>0</v>
      </c>
      <c r="EC278" s="68">
        <f t="shared" si="221"/>
        <v>0</v>
      </c>
    </row>
    <row r="279" spans="1:133" s="340" customFormat="1" hidden="1" x14ac:dyDescent="0.2">
      <c r="A279" s="3"/>
      <c r="B279" s="167"/>
      <c r="C279" s="3"/>
      <c r="D279" s="29"/>
      <c r="E279" s="31"/>
      <c r="F279" s="133"/>
      <c r="G279" s="68">
        <f t="shared" ref="G279:AG279" si="228">G255-G268</f>
        <v>0</v>
      </c>
      <c r="H279" s="68">
        <f t="shared" si="228"/>
        <v>0</v>
      </c>
      <c r="I279" s="68">
        <f t="shared" si="228"/>
        <v>0</v>
      </c>
      <c r="J279" s="68">
        <f t="shared" si="228"/>
        <v>0</v>
      </c>
      <c r="K279" s="68">
        <f t="shared" si="228"/>
        <v>0</v>
      </c>
      <c r="L279" s="68">
        <f t="shared" si="228"/>
        <v>0</v>
      </c>
      <c r="M279" s="68">
        <f t="shared" si="228"/>
        <v>0</v>
      </c>
      <c r="N279" s="68">
        <f t="shared" si="228"/>
        <v>0</v>
      </c>
      <c r="O279" s="68">
        <f t="shared" si="228"/>
        <v>0</v>
      </c>
      <c r="P279" s="68">
        <f t="shared" si="228"/>
        <v>0</v>
      </c>
      <c r="Q279" s="68">
        <f t="shared" si="228"/>
        <v>0</v>
      </c>
      <c r="R279" s="68">
        <f t="shared" si="228"/>
        <v>0</v>
      </c>
      <c r="S279" s="68">
        <f t="shared" si="228"/>
        <v>0</v>
      </c>
      <c r="T279" s="68">
        <f t="shared" si="228"/>
        <v>0</v>
      </c>
      <c r="U279" s="68">
        <f t="shared" si="228"/>
        <v>0</v>
      </c>
      <c r="V279" s="68">
        <f t="shared" si="228"/>
        <v>0</v>
      </c>
      <c r="W279" s="68">
        <f t="shared" si="228"/>
        <v>0</v>
      </c>
      <c r="X279" s="68">
        <f t="shared" si="228"/>
        <v>0</v>
      </c>
      <c r="Y279" s="68">
        <f t="shared" si="228"/>
        <v>0</v>
      </c>
      <c r="Z279" s="68">
        <f t="shared" si="228"/>
        <v>0</v>
      </c>
      <c r="AA279" s="68">
        <f t="shared" si="228"/>
        <v>0</v>
      </c>
      <c r="AB279" s="68">
        <f t="shared" si="228"/>
        <v>0</v>
      </c>
      <c r="AC279" s="68">
        <f t="shared" si="228"/>
        <v>0</v>
      </c>
      <c r="AD279" s="68">
        <f t="shared" si="228"/>
        <v>0</v>
      </c>
      <c r="AE279" s="68">
        <f t="shared" si="228"/>
        <v>0</v>
      </c>
      <c r="AF279" s="68">
        <f t="shared" si="228"/>
        <v>0</v>
      </c>
      <c r="AG279" s="68">
        <f t="shared" si="228"/>
        <v>0</v>
      </c>
      <c r="AH279" s="68">
        <f t="shared" si="223"/>
        <v>0</v>
      </c>
      <c r="AI279" s="68">
        <f t="shared" si="225"/>
        <v>0</v>
      </c>
      <c r="AJ279" s="68">
        <f t="shared" si="225"/>
        <v>0</v>
      </c>
      <c r="AK279" s="68">
        <f t="shared" si="225"/>
        <v>0</v>
      </c>
      <c r="AL279" s="68">
        <f t="shared" si="225"/>
        <v>0</v>
      </c>
      <c r="AM279" s="68">
        <f t="shared" si="225"/>
        <v>0</v>
      </c>
      <c r="AN279" s="68">
        <f t="shared" si="225"/>
        <v>0</v>
      </c>
      <c r="AO279" s="68">
        <f t="shared" si="225"/>
        <v>0</v>
      </c>
      <c r="AP279" s="68">
        <f t="shared" si="225"/>
        <v>0</v>
      </c>
      <c r="AQ279" s="68">
        <f t="shared" si="225"/>
        <v>0</v>
      </c>
      <c r="AR279" s="68">
        <f t="shared" si="225"/>
        <v>0</v>
      </c>
      <c r="AS279" s="68">
        <f t="shared" si="225"/>
        <v>0</v>
      </c>
      <c r="AT279" s="68">
        <f t="shared" si="225"/>
        <v>0</v>
      </c>
      <c r="AU279" s="68">
        <f t="shared" si="225"/>
        <v>0</v>
      </c>
      <c r="AV279" s="68">
        <f t="shared" si="225"/>
        <v>0</v>
      </c>
      <c r="AW279" s="68">
        <f t="shared" si="225"/>
        <v>0</v>
      </c>
      <c r="AX279" s="68">
        <f t="shared" si="225"/>
        <v>0</v>
      </c>
      <c r="AY279" s="68">
        <f t="shared" si="225"/>
        <v>0</v>
      </c>
      <c r="AZ279" s="68">
        <f t="shared" si="225"/>
        <v>0</v>
      </c>
      <c r="BA279" s="68">
        <f t="shared" si="225"/>
        <v>0</v>
      </c>
      <c r="BB279" s="68">
        <f t="shared" si="225"/>
        <v>0</v>
      </c>
      <c r="BC279" s="68">
        <f t="shared" si="225"/>
        <v>0</v>
      </c>
      <c r="BD279" s="68">
        <f t="shared" si="225"/>
        <v>0</v>
      </c>
      <c r="BE279" s="68">
        <f t="shared" si="225"/>
        <v>0</v>
      </c>
      <c r="BF279" s="68">
        <f t="shared" si="225"/>
        <v>0</v>
      </c>
      <c r="BG279" s="68">
        <f t="shared" si="225"/>
        <v>0</v>
      </c>
      <c r="BH279" s="68">
        <f t="shared" si="225"/>
        <v>0</v>
      </c>
      <c r="BI279" s="68">
        <f t="shared" si="225"/>
        <v>0</v>
      </c>
      <c r="BJ279" s="68">
        <f t="shared" si="225"/>
        <v>0</v>
      </c>
      <c r="BK279" s="68">
        <f t="shared" si="225"/>
        <v>0</v>
      </c>
      <c r="BL279" s="68">
        <f t="shared" si="225"/>
        <v>0</v>
      </c>
      <c r="BM279" s="68">
        <f t="shared" si="225"/>
        <v>0</v>
      </c>
      <c r="BN279" s="68">
        <f t="shared" si="225"/>
        <v>0</v>
      </c>
      <c r="BO279" s="68">
        <f t="shared" si="225"/>
        <v>0</v>
      </c>
      <c r="BP279" s="68">
        <f t="shared" si="225"/>
        <v>0</v>
      </c>
      <c r="BQ279" s="68">
        <f t="shared" si="225"/>
        <v>0</v>
      </c>
      <c r="BR279" s="68">
        <f t="shared" si="225"/>
        <v>0</v>
      </c>
      <c r="BS279" s="68">
        <f t="shared" si="225"/>
        <v>0</v>
      </c>
      <c r="BT279" s="68">
        <f t="shared" si="225"/>
        <v>0</v>
      </c>
      <c r="BU279" s="68">
        <f t="shared" si="225"/>
        <v>0</v>
      </c>
      <c r="BV279" s="68">
        <f t="shared" si="225"/>
        <v>0</v>
      </c>
      <c r="BW279" s="68">
        <f t="shared" si="225"/>
        <v>0</v>
      </c>
      <c r="BX279" s="68">
        <f t="shared" si="225"/>
        <v>0</v>
      </c>
      <c r="BY279" s="68">
        <f t="shared" si="225"/>
        <v>0</v>
      </c>
      <c r="BZ279" s="68">
        <f t="shared" si="225"/>
        <v>0</v>
      </c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>
        <f t="shared" si="225"/>
        <v>0</v>
      </c>
      <c r="CN279" s="68">
        <f t="shared" si="225"/>
        <v>0</v>
      </c>
      <c r="CO279" s="68">
        <f t="shared" si="225"/>
        <v>0</v>
      </c>
      <c r="CP279" s="68">
        <f t="shared" si="225"/>
        <v>0</v>
      </c>
      <c r="CQ279" s="68">
        <f t="shared" si="225"/>
        <v>0</v>
      </c>
      <c r="CR279" s="68">
        <f t="shared" si="225"/>
        <v>0</v>
      </c>
      <c r="CS279" s="68">
        <f t="shared" si="225"/>
        <v>0</v>
      </c>
      <c r="CT279" s="68">
        <f t="shared" si="225"/>
        <v>0</v>
      </c>
      <c r="CU279" s="68"/>
      <c r="CV279" s="68">
        <f t="shared" si="225"/>
        <v>0</v>
      </c>
      <c r="CW279" s="68">
        <f t="shared" si="225"/>
        <v>0</v>
      </c>
      <c r="CX279" s="68">
        <f t="shared" si="225"/>
        <v>0</v>
      </c>
      <c r="CY279" s="68">
        <f t="shared" si="225"/>
        <v>0</v>
      </c>
      <c r="CZ279" s="68">
        <f t="shared" si="225"/>
        <v>0</v>
      </c>
      <c r="DA279" s="68">
        <f t="shared" si="225"/>
        <v>0</v>
      </c>
      <c r="DB279" s="68">
        <f t="shared" si="225"/>
        <v>0</v>
      </c>
      <c r="DC279" s="68">
        <f t="shared" si="225"/>
        <v>0</v>
      </c>
      <c r="DD279" s="68">
        <f t="shared" si="225"/>
        <v>0</v>
      </c>
      <c r="DE279" s="68">
        <f t="shared" si="225"/>
        <v>0</v>
      </c>
      <c r="DF279" s="68">
        <f t="shared" ref="DF279:EC282" si="229">DF255-DF268</f>
        <v>0</v>
      </c>
      <c r="DG279" s="68">
        <f t="shared" si="229"/>
        <v>0</v>
      </c>
      <c r="DH279" s="68">
        <f t="shared" si="229"/>
        <v>0</v>
      </c>
      <c r="DI279" s="68">
        <f t="shared" si="229"/>
        <v>0</v>
      </c>
      <c r="DJ279" s="68">
        <f t="shared" si="229"/>
        <v>0</v>
      </c>
      <c r="DK279" s="68">
        <f t="shared" si="229"/>
        <v>0</v>
      </c>
      <c r="DL279" s="68">
        <f t="shared" si="229"/>
        <v>0</v>
      </c>
      <c r="DM279" s="68">
        <f t="shared" si="229"/>
        <v>0</v>
      </c>
      <c r="DN279" s="68">
        <f t="shared" si="229"/>
        <v>0</v>
      </c>
      <c r="DO279" s="68">
        <f t="shared" si="229"/>
        <v>0</v>
      </c>
      <c r="DP279" s="68">
        <f t="shared" si="229"/>
        <v>0</v>
      </c>
      <c r="DQ279" s="68">
        <f t="shared" si="229"/>
        <v>0</v>
      </c>
      <c r="DR279" s="68">
        <f t="shared" si="229"/>
        <v>0</v>
      </c>
      <c r="DS279" s="68">
        <f t="shared" si="229"/>
        <v>0</v>
      </c>
      <c r="DT279" s="68">
        <f t="shared" si="229"/>
        <v>0</v>
      </c>
      <c r="DU279" s="68">
        <f t="shared" si="229"/>
        <v>0</v>
      </c>
      <c r="DV279" s="68">
        <f t="shared" si="229"/>
        <v>0</v>
      </c>
      <c r="DW279" s="68">
        <f t="shared" si="229"/>
        <v>0</v>
      </c>
      <c r="DX279" s="68">
        <f t="shared" si="229"/>
        <v>0</v>
      </c>
      <c r="DY279" s="68">
        <f t="shared" si="229"/>
        <v>0</v>
      </c>
      <c r="DZ279" s="68">
        <f t="shared" si="229"/>
        <v>0</v>
      </c>
      <c r="EA279" s="68">
        <f t="shared" si="229"/>
        <v>0</v>
      </c>
      <c r="EB279" s="68">
        <f t="shared" si="229"/>
        <v>0</v>
      </c>
      <c r="EC279" s="68">
        <f t="shared" si="229"/>
        <v>0</v>
      </c>
    </row>
    <row r="280" spans="1:133" s="340" customFormat="1" hidden="1" x14ac:dyDescent="0.2">
      <c r="A280" s="3"/>
      <c r="B280" s="167"/>
      <c r="C280" s="3"/>
      <c r="D280" s="29"/>
      <c r="E280" s="31"/>
      <c r="F280" s="133"/>
      <c r="G280" s="68">
        <f t="shared" ref="G280:AG280" si="230">G256-G269</f>
        <v>0</v>
      </c>
      <c r="H280" s="68">
        <f t="shared" si="230"/>
        <v>0</v>
      </c>
      <c r="I280" s="68">
        <f t="shared" si="230"/>
        <v>0</v>
      </c>
      <c r="J280" s="68">
        <f t="shared" si="230"/>
        <v>0</v>
      </c>
      <c r="K280" s="68">
        <f t="shared" si="230"/>
        <v>0</v>
      </c>
      <c r="L280" s="68">
        <f t="shared" si="230"/>
        <v>0</v>
      </c>
      <c r="M280" s="68">
        <f t="shared" si="230"/>
        <v>0</v>
      </c>
      <c r="N280" s="68">
        <f t="shared" si="230"/>
        <v>0</v>
      </c>
      <c r="O280" s="68">
        <f t="shared" si="230"/>
        <v>0</v>
      </c>
      <c r="P280" s="68">
        <f t="shared" si="230"/>
        <v>0</v>
      </c>
      <c r="Q280" s="68">
        <f t="shared" si="230"/>
        <v>0</v>
      </c>
      <c r="R280" s="68">
        <f t="shared" si="230"/>
        <v>0</v>
      </c>
      <c r="S280" s="68">
        <f t="shared" si="230"/>
        <v>0</v>
      </c>
      <c r="T280" s="68">
        <f t="shared" si="230"/>
        <v>0</v>
      </c>
      <c r="U280" s="68">
        <f t="shared" si="230"/>
        <v>0</v>
      </c>
      <c r="V280" s="68">
        <f t="shared" si="230"/>
        <v>0</v>
      </c>
      <c r="W280" s="68">
        <f t="shared" si="230"/>
        <v>0</v>
      </c>
      <c r="X280" s="68">
        <f t="shared" si="230"/>
        <v>0</v>
      </c>
      <c r="Y280" s="68">
        <f t="shared" si="230"/>
        <v>0</v>
      </c>
      <c r="Z280" s="68">
        <f t="shared" si="230"/>
        <v>0</v>
      </c>
      <c r="AA280" s="68">
        <f t="shared" si="230"/>
        <v>0</v>
      </c>
      <c r="AB280" s="68">
        <f t="shared" si="230"/>
        <v>0</v>
      </c>
      <c r="AC280" s="68">
        <f t="shared" si="230"/>
        <v>0</v>
      </c>
      <c r="AD280" s="68">
        <f t="shared" si="230"/>
        <v>0</v>
      </c>
      <c r="AE280" s="68">
        <f t="shared" si="230"/>
        <v>0</v>
      </c>
      <c r="AF280" s="68">
        <f t="shared" si="230"/>
        <v>0</v>
      </c>
      <c r="AG280" s="68">
        <f t="shared" si="230"/>
        <v>0</v>
      </c>
      <c r="AH280" s="68">
        <f t="shared" si="223"/>
        <v>0</v>
      </c>
      <c r="AI280" s="68">
        <f t="shared" ref="AI280:DF283" si="231">AI256-AI269</f>
        <v>0</v>
      </c>
      <c r="AJ280" s="68">
        <f t="shared" si="231"/>
        <v>0</v>
      </c>
      <c r="AK280" s="68">
        <f t="shared" si="231"/>
        <v>0</v>
      </c>
      <c r="AL280" s="68">
        <f t="shared" si="231"/>
        <v>0</v>
      </c>
      <c r="AM280" s="68">
        <f t="shared" si="231"/>
        <v>0</v>
      </c>
      <c r="AN280" s="68">
        <f t="shared" si="231"/>
        <v>0</v>
      </c>
      <c r="AO280" s="68">
        <f t="shared" si="231"/>
        <v>0</v>
      </c>
      <c r="AP280" s="68">
        <f t="shared" si="231"/>
        <v>0</v>
      </c>
      <c r="AQ280" s="68">
        <f t="shared" si="231"/>
        <v>0</v>
      </c>
      <c r="AR280" s="68">
        <f t="shared" si="231"/>
        <v>0</v>
      </c>
      <c r="AS280" s="68">
        <f t="shared" si="231"/>
        <v>0</v>
      </c>
      <c r="AT280" s="68">
        <f t="shared" si="231"/>
        <v>0</v>
      </c>
      <c r="AU280" s="68">
        <f t="shared" si="231"/>
        <v>0</v>
      </c>
      <c r="AV280" s="68">
        <f t="shared" si="231"/>
        <v>0</v>
      </c>
      <c r="AW280" s="68">
        <f t="shared" si="231"/>
        <v>0</v>
      </c>
      <c r="AX280" s="68">
        <f t="shared" si="231"/>
        <v>0</v>
      </c>
      <c r="AY280" s="68">
        <f t="shared" si="231"/>
        <v>0</v>
      </c>
      <c r="AZ280" s="68">
        <f t="shared" si="231"/>
        <v>0</v>
      </c>
      <c r="BA280" s="68">
        <f t="shared" si="231"/>
        <v>0</v>
      </c>
      <c r="BB280" s="68">
        <f t="shared" si="231"/>
        <v>0</v>
      </c>
      <c r="BC280" s="68">
        <f t="shared" si="231"/>
        <v>0</v>
      </c>
      <c r="BD280" s="68">
        <f t="shared" si="231"/>
        <v>0</v>
      </c>
      <c r="BE280" s="68">
        <f t="shared" si="231"/>
        <v>0</v>
      </c>
      <c r="BF280" s="68">
        <f t="shared" si="231"/>
        <v>0</v>
      </c>
      <c r="BG280" s="68">
        <f t="shared" si="231"/>
        <v>0</v>
      </c>
      <c r="BH280" s="68">
        <f t="shared" si="231"/>
        <v>0</v>
      </c>
      <c r="BI280" s="68">
        <f t="shared" si="231"/>
        <v>0</v>
      </c>
      <c r="BJ280" s="68">
        <f t="shared" si="231"/>
        <v>0</v>
      </c>
      <c r="BK280" s="68">
        <f t="shared" si="231"/>
        <v>0</v>
      </c>
      <c r="BL280" s="68">
        <f t="shared" si="231"/>
        <v>0</v>
      </c>
      <c r="BM280" s="68">
        <f t="shared" si="231"/>
        <v>0</v>
      </c>
      <c r="BN280" s="68">
        <f t="shared" si="231"/>
        <v>0</v>
      </c>
      <c r="BO280" s="68">
        <f t="shared" si="231"/>
        <v>0</v>
      </c>
      <c r="BP280" s="68">
        <f t="shared" si="231"/>
        <v>0</v>
      </c>
      <c r="BQ280" s="68">
        <f t="shared" si="231"/>
        <v>0</v>
      </c>
      <c r="BR280" s="68">
        <f t="shared" si="231"/>
        <v>0</v>
      </c>
      <c r="BS280" s="68">
        <f t="shared" si="231"/>
        <v>0</v>
      </c>
      <c r="BT280" s="68">
        <f t="shared" si="231"/>
        <v>0</v>
      </c>
      <c r="BU280" s="68">
        <f t="shared" si="231"/>
        <v>0</v>
      </c>
      <c r="BV280" s="68">
        <f t="shared" si="231"/>
        <v>0</v>
      </c>
      <c r="BW280" s="68">
        <f t="shared" si="231"/>
        <v>0</v>
      </c>
      <c r="BX280" s="68">
        <f t="shared" si="231"/>
        <v>0</v>
      </c>
      <c r="BY280" s="68">
        <f t="shared" si="231"/>
        <v>0</v>
      </c>
      <c r="BZ280" s="68">
        <f t="shared" si="231"/>
        <v>0</v>
      </c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>
        <f t="shared" si="231"/>
        <v>0</v>
      </c>
      <c r="CN280" s="68">
        <f t="shared" si="231"/>
        <v>0</v>
      </c>
      <c r="CO280" s="68">
        <f t="shared" si="231"/>
        <v>0</v>
      </c>
      <c r="CP280" s="68">
        <f t="shared" si="231"/>
        <v>0</v>
      </c>
      <c r="CQ280" s="68">
        <f t="shared" si="231"/>
        <v>0</v>
      </c>
      <c r="CR280" s="68">
        <f t="shared" si="231"/>
        <v>0</v>
      </c>
      <c r="CS280" s="68">
        <f t="shared" si="231"/>
        <v>0</v>
      </c>
      <c r="CT280" s="68">
        <f t="shared" si="231"/>
        <v>0</v>
      </c>
      <c r="CU280" s="68"/>
      <c r="CV280" s="68">
        <f t="shared" si="231"/>
        <v>0</v>
      </c>
      <c r="CW280" s="68">
        <f t="shared" si="231"/>
        <v>0</v>
      </c>
      <c r="CX280" s="68">
        <f t="shared" si="231"/>
        <v>0</v>
      </c>
      <c r="CY280" s="68">
        <f t="shared" si="231"/>
        <v>0</v>
      </c>
      <c r="CZ280" s="68">
        <f t="shared" si="231"/>
        <v>0</v>
      </c>
      <c r="DA280" s="68">
        <f t="shared" si="231"/>
        <v>0</v>
      </c>
      <c r="DB280" s="68">
        <f t="shared" si="231"/>
        <v>0</v>
      </c>
      <c r="DC280" s="68">
        <f t="shared" si="231"/>
        <v>0</v>
      </c>
      <c r="DD280" s="68">
        <f t="shared" si="231"/>
        <v>0</v>
      </c>
      <c r="DE280" s="68">
        <f t="shared" si="231"/>
        <v>0</v>
      </c>
      <c r="DF280" s="68">
        <f t="shared" si="231"/>
        <v>0</v>
      </c>
      <c r="DG280" s="68">
        <f t="shared" si="229"/>
        <v>0</v>
      </c>
      <c r="DH280" s="68">
        <f t="shared" si="229"/>
        <v>0</v>
      </c>
      <c r="DI280" s="68">
        <f t="shared" si="229"/>
        <v>0</v>
      </c>
      <c r="DJ280" s="68">
        <f t="shared" si="229"/>
        <v>0</v>
      </c>
      <c r="DK280" s="68">
        <f t="shared" si="229"/>
        <v>0</v>
      </c>
      <c r="DL280" s="68">
        <f t="shared" si="229"/>
        <v>0</v>
      </c>
      <c r="DM280" s="68">
        <f t="shared" si="229"/>
        <v>0</v>
      </c>
      <c r="DN280" s="68">
        <f t="shared" si="229"/>
        <v>0</v>
      </c>
      <c r="DO280" s="68">
        <f t="shared" si="229"/>
        <v>0</v>
      </c>
      <c r="DP280" s="68">
        <f t="shared" si="229"/>
        <v>0</v>
      </c>
      <c r="DQ280" s="68">
        <f t="shared" si="229"/>
        <v>0</v>
      </c>
      <c r="DR280" s="68">
        <f t="shared" si="229"/>
        <v>0</v>
      </c>
      <c r="DS280" s="68">
        <f t="shared" si="229"/>
        <v>0</v>
      </c>
      <c r="DT280" s="68">
        <f t="shared" si="229"/>
        <v>0</v>
      </c>
      <c r="DU280" s="68">
        <f t="shared" si="229"/>
        <v>0</v>
      </c>
      <c r="DV280" s="68">
        <f t="shared" si="229"/>
        <v>0</v>
      </c>
      <c r="DW280" s="68">
        <f t="shared" si="229"/>
        <v>0</v>
      </c>
      <c r="DX280" s="68">
        <f t="shared" si="229"/>
        <v>0</v>
      </c>
      <c r="DY280" s="68">
        <f t="shared" si="229"/>
        <v>0</v>
      </c>
      <c r="DZ280" s="68">
        <f t="shared" si="229"/>
        <v>0</v>
      </c>
      <c r="EA280" s="68">
        <f t="shared" si="229"/>
        <v>0</v>
      </c>
      <c r="EB280" s="68">
        <f t="shared" si="229"/>
        <v>0</v>
      </c>
      <c r="EC280" s="68">
        <f t="shared" si="229"/>
        <v>0</v>
      </c>
    </row>
    <row r="281" spans="1:133" s="340" customFormat="1" hidden="1" x14ac:dyDescent="0.2">
      <c r="A281" s="3"/>
      <c r="B281" s="167"/>
      <c r="C281" s="3"/>
      <c r="D281" s="29"/>
      <c r="E281" s="31"/>
      <c r="F281" s="133"/>
      <c r="G281" s="68">
        <f t="shared" ref="G281:AG281" si="232">G257-G270</f>
        <v>0</v>
      </c>
      <c r="H281" s="68">
        <f t="shared" si="232"/>
        <v>0</v>
      </c>
      <c r="I281" s="68">
        <f t="shared" si="232"/>
        <v>0</v>
      </c>
      <c r="J281" s="68">
        <f t="shared" si="232"/>
        <v>0</v>
      </c>
      <c r="K281" s="68">
        <f t="shared" si="232"/>
        <v>0</v>
      </c>
      <c r="L281" s="68">
        <f t="shared" si="232"/>
        <v>0</v>
      </c>
      <c r="M281" s="68">
        <f t="shared" si="232"/>
        <v>0</v>
      </c>
      <c r="N281" s="68">
        <f t="shared" si="232"/>
        <v>0</v>
      </c>
      <c r="O281" s="68">
        <f t="shared" si="232"/>
        <v>0</v>
      </c>
      <c r="P281" s="68">
        <f t="shared" si="232"/>
        <v>0</v>
      </c>
      <c r="Q281" s="68">
        <f t="shared" si="232"/>
        <v>0</v>
      </c>
      <c r="R281" s="68">
        <f t="shared" si="232"/>
        <v>0</v>
      </c>
      <c r="S281" s="68">
        <f t="shared" si="232"/>
        <v>0</v>
      </c>
      <c r="T281" s="68">
        <f t="shared" si="232"/>
        <v>0</v>
      </c>
      <c r="U281" s="68">
        <f t="shared" si="232"/>
        <v>0</v>
      </c>
      <c r="V281" s="68">
        <f t="shared" si="232"/>
        <v>0</v>
      </c>
      <c r="W281" s="68">
        <f t="shared" si="232"/>
        <v>0</v>
      </c>
      <c r="X281" s="68">
        <f t="shared" si="232"/>
        <v>0</v>
      </c>
      <c r="Y281" s="68">
        <f t="shared" si="232"/>
        <v>0</v>
      </c>
      <c r="Z281" s="68">
        <f t="shared" si="232"/>
        <v>0</v>
      </c>
      <c r="AA281" s="68">
        <f t="shared" si="232"/>
        <v>0</v>
      </c>
      <c r="AB281" s="68">
        <f t="shared" si="232"/>
        <v>0</v>
      </c>
      <c r="AC281" s="68">
        <f t="shared" si="232"/>
        <v>0</v>
      </c>
      <c r="AD281" s="68">
        <f t="shared" si="232"/>
        <v>0</v>
      </c>
      <c r="AE281" s="68">
        <f t="shared" si="232"/>
        <v>0</v>
      </c>
      <c r="AF281" s="68">
        <f t="shared" si="232"/>
        <v>0</v>
      </c>
      <c r="AG281" s="68">
        <f t="shared" si="232"/>
        <v>0</v>
      </c>
      <c r="AH281" s="68">
        <f t="shared" si="223"/>
        <v>0</v>
      </c>
      <c r="AI281" s="68">
        <f t="shared" si="231"/>
        <v>0</v>
      </c>
      <c r="AJ281" s="68">
        <f t="shared" si="231"/>
        <v>0</v>
      </c>
      <c r="AK281" s="68">
        <f t="shared" si="231"/>
        <v>0</v>
      </c>
      <c r="AL281" s="68">
        <f t="shared" si="231"/>
        <v>0</v>
      </c>
      <c r="AM281" s="68">
        <f t="shared" si="231"/>
        <v>0</v>
      </c>
      <c r="AN281" s="68">
        <f t="shared" si="231"/>
        <v>0</v>
      </c>
      <c r="AO281" s="68">
        <f t="shared" si="231"/>
        <v>0</v>
      </c>
      <c r="AP281" s="68">
        <f t="shared" si="231"/>
        <v>0</v>
      </c>
      <c r="AQ281" s="68">
        <f t="shared" si="231"/>
        <v>0</v>
      </c>
      <c r="AR281" s="68">
        <f t="shared" si="231"/>
        <v>0</v>
      </c>
      <c r="AS281" s="68">
        <f t="shared" si="231"/>
        <v>0</v>
      </c>
      <c r="AT281" s="68">
        <f t="shared" si="231"/>
        <v>0</v>
      </c>
      <c r="AU281" s="68">
        <f t="shared" si="231"/>
        <v>0</v>
      </c>
      <c r="AV281" s="68">
        <f t="shared" si="231"/>
        <v>0</v>
      </c>
      <c r="AW281" s="68">
        <f t="shared" si="231"/>
        <v>0</v>
      </c>
      <c r="AX281" s="68">
        <f t="shared" si="231"/>
        <v>0</v>
      </c>
      <c r="AY281" s="68">
        <f t="shared" si="231"/>
        <v>0</v>
      </c>
      <c r="AZ281" s="68">
        <f t="shared" si="231"/>
        <v>0</v>
      </c>
      <c r="BA281" s="68">
        <f t="shared" si="231"/>
        <v>0</v>
      </c>
      <c r="BB281" s="68">
        <f t="shared" si="231"/>
        <v>0</v>
      </c>
      <c r="BC281" s="68">
        <f t="shared" si="231"/>
        <v>0</v>
      </c>
      <c r="BD281" s="68">
        <f t="shared" si="231"/>
        <v>0</v>
      </c>
      <c r="BE281" s="68">
        <f t="shared" si="231"/>
        <v>0</v>
      </c>
      <c r="BF281" s="68">
        <f t="shared" si="231"/>
        <v>0</v>
      </c>
      <c r="BG281" s="68">
        <f t="shared" si="231"/>
        <v>0</v>
      </c>
      <c r="BH281" s="68">
        <f t="shared" si="231"/>
        <v>0</v>
      </c>
      <c r="BI281" s="68">
        <f t="shared" si="231"/>
        <v>0</v>
      </c>
      <c r="BJ281" s="68">
        <f t="shared" si="231"/>
        <v>0</v>
      </c>
      <c r="BK281" s="68">
        <f t="shared" si="231"/>
        <v>0</v>
      </c>
      <c r="BL281" s="68">
        <f t="shared" si="231"/>
        <v>0</v>
      </c>
      <c r="BM281" s="68">
        <f t="shared" si="231"/>
        <v>0</v>
      </c>
      <c r="BN281" s="68">
        <f t="shared" si="231"/>
        <v>0</v>
      </c>
      <c r="BO281" s="68">
        <f t="shared" si="231"/>
        <v>0</v>
      </c>
      <c r="BP281" s="68">
        <f t="shared" si="231"/>
        <v>0</v>
      </c>
      <c r="BQ281" s="68">
        <f t="shared" si="231"/>
        <v>0</v>
      </c>
      <c r="BR281" s="68">
        <f t="shared" si="231"/>
        <v>0</v>
      </c>
      <c r="BS281" s="68">
        <f t="shared" si="231"/>
        <v>0</v>
      </c>
      <c r="BT281" s="68">
        <f t="shared" si="231"/>
        <v>0</v>
      </c>
      <c r="BU281" s="68">
        <f t="shared" si="231"/>
        <v>0</v>
      </c>
      <c r="BV281" s="68">
        <f t="shared" si="231"/>
        <v>0</v>
      </c>
      <c r="BW281" s="68">
        <f t="shared" si="231"/>
        <v>0</v>
      </c>
      <c r="BX281" s="68">
        <f t="shared" si="231"/>
        <v>0</v>
      </c>
      <c r="BY281" s="68">
        <f t="shared" si="231"/>
        <v>0</v>
      </c>
      <c r="BZ281" s="68">
        <f t="shared" si="231"/>
        <v>0</v>
      </c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>
        <f t="shared" si="231"/>
        <v>0</v>
      </c>
      <c r="CN281" s="68">
        <f t="shared" si="231"/>
        <v>0</v>
      </c>
      <c r="CO281" s="68">
        <f t="shared" si="231"/>
        <v>0</v>
      </c>
      <c r="CP281" s="68">
        <f t="shared" si="231"/>
        <v>0</v>
      </c>
      <c r="CQ281" s="68">
        <f t="shared" si="231"/>
        <v>0</v>
      </c>
      <c r="CR281" s="68">
        <f t="shared" si="231"/>
        <v>0</v>
      </c>
      <c r="CS281" s="68">
        <f t="shared" si="231"/>
        <v>0</v>
      </c>
      <c r="CT281" s="68">
        <f t="shared" si="231"/>
        <v>0</v>
      </c>
      <c r="CU281" s="68"/>
      <c r="CV281" s="68">
        <f t="shared" si="231"/>
        <v>0</v>
      </c>
      <c r="CW281" s="68">
        <f t="shared" si="231"/>
        <v>0</v>
      </c>
      <c r="CX281" s="68">
        <f t="shared" si="231"/>
        <v>0</v>
      </c>
      <c r="CY281" s="68">
        <f t="shared" si="231"/>
        <v>0</v>
      </c>
      <c r="CZ281" s="68">
        <f t="shared" si="231"/>
        <v>0</v>
      </c>
      <c r="DA281" s="68">
        <f t="shared" si="231"/>
        <v>0</v>
      </c>
      <c r="DB281" s="68">
        <f t="shared" si="231"/>
        <v>0</v>
      </c>
      <c r="DC281" s="68">
        <f t="shared" si="231"/>
        <v>0</v>
      </c>
      <c r="DD281" s="68">
        <f t="shared" si="231"/>
        <v>0</v>
      </c>
      <c r="DE281" s="68">
        <f t="shared" si="231"/>
        <v>0</v>
      </c>
      <c r="DF281" s="68">
        <f t="shared" si="231"/>
        <v>0</v>
      </c>
      <c r="DG281" s="68">
        <f t="shared" si="229"/>
        <v>0</v>
      </c>
      <c r="DH281" s="68">
        <f t="shared" si="229"/>
        <v>0</v>
      </c>
      <c r="DI281" s="68">
        <f t="shared" si="229"/>
        <v>0</v>
      </c>
      <c r="DJ281" s="68">
        <f t="shared" si="229"/>
        <v>0</v>
      </c>
      <c r="DK281" s="68">
        <f t="shared" si="229"/>
        <v>0</v>
      </c>
      <c r="DL281" s="68">
        <f t="shared" si="229"/>
        <v>0</v>
      </c>
      <c r="DM281" s="68">
        <f t="shared" si="229"/>
        <v>0</v>
      </c>
      <c r="DN281" s="68">
        <f t="shared" si="229"/>
        <v>0</v>
      </c>
      <c r="DO281" s="68">
        <f t="shared" si="229"/>
        <v>0</v>
      </c>
      <c r="DP281" s="68">
        <f t="shared" si="229"/>
        <v>0</v>
      </c>
      <c r="DQ281" s="68">
        <f t="shared" si="229"/>
        <v>0</v>
      </c>
      <c r="DR281" s="68">
        <f t="shared" si="229"/>
        <v>0</v>
      </c>
      <c r="DS281" s="68">
        <f t="shared" si="229"/>
        <v>0</v>
      </c>
      <c r="DT281" s="68">
        <f t="shared" si="229"/>
        <v>0</v>
      </c>
      <c r="DU281" s="68">
        <f t="shared" si="229"/>
        <v>0</v>
      </c>
      <c r="DV281" s="68">
        <f t="shared" si="229"/>
        <v>0</v>
      </c>
      <c r="DW281" s="68">
        <f t="shared" si="229"/>
        <v>0</v>
      </c>
      <c r="DX281" s="68">
        <f t="shared" si="229"/>
        <v>0</v>
      </c>
      <c r="DY281" s="68">
        <f t="shared" si="229"/>
        <v>0</v>
      </c>
      <c r="DZ281" s="68">
        <f t="shared" si="229"/>
        <v>0</v>
      </c>
      <c r="EA281" s="68">
        <f t="shared" si="229"/>
        <v>0</v>
      </c>
      <c r="EB281" s="68">
        <f t="shared" si="229"/>
        <v>0</v>
      </c>
      <c r="EC281" s="68">
        <f t="shared" si="229"/>
        <v>0</v>
      </c>
    </row>
    <row r="282" spans="1:133" s="340" customFormat="1" hidden="1" x14ac:dyDescent="0.2">
      <c r="A282" s="3"/>
      <c r="B282" s="167"/>
      <c r="C282" s="3"/>
      <c r="D282" s="29"/>
      <c r="E282" s="31"/>
      <c r="F282" s="133"/>
      <c r="G282" s="68">
        <f t="shared" ref="G282:AG282" si="233">G258-G271</f>
        <v>0</v>
      </c>
      <c r="H282" s="68">
        <f t="shared" si="233"/>
        <v>0</v>
      </c>
      <c r="I282" s="68">
        <f t="shared" si="233"/>
        <v>0</v>
      </c>
      <c r="J282" s="68">
        <f t="shared" si="233"/>
        <v>0</v>
      </c>
      <c r="K282" s="68">
        <f t="shared" si="233"/>
        <v>0</v>
      </c>
      <c r="L282" s="68">
        <f t="shared" si="233"/>
        <v>0</v>
      </c>
      <c r="M282" s="68">
        <f t="shared" si="233"/>
        <v>0</v>
      </c>
      <c r="N282" s="68">
        <f t="shared" si="233"/>
        <v>0</v>
      </c>
      <c r="O282" s="68">
        <f t="shared" si="233"/>
        <v>0</v>
      </c>
      <c r="P282" s="68">
        <f t="shared" si="233"/>
        <v>0</v>
      </c>
      <c r="Q282" s="68">
        <f t="shared" si="233"/>
        <v>0</v>
      </c>
      <c r="R282" s="68">
        <f t="shared" si="233"/>
        <v>0</v>
      </c>
      <c r="S282" s="68">
        <f t="shared" si="233"/>
        <v>0</v>
      </c>
      <c r="T282" s="68">
        <f t="shared" si="233"/>
        <v>0</v>
      </c>
      <c r="U282" s="68">
        <f t="shared" si="233"/>
        <v>0</v>
      </c>
      <c r="V282" s="68">
        <f t="shared" si="233"/>
        <v>0</v>
      </c>
      <c r="W282" s="68">
        <f t="shared" si="233"/>
        <v>0</v>
      </c>
      <c r="X282" s="68">
        <f t="shared" si="233"/>
        <v>0</v>
      </c>
      <c r="Y282" s="68">
        <f t="shared" si="233"/>
        <v>0</v>
      </c>
      <c r="Z282" s="68">
        <f t="shared" si="233"/>
        <v>0</v>
      </c>
      <c r="AA282" s="68">
        <f t="shared" si="233"/>
        <v>0</v>
      </c>
      <c r="AB282" s="68">
        <f t="shared" si="233"/>
        <v>0</v>
      </c>
      <c r="AC282" s="68">
        <f t="shared" si="233"/>
        <v>0</v>
      </c>
      <c r="AD282" s="68">
        <f t="shared" si="233"/>
        <v>0</v>
      </c>
      <c r="AE282" s="68">
        <f t="shared" si="233"/>
        <v>0</v>
      </c>
      <c r="AF282" s="68">
        <f t="shared" si="233"/>
        <v>0</v>
      </c>
      <c r="AG282" s="68">
        <f t="shared" si="233"/>
        <v>0</v>
      </c>
      <c r="AH282" s="68">
        <f t="shared" si="223"/>
        <v>0</v>
      </c>
      <c r="AI282" s="68">
        <f t="shared" si="231"/>
        <v>0</v>
      </c>
      <c r="AJ282" s="68">
        <f t="shared" si="231"/>
        <v>0</v>
      </c>
      <c r="AK282" s="68">
        <f t="shared" si="231"/>
        <v>0</v>
      </c>
      <c r="AL282" s="68">
        <f t="shared" si="231"/>
        <v>0</v>
      </c>
      <c r="AM282" s="68">
        <f t="shared" si="231"/>
        <v>0</v>
      </c>
      <c r="AN282" s="68">
        <f t="shared" si="231"/>
        <v>0</v>
      </c>
      <c r="AO282" s="68">
        <f t="shared" si="231"/>
        <v>0</v>
      </c>
      <c r="AP282" s="68">
        <f t="shared" si="231"/>
        <v>0</v>
      </c>
      <c r="AQ282" s="68">
        <f t="shared" si="231"/>
        <v>0</v>
      </c>
      <c r="AR282" s="68">
        <f t="shared" si="231"/>
        <v>0</v>
      </c>
      <c r="AS282" s="68">
        <f t="shared" si="231"/>
        <v>0</v>
      </c>
      <c r="AT282" s="68">
        <f t="shared" si="231"/>
        <v>0</v>
      </c>
      <c r="AU282" s="68">
        <f t="shared" si="231"/>
        <v>0</v>
      </c>
      <c r="AV282" s="68">
        <f t="shared" si="231"/>
        <v>0</v>
      </c>
      <c r="AW282" s="68">
        <f t="shared" si="231"/>
        <v>0</v>
      </c>
      <c r="AX282" s="68">
        <f t="shared" si="231"/>
        <v>0</v>
      </c>
      <c r="AY282" s="68">
        <f t="shared" si="231"/>
        <v>0</v>
      </c>
      <c r="AZ282" s="68">
        <f t="shared" si="231"/>
        <v>0</v>
      </c>
      <c r="BA282" s="68">
        <f t="shared" si="231"/>
        <v>0</v>
      </c>
      <c r="BB282" s="68">
        <f t="shared" si="231"/>
        <v>0</v>
      </c>
      <c r="BC282" s="68">
        <f t="shared" si="231"/>
        <v>0</v>
      </c>
      <c r="BD282" s="68">
        <f t="shared" si="231"/>
        <v>0</v>
      </c>
      <c r="BE282" s="68">
        <f t="shared" si="231"/>
        <v>0</v>
      </c>
      <c r="BF282" s="68">
        <f t="shared" si="231"/>
        <v>0</v>
      </c>
      <c r="BG282" s="68">
        <f t="shared" si="231"/>
        <v>0</v>
      </c>
      <c r="BH282" s="68">
        <f t="shared" si="231"/>
        <v>0</v>
      </c>
      <c r="BI282" s="68">
        <f t="shared" si="231"/>
        <v>0</v>
      </c>
      <c r="BJ282" s="68">
        <f t="shared" si="231"/>
        <v>0</v>
      </c>
      <c r="BK282" s="68">
        <f t="shared" si="231"/>
        <v>0</v>
      </c>
      <c r="BL282" s="68">
        <f t="shared" si="231"/>
        <v>0</v>
      </c>
      <c r="BM282" s="68">
        <f t="shared" si="231"/>
        <v>0</v>
      </c>
      <c r="BN282" s="68">
        <f t="shared" si="231"/>
        <v>0</v>
      </c>
      <c r="BO282" s="68">
        <f t="shared" si="231"/>
        <v>0</v>
      </c>
      <c r="BP282" s="68">
        <f t="shared" si="231"/>
        <v>0</v>
      </c>
      <c r="BQ282" s="68">
        <f t="shared" si="231"/>
        <v>0</v>
      </c>
      <c r="BR282" s="68">
        <f t="shared" si="231"/>
        <v>0</v>
      </c>
      <c r="BS282" s="68">
        <f t="shared" si="231"/>
        <v>0</v>
      </c>
      <c r="BT282" s="68">
        <f t="shared" si="231"/>
        <v>0</v>
      </c>
      <c r="BU282" s="68">
        <f t="shared" si="231"/>
        <v>0</v>
      </c>
      <c r="BV282" s="68">
        <f t="shared" si="231"/>
        <v>0</v>
      </c>
      <c r="BW282" s="68">
        <f t="shared" si="231"/>
        <v>0</v>
      </c>
      <c r="BX282" s="68">
        <f t="shared" si="231"/>
        <v>0</v>
      </c>
      <c r="BY282" s="68">
        <f t="shared" si="231"/>
        <v>0</v>
      </c>
      <c r="BZ282" s="68">
        <f t="shared" si="231"/>
        <v>0</v>
      </c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>
        <f t="shared" si="231"/>
        <v>0</v>
      </c>
      <c r="CN282" s="68">
        <f t="shared" si="231"/>
        <v>0</v>
      </c>
      <c r="CO282" s="68">
        <f t="shared" si="231"/>
        <v>0</v>
      </c>
      <c r="CP282" s="68">
        <f t="shared" si="231"/>
        <v>0</v>
      </c>
      <c r="CQ282" s="68">
        <f t="shared" si="231"/>
        <v>0</v>
      </c>
      <c r="CR282" s="68">
        <f t="shared" si="231"/>
        <v>0</v>
      </c>
      <c r="CS282" s="68">
        <f t="shared" si="231"/>
        <v>0</v>
      </c>
      <c r="CT282" s="68">
        <f t="shared" si="231"/>
        <v>0</v>
      </c>
      <c r="CU282" s="68"/>
      <c r="CV282" s="68">
        <f t="shared" si="231"/>
        <v>0</v>
      </c>
      <c r="CW282" s="68">
        <f t="shared" si="231"/>
        <v>0</v>
      </c>
      <c r="CX282" s="68">
        <f t="shared" si="231"/>
        <v>0</v>
      </c>
      <c r="CY282" s="68">
        <f t="shared" si="231"/>
        <v>0</v>
      </c>
      <c r="CZ282" s="68">
        <f t="shared" si="231"/>
        <v>0</v>
      </c>
      <c r="DA282" s="68">
        <f t="shared" si="231"/>
        <v>0</v>
      </c>
      <c r="DB282" s="68">
        <f t="shared" si="231"/>
        <v>0</v>
      </c>
      <c r="DC282" s="68">
        <f t="shared" si="231"/>
        <v>0</v>
      </c>
      <c r="DD282" s="68">
        <f t="shared" si="231"/>
        <v>0</v>
      </c>
      <c r="DE282" s="68">
        <f t="shared" si="231"/>
        <v>0</v>
      </c>
      <c r="DF282" s="68">
        <f t="shared" si="231"/>
        <v>0</v>
      </c>
      <c r="DG282" s="68">
        <f t="shared" si="229"/>
        <v>0</v>
      </c>
      <c r="DH282" s="68">
        <f t="shared" si="229"/>
        <v>0</v>
      </c>
      <c r="DI282" s="68">
        <f t="shared" si="229"/>
        <v>0</v>
      </c>
      <c r="DJ282" s="68">
        <f t="shared" si="229"/>
        <v>0</v>
      </c>
      <c r="DK282" s="68">
        <f t="shared" si="229"/>
        <v>0</v>
      </c>
      <c r="DL282" s="68">
        <f t="shared" si="229"/>
        <v>0</v>
      </c>
      <c r="DM282" s="68">
        <f t="shared" si="229"/>
        <v>0</v>
      </c>
      <c r="DN282" s="68">
        <f t="shared" si="229"/>
        <v>0</v>
      </c>
      <c r="DO282" s="68">
        <f t="shared" si="229"/>
        <v>0</v>
      </c>
      <c r="DP282" s="68">
        <f t="shared" si="229"/>
        <v>0</v>
      </c>
      <c r="DQ282" s="68">
        <f t="shared" si="229"/>
        <v>0</v>
      </c>
      <c r="DR282" s="68">
        <f t="shared" si="229"/>
        <v>0</v>
      </c>
      <c r="DS282" s="68">
        <f t="shared" si="229"/>
        <v>0</v>
      </c>
      <c r="DT282" s="68">
        <f t="shared" si="229"/>
        <v>0</v>
      </c>
      <c r="DU282" s="68">
        <f t="shared" si="229"/>
        <v>0</v>
      </c>
      <c r="DV282" s="68">
        <f t="shared" si="229"/>
        <v>0</v>
      </c>
      <c r="DW282" s="68">
        <f t="shared" si="229"/>
        <v>0</v>
      </c>
      <c r="DX282" s="68">
        <f t="shared" si="229"/>
        <v>0</v>
      </c>
      <c r="DY282" s="68">
        <f t="shared" si="229"/>
        <v>0</v>
      </c>
      <c r="DZ282" s="68">
        <f t="shared" si="229"/>
        <v>0</v>
      </c>
      <c r="EA282" s="68">
        <f t="shared" si="229"/>
        <v>0</v>
      </c>
      <c r="EB282" s="68">
        <f t="shared" si="229"/>
        <v>0</v>
      </c>
      <c r="EC282" s="68">
        <f t="shared" si="229"/>
        <v>0</v>
      </c>
    </row>
    <row r="283" spans="1:133" s="340" customFormat="1" hidden="1" x14ac:dyDescent="0.2">
      <c r="A283" s="3"/>
      <c r="B283" s="167"/>
      <c r="C283" s="3"/>
      <c r="D283" s="29"/>
      <c r="E283" s="31"/>
      <c r="F283" s="133"/>
      <c r="G283" s="68">
        <f t="shared" ref="G283:AG283" si="234">G259-G272</f>
        <v>0</v>
      </c>
      <c r="H283" s="68">
        <f t="shared" si="234"/>
        <v>0</v>
      </c>
      <c r="I283" s="68">
        <f t="shared" si="234"/>
        <v>0</v>
      </c>
      <c r="J283" s="68">
        <f t="shared" si="234"/>
        <v>0</v>
      </c>
      <c r="K283" s="68">
        <f t="shared" si="234"/>
        <v>0</v>
      </c>
      <c r="L283" s="68">
        <f t="shared" si="234"/>
        <v>0</v>
      </c>
      <c r="M283" s="68">
        <f t="shared" si="234"/>
        <v>0</v>
      </c>
      <c r="N283" s="68">
        <f t="shared" si="234"/>
        <v>0</v>
      </c>
      <c r="O283" s="68">
        <f t="shared" si="234"/>
        <v>0</v>
      </c>
      <c r="P283" s="68">
        <f t="shared" si="234"/>
        <v>0</v>
      </c>
      <c r="Q283" s="68">
        <f t="shared" si="234"/>
        <v>0</v>
      </c>
      <c r="R283" s="68">
        <f t="shared" si="234"/>
        <v>0</v>
      </c>
      <c r="S283" s="68">
        <f t="shared" si="234"/>
        <v>0</v>
      </c>
      <c r="T283" s="68">
        <f t="shared" si="234"/>
        <v>0</v>
      </c>
      <c r="U283" s="68">
        <f t="shared" si="234"/>
        <v>0</v>
      </c>
      <c r="V283" s="68">
        <f t="shared" si="234"/>
        <v>0</v>
      </c>
      <c r="W283" s="68">
        <f t="shared" si="234"/>
        <v>0</v>
      </c>
      <c r="X283" s="68">
        <f t="shared" si="234"/>
        <v>0</v>
      </c>
      <c r="Y283" s="68">
        <f t="shared" si="234"/>
        <v>0</v>
      </c>
      <c r="Z283" s="68">
        <f t="shared" si="234"/>
        <v>0</v>
      </c>
      <c r="AA283" s="68">
        <f t="shared" si="234"/>
        <v>0</v>
      </c>
      <c r="AB283" s="68">
        <f t="shared" si="234"/>
        <v>0</v>
      </c>
      <c r="AC283" s="68">
        <f t="shared" si="234"/>
        <v>0</v>
      </c>
      <c r="AD283" s="68">
        <f t="shared" si="234"/>
        <v>0</v>
      </c>
      <c r="AE283" s="68">
        <f t="shared" si="234"/>
        <v>0</v>
      </c>
      <c r="AF283" s="68">
        <f t="shared" si="234"/>
        <v>0</v>
      </c>
      <c r="AG283" s="68">
        <f t="shared" si="234"/>
        <v>0</v>
      </c>
      <c r="AH283" s="68">
        <f t="shared" si="223"/>
        <v>0</v>
      </c>
      <c r="AI283" s="68">
        <f t="shared" si="231"/>
        <v>0</v>
      </c>
      <c r="AJ283" s="68">
        <f t="shared" si="231"/>
        <v>0</v>
      </c>
      <c r="AK283" s="68">
        <f t="shared" si="231"/>
        <v>0</v>
      </c>
      <c r="AL283" s="68">
        <f t="shared" si="231"/>
        <v>0</v>
      </c>
      <c r="AM283" s="68">
        <f t="shared" si="231"/>
        <v>0</v>
      </c>
      <c r="AN283" s="68">
        <f t="shared" si="231"/>
        <v>0</v>
      </c>
      <c r="AO283" s="68">
        <f t="shared" si="231"/>
        <v>0</v>
      </c>
      <c r="AP283" s="68">
        <f t="shared" si="231"/>
        <v>0</v>
      </c>
      <c r="AQ283" s="68">
        <f t="shared" si="231"/>
        <v>0</v>
      </c>
      <c r="AR283" s="68">
        <f t="shared" si="231"/>
        <v>0</v>
      </c>
      <c r="AS283" s="68">
        <f t="shared" si="231"/>
        <v>0</v>
      </c>
      <c r="AT283" s="68">
        <f t="shared" si="231"/>
        <v>0</v>
      </c>
      <c r="AU283" s="68">
        <f t="shared" si="231"/>
        <v>0</v>
      </c>
      <c r="AV283" s="68">
        <f t="shared" si="231"/>
        <v>0</v>
      </c>
      <c r="AW283" s="68">
        <f t="shared" si="231"/>
        <v>0</v>
      </c>
      <c r="AX283" s="68">
        <f t="shared" si="231"/>
        <v>0</v>
      </c>
      <c r="AY283" s="68">
        <f t="shared" si="231"/>
        <v>0</v>
      </c>
      <c r="AZ283" s="68">
        <f t="shared" si="231"/>
        <v>0</v>
      </c>
      <c r="BA283" s="68">
        <f t="shared" si="231"/>
        <v>0</v>
      </c>
      <c r="BB283" s="68">
        <f t="shared" si="231"/>
        <v>0</v>
      </c>
      <c r="BC283" s="68">
        <f t="shared" si="231"/>
        <v>0</v>
      </c>
      <c r="BD283" s="68">
        <f t="shared" si="231"/>
        <v>0</v>
      </c>
      <c r="BE283" s="68">
        <f t="shared" si="231"/>
        <v>0</v>
      </c>
      <c r="BF283" s="68">
        <f t="shared" si="231"/>
        <v>0</v>
      </c>
      <c r="BG283" s="68">
        <f t="shared" si="231"/>
        <v>0</v>
      </c>
      <c r="BH283" s="68">
        <f t="shared" si="231"/>
        <v>0</v>
      </c>
      <c r="BI283" s="68">
        <f t="shared" si="231"/>
        <v>0</v>
      </c>
      <c r="BJ283" s="68">
        <f t="shared" si="231"/>
        <v>0</v>
      </c>
      <c r="BK283" s="68">
        <f t="shared" si="231"/>
        <v>0</v>
      </c>
      <c r="BL283" s="68">
        <f t="shared" si="231"/>
        <v>0</v>
      </c>
      <c r="BM283" s="68">
        <f t="shared" si="231"/>
        <v>0</v>
      </c>
      <c r="BN283" s="68">
        <f t="shared" si="231"/>
        <v>0</v>
      </c>
      <c r="BO283" s="68">
        <f t="shared" si="231"/>
        <v>0</v>
      </c>
      <c r="BP283" s="68">
        <f t="shared" si="231"/>
        <v>0</v>
      </c>
      <c r="BQ283" s="68">
        <f t="shared" si="231"/>
        <v>0</v>
      </c>
      <c r="BR283" s="68">
        <f t="shared" si="231"/>
        <v>0</v>
      </c>
      <c r="BS283" s="68">
        <f t="shared" si="231"/>
        <v>0</v>
      </c>
      <c r="BT283" s="68">
        <f t="shared" si="231"/>
        <v>0</v>
      </c>
      <c r="BU283" s="68">
        <f t="shared" si="231"/>
        <v>0</v>
      </c>
      <c r="BV283" s="68">
        <f t="shared" si="231"/>
        <v>0</v>
      </c>
      <c r="BW283" s="68">
        <f t="shared" si="231"/>
        <v>0</v>
      </c>
      <c r="BX283" s="68">
        <f t="shared" si="231"/>
        <v>0</v>
      </c>
      <c r="BY283" s="68">
        <f t="shared" si="231"/>
        <v>0</v>
      </c>
      <c r="BZ283" s="68">
        <f t="shared" si="231"/>
        <v>0</v>
      </c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>
        <f t="shared" si="231"/>
        <v>0</v>
      </c>
      <c r="CN283" s="68">
        <f t="shared" si="231"/>
        <v>0</v>
      </c>
      <c r="CO283" s="68">
        <f t="shared" si="231"/>
        <v>0</v>
      </c>
      <c r="CP283" s="68">
        <f t="shared" si="231"/>
        <v>0</v>
      </c>
      <c r="CQ283" s="68">
        <f t="shared" si="231"/>
        <v>0</v>
      </c>
      <c r="CR283" s="68">
        <f t="shared" si="231"/>
        <v>0</v>
      </c>
      <c r="CS283" s="68">
        <f t="shared" si="231"/>
        <v>0</v>
      </c>
      <c r="CT283" s="68">
        <f t="shared" si="231"/>
        <v>0</v>
      </c>
      <c r="CU283" s="68"/>
      <c r="CV283" s="68">
        <f t="shared" si="231"/>
        <v>0</v>
      </c>
      <c r="CW283" s="68">
        <f t="shared" si="231"/>
        <v>0</v>
      </c>
      <c r="CX283" s="68">
        <f t="shared" si="231"/>
        <v>0</v>
      </c>
      <c r="CY283" s="68">
        <f t="shared" si="231"/>
        <v>0</v>
      </c>
      <c r="CZ283" s="68">
        <f t="shared" si="231"/>
        <v>0</v>
      </c>
      <c r="DA283" s="68">
        <f t="shared" si="231"/>
        <v>0</v>
      </c>
      <c r="DB283" s="68">
        <f t="shared" si="231"/>
        <v>0</v>
      </c>
      <c r="DC283" s="68">
        <f t="shared" si="231"/>
        <v>0</v>
      </c>
      <c r="DD283" s="68">
        <f t="shared" si="231"/>
        <v>0</v>
      </c>
      <c r="DE283" s="68">
        <f t="shared" si="231"/>
        <v>0</v>
      </c>
      <c r="DF283" s="68">
        <f t="shared" ref="DF283:EC283" si="235">DF259-DF272</f>
        <v>0</v>
      </c>
      <c r="DG283" s="68">
        <f t="shared" si="235"/>
        <v>0</v>
      </c>
      <c r="DH283" s="68">
        <f t="shared" si="235"/>
        <v>0</v>
      </c>
      <c r="DI283" s="68">
        <f t="shared" si="235"/>
        <v>0</v>
      </c>
      <c r="DJ283" s="68">
        <f t="shared" si="235"/>
        <v>0</v>
      </c>
      <c r="DK283" s="68">
        <f t="shared" si="235"/>
        <v>0</v>
      </c>
      <c r="DL283" s="68">
        <f t="shared" si="235"/>
        <v>0</v>
      </c>
      <c r="DM283" s="68">
        <f t="shared" si="235"/>
        <v>0</v>
      </c>
      <c r="DN283" s="68">
        <f t="shared" si="235"/>
        <v>0</v>
      </c>
      <c r="DO283" s="68">
        <f t="shared" si="235"/>
        <v>0</v>
      </c>
      <c r="DP283" s="68">
        <f t="shared" si="235"/>
        <v>0</v>
      </c>
      <c r="DQ283" s="68">
        <f t="shared" si="235"/>
        <v>0</v>
      </c>
      <c r="DR283" s="68">
        <f t="shared" si="235"/>
        <v>0</v>
      </c>
      <c r="DS283" s="68">
        <f t="shared" si="235"/>
        <v>0</v>
      </c>
      <c r="DT283" s="68">
        <f t="shared" si="235"/>
        <v>0</v>
      </c>
      <c r="DU283" s="68">
        <f t="shared" si="235"/>
        <v>0</v>
      </c>
      <c r="DV283" s="68">
        <f t="shared" si="235"/>
        <v>0</v>
      </c>
      <c r="DW283" s="68">
        <f t="shared" si="235"/>
        <v>0</v>
      </c>
      <c r="DX283" s="68">
        <f t="shared" si="235"/>
        <v>0</v>
      </c>
      <c r="DY283" s="68">
        <f t="shared" si="235"/>
        <v>0</v>
      </c>
      <c r="DZ283" s="68">
        <f t="shared" si="235"/>
        <v>0</v>
      </c>
      <c r="EA283" s="68">
        <f t="shared" si="235"/>
        <v>0</v>
      </c>
      <c r="EB283" s="68">
        <f t="shared" si="235"/>
        <v>0</v>
      </c>
      <c r="EC283" s="68">
        <f t="shared" si="235"/>
        <v>0</v>
      </c>
    </row>
    <row r="284" spans="1:133" hidden="1" x14ac:dyDescent="0.2">
      <c r="D284" s="29"/>
      <c r="E284" s="31"/>
      <c r="F284" s="133"/>
      <c r="H284" s="31"/>
      <c r="I284" s="31"/>
      <c r="R284" s="32"/>
      <c r="S284" s="32"/>
      <c r="U284" s="33"/>
      <c r="V284" s="33"/>
      <c r="AD284" s="32"/>
      <c r="DB284" s="365"/>
    </row>
    <row r="285" spans="1:133" hidden="1" x14ac:dyDescent="0.2">
      <c r="D285" s="29"/>
      <c r="E285" s="31"/>
      <c r="F285" s="133"/>
      <c r="H285" s="31"/>
      <c r="I285" s="31"/>
      <c r="R285" s="32"/>
      <c r="S285" s="32"/>
      <c r="U285" s="33"/>
      <c r="V285" s="33"/>
      <c r="AD285" s="32"/>
      <c r="DB285" s="365"/>
    </row>
    <row r="286" spans="1:133" hidden="1" x14ac:dyDescent="0.2">
      <c r="D286" s="29"/>
      <c r="E286" s="31"/>
      <c r="F286" s="133"/>
      <c r="H286" s="31"/>
      <c r="I286" s="31"/>
      <c r="R286" s="32"/>
      <c r="S286" s="32"/>
      <c r="U286" s="33"/>
      <c r="V286" s="33"/>
      <c r="AD286" s="32"/>
      <c r="DB286" s="365"/>
    </row>
    <row r="287" spans="1:133" hidden="1" x14ac:dyDescent="0.2">
      <c r="D287" s="29"/>
      <c r="E287" s="31"/>
      <c r="F287" s="133"/>
      <c r="H287" s="31"/>
      <c r="I287" s="31"/>
      <c r="R287" s="32"/>
      <c r="S287" s="32"/>
      <c r="U287" s="33"/>
      <c r="V287" s="33"/>
      <c r="AD287" s="32"/>
      <c r="DB287" s="365"/>
    </row>
    <row r="288" spans="1:133" hidden="1" x14ac:dyDescent="0.2">
      <c r="D288" s="29"/>
      <c r="E288" s="31"/>
      <c r="F288" s="133"/>
      <c r="H288" s="31"/>
      <c r="I288" s="31"/>
      <c r="R288" s="32"/>
      <c r="S288" s="32"/>
      <c r="U288" s="33"/>
      <c r="V288" s="33"/>
      <c r="AD288" s="32"/>
      <c r="DB288" s="365"/>
    </row>
    <row r="289" spans="1:138" s="341" customFormat="1" hidden="1" x14ac:dyDescent="0.2">
      <c r="A289" s="3"/>
      <c r="B289" s="167"/>
      <c r="C289" s="3"/>
      <c r="D289" s="29"/>
      <c r="E289" s="31"/>
      <c r="F289" s="133"/>
      <c r="G289" s="68">
        <f>G248-G250</f>
        <v>0</v>
      </c>
      <c r="H289" s="68">
        <f t="shared" ref="H289:BS289" si="236">H248-H250</f>
        <v>0</v>
      </c>
      <c r="I289" s="68">
        <f t="shared" si="236"/>
        <v>0</v>
      </c>
      <c r="J289" s="68">
        <f t="shared" si="236"/>
        <v>0</v>
      </c>
      <c r="K289" s="68">
        <f t="shared" si="236"/>
        <v>0</v>
      </c>
      <c r="L289" s="68">
        <f t="shared" si="236"/>
        <v>0</v>
      </c>
      <c r="M289" s="68">
        <f t="shared" si="236"/>
        <v>0</v>
      </c>
      <c r="N289" s="68">
        <f t="shared" si="236"/>
        <v>0</v>
      </c>
      <c r="O289" s="68">
        <f t="shared" si="236"/>
        <v>0</v>
      </c>
      <c r="P289" s="68">
        <f t="shared" si="236"/>
        <v>0</v>
      </c>
      <c r="Q289" s="68">
        <f t="shared" si="236"/>
        <v>0</v>
      </c>
      <c r="R289" s="68">
        <f t="shared" si="236"/>
        <v>0</v>
      </c>
      <c r="S289" s="68">
        <f t="shared" si="236"/>
        <v>0</v>
      </c>
      <c r="T289" s="68">
        <f t="shared" si="236"/>
        <v>0</v>
      </c>
      <c r="U289" s="68">
        <f t="shared" si="236"/>
        <v>0</v>
      </c>
      <c r="V289" s="68">
        <f t="shared" si="236"/>
        <v>0</v>
      </c>
      <c r="W289" s="68">
        <f t="shared" si="236"/>
        <v>0</v>
      </c>
      <c r="X289" s="68">
        <f t="shared" si="236"/>
        <v>0</v>
      </c>
      <c r="Y289" s="68">
        <f t="shared" si="236"/>
        <v>0</v>
      </c>
      <c r="Z289" s="68">
        <f t="shared" si="236"/>
        <v>0</v>
      </c>
      <c r="AA289" s="68">
        <f t="shared" si="236"/>
        <v>0</v>
      </c>
      <c r="AB289" s="68">
        <f t="shared" si="236"/>
        <v>0</v>
      </c>
      <c r="AC289" s="68">
        <f t="shared" si="236"/>
        <v>0</v>
      </c>
      <c r="AD289" s="68">
        <f t="shared" si="236"/>
        <v>0</v>
      </c>
      <c r="AE289" s="68">
        <f t="shared" si="236"/>
        <v>0</v>
      </c>
      <c r="AF289" s="68">
        <f t="shared" si="236"/>
        <v>0</v>
      </c>
      <c r="AG289" s="68">
        <f t="shared" si="236"/>
        <v>0</v>
      </c>
      <c r="AH289" s="68">
        <f t="shared" si="236"/>
        <v>0</v>
      </c>
      <c r="AI289" s="68">
        <f t="shared" si="236"/>
        <v>0</v>
      </c>
      <c r="AJ289" s="68">
        <f t="shared" si="236"/>
        <v>0</v>
      </c>
      <c r="AK289" s="68">
        <f t="shared" si="236"/>
        <v>0</v>
      </c>
      <c r="AL289" s="68">
        <f t="shared" si="236"/>
        <v>0</v>
      </c>
      <c r="AM289" s="68">
        <f t="shared" si="236"/>
        <v>0</v>
      </c>
      <c r="AN289" s="68">
        <f t="shared" si="236"/>
        <v>0</v>
      </c>
      <c r="AO289" s="68">
        <f t="shared" si="236"/>
        <v>0</v>
      </c>
      <c r="AP289" s="68">
        <f t="shared" si="236"/>
        <v>0</v>
      </c>
      <c r="AQ289" s="68">
        <f t="shared" si="236"/>
        <v>0</v>
      </c>
      <c r="AR289" s="68">
        <f t="shared" si="236"/>
        <v>0</v>
      </c>
      <c r="AS289" s="68">
        <f t="shared" si="236"/>
        <v>0</v>
      </c>
      <c r="AT289" s="68">
        <f t="shared" si="236"/>
        <v>0</v>
      </c>
      <c r="AU289" s="68">
        <f t="shared" si="236"/>
        <v>0</v>
      </c>
      <c r="AV289" s="68">
        <f t="shared" si="236"/>
        <v>0</v>
      </c>
      <c r="AW289" s="68">
        <f t="shared" si="236"/>
        <v>0</v>
      </c>
      <c r="AX289" s="68">
        <f t="shared" si="236"/>
        <v>0</v>
      </c>
      <c r="AY289" s="68">
        <f t="shared" si="236"/>
        <v>0</v>
      </c>
      <c r="AZ289" s="68">
        <f t="shared" si="236"/>
        <v>0</v>
      </c>
      <c r="BA289" s="68">
        <f t="shared" si="236"/>
        <v>0</v>
      </c>
      <c r="BB289" s="68">
        <f t="shared" si="236"/>
        <v>0</v>
      </c>
      <c r="BC289" s="68">
        <f t="shared" si="236"/>
        <v>0</v>
      </c>
      <c r="BD289" s="68">
        <f t="shared" si="236"/>
        <v>0</v>
      </c>
      <c r="BE289" s="68">
        <f t="shared" si="236"/>
        <v>0</v>
      </c>
      <c r="BF289" s="68">
        <f t="shared" si="236"/>
        <v>0</v>
      </c>
      <c r="BG289" s="68">
        <f t="shared" si="236"/>
        <v>0</v>
      </c>
      <c r="BH289" s="68">
        <f t="shared" si="236"/>
        <v>0</v>
      </c>
      <c r="BI289" s="68">
        <f t="shared" si="236"/>
        <v>0</v>
      </c>
      <c r="BJ289" s="68">
        <f t="shared" si="236"/>
        <v>0</v>
      </c>
      <c r="BK289" s="68">
        <f t="shared" si="236"/>
        <v>0</v>
      </c>
      <c r="BL289" s="68">
        <f t="shared" si="236"/>
        <v>0</v>
      </c>
      <c r="BM289" s="68">
        <f t="shared" si="236"/>
        <v>0</v>
      </c>
      <c r="BN289" s="68">
        <f t="shared" si="236"/>
        <v>0</v>
      </c>
      <c r="BO289" s="68">
        <f t="shared" si="236"/>
        <v>0</v>
      </c>
      <c r="BP289" s="68">
        <f t="shared" si="236"/>
        <v>0</v>
      </c>
      <c r="BQ289" s="68">
        <f t="shared" si="236"/>
        <v>0</v>
      </c>
      <c r="BR289" s="68">
        <f t="shared" si="236"/>
        <v>0</v>
      </c>
      <c r="BS289" s="68">
        <f t="shared" si="236"/>
        <v>0</v>
      </c>
      <c r="BT289" s="68">
        <f t="shared" ref="BT289:EC289" si="237">BT248-BT250</f>
        <v>0</v>
      </c>
      <c r="BU289" s="68">
        <f t="shared" si="237"/>
        <v>0</v>
      </c>
      <c r="BV289" s="68">
        <f t="shared" si="237"/>
        <v>0</v>
      </c>
      <c r="BW289" s="68">
        <f t="shared" si="237"/>
        <v>0</v>
      </c>
      <c r="BX289" s="68">
        <f t="shared" si="237"/>
        <v>0</v>
      </c>
      <c r="BY289" s="68">
        <f t="shared" si="237"/>
        <v>0</v>
      </c>
      <c r="BZ289" s="68">
        <f t="shared" si="237"/>
        <v>0</v>
      </c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>
        <f t="shared" si="237"/>
        <v>0</v>
      </c>
      <c r="CN289" s="68">
        <f t="shared" si="237"/>
        <v>0</v>
      </c>
      <c r="CO289" s="68">
        <f t="shared" si="237"/>
        <v>0</v>
      </c>
      <c r="CP289" s="68">
        <f t="shared" si="237"/>
        <v>0</v>
      </c>
      <c r="CQ289" s="68">
        <f t="shared" si="237"/>
        <v>0</v>
      </c>
      <c r="CR289" s="68">
        <f t="shared" si="237"/>
        <v>0</v>
      </c>
      <c r="CS289" s="68">
        <f t="shared" si="237"/>
        <v>0</v>
      </c>
      <c r="CT289" s="68">
        <f t="shared" si="237"/>
        <v>0</v>
      </c>
      <c r="CU289" s="68">
        <f>CU248-CU250</f>
        <v>0</v>
      </c>
      <c r="CV289" s="68">
        <f t="shared" si="237"/>
        <v>0</v>
      </c>
      <c r="CW289" s="68">
        <f t="shared" si="237"/>
        <v>0</v>
      </c>
      <c r="CX289" s="68">
        <f t="shared" si="237"/>
        <v>0</v>
      </c>
      <c r="CY289" s="68">
        <f t="shared" si="237"/>
        <v>0</v>
      </c>
      <c r="CZ289" s="68">
        <f t="shared" si="237"/>
        <v>0</v>
      </c>
      <c r="DA289" s="68">
        <f t="shared" si="237"/>
        <v>0</v>
      </c>
      <c r="DB289" s="68">
        <f t="shared" si="237"/>
        <v>0</v>
      </c>
      <c r="DC289" s="68">
        <f t="shared" si="237"/>
        <v>0</v>
      </c>
      <c r="DD289" s="68">
        <f t="shared" si="237"/>
        <v>0</v>
      </c>
      <c r="DE289" s="68">
        <f t="shared" si="237"/>
        <v>0</v>
      </c>
      <c r="DF289" s="68">
        <f t="shared" si="237"/>
        <v>0</v>
      </c>
      <c r="DG289" s="68">
        <f t="shared" si="237"/>
        <v>0</v>
      </c>
      <c r="DH289" s="68">
        <f t="shared" si="237"/>
        <v>0</v>
      </c>
      <c r="DI289" s="68">
        <f t="shared" si="237"/>
        <v>0</v>
      </c>
      <c r="DJ289" s="68">
        <f t="shared" si="237"/>
        <v>0</v>
      </c>
      <c r="DK289" s="68">
        <f t="shared" si="237"/>
        <v>0</v>
      </c>
      <c r="DL289" s="68">
        <f t="shared" si="237"/>
        <v>0</v>
      </c>
      <c r="DM289" s="68">
        <f t="shared" si="237"/>
        <v>0</v>
      </c>
      <c r="DN289" s="68">
        <f t="shared" si="237"/>
        <v>0</v>
      </c>
      <c r="DO289" s="68">
        <f t="shared" si="237"/>
        <v>0</v>
      </c>
      <c r="DP289" s="68">
        <f t="shared" si="237"/>
        <v>0</v>
      </c>
      <c r="DQ289" s="68">
        <f t="shared" si="237"/>
        <v>0</v>
      </c>
      <c r="DR289" s="68">
        <f t="shared" si="237"/>
        <v>0</v>
      </c>
      <c r="DS289" s="68">
        <f t="shared" si="237"/>
        <v>0</v>
      </c>
      <c r="DT289" s="68">
        <f t="shared" si="237"/>
        <v>0</v>
      </c>
      <c r="DU289" s="68">
        <f t="shared" si="237"/>
        <v>0</v>
      </c>
      <c r="DV289" s="68">
        <f t="shared" si="237"/>
        <v>0</v>
      </c>
      <c r="DW289" s="68">
        <f t="shared" si="237"/>
        <v>0</v>
      </c>
      <c r="DX289" s="68">
        <f t="shared" si="237"/>
        <v>0</v>
      </c>
      <c r="DY289" s="68">
        <f t="shared" si="237"/>
        <v>0</v>
      </c>
      <c r="DZ289" s="68">
        <f t="shared" si="237"/>
        <v>0</v>
      </c>
      <c r="EA289" s="68">
        <f t="shared" si="237"/>
        <v>0</v>
      </c>
      <c r="EB289" s="68">
        <f t="shared" si="237"/>
        <v>0</v>
      </c>
      <c r="EC289" s="68">
        <f t="shared" si="237"/>
        <v>0</v>
      </c>
      <c r="ED289" s="340"/>
      <c r="EE289" s="340"/>
      <c r="EF289" s="340"/>
      <c r="EG289" s="340"/>
      <c r="EH289" s="340"/>
    </row>
    <row r="290" spans="1:138" s="82" customFormat="1" x14ac:dyDescent="0.2">
      <c r="A290" s="3"/>
      <c r="B290" s="167"/>
      <c r="C290" s="3"/>
      <c r="D290" s="29"/>
      <c r="E290" s="31"/>
      <c r="F290" s="133"/>
      <c r="G290" s="3"/>
      <c r="H290" s="31"/>
      <c r="I290" s="31"/>
      <c r="J290" s="3"/>
      <c r="K290" s="3"/>
      <c r="L290" s="3"/>
      <c r="M290" s="3"/>
      <c r="N290" s="3"/>
      <c r="O290" s="3"/>
      <c r="P290" s="3"/>
      <c r="Q290" s="3"/>
      <c r="R290" s="32"/>
      <c r="S290" s="32"/>
      <c r="T290" s="3"/>
      <c r="U290" s="33"/>
      <c r="V290" s="33"/>
      <c r="W290" s="3"/>
      <c r="X290" s="3"/>
      <c r="Y290" s="3"/>
      <c r="Z290" s="3"/>
      <c r="AA290" s="3"/>
      <c r="AB290" s="3"/>
      <c r="AC290" s="3"/>
      <c r="AD290" s="32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4"/>
      <c r="AT290" s="3"/>
      <c r="AU290" s="3"/>
      <c r="AV290" s="3"/>
      <c r="AW290" s="3"/>
      <c r="AX290" s="4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39"/>
      <c r="BZ290" s="339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220"/>
      <c r="CY290" s="220"/>
      <c r="CZ290" s="220"/>
      <c r="DA290" s="220"/>
      <c r="DB290" s="365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  <c r="ED290" s="3"/>
      <c r="EE290" s="3"/>
      <c r="EF290" s="3"/>
      <c r="EG290" s="3"/>
      <c r="EH290" s="3"/>
    </row>
    <row r="291" spans="1:138" s="82" customFormat="1" x14ac:dyDescent="0.2">
      <c r="A291" s="3"/>
      <c r="B291" s="167"/>
      <c r="C291" s="3"/>
      <c r="D291" s="29"/>
      <c r="E291" s="31"/>
      <c r="F291" s="133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342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342"/>
      <c r="AD291" s="342"/>
      <c r="AE291" s="68"/>
      <c r="AF291" s="68"/>
      <c r="AG291" s="342"/>
      <c r="AH291" s="342"/>
      <c r="AI291" s="342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3"/>
      <c r="EE291" s="3"/>
      <c r="EF291" s="3"/>
      <c r="EG291" s="3"/>
      <c r="EH291" s="3"/>
    </row>
    <row r="292" spans="1:138" s="82" customFormat="1" x14ac:dyDescent="0.2">
      <c r="A292" s="3"/>
      <c r="B292" s="167"/>
      <c r="C292" s="3"/>
      <c r="D292" s="29"/>
      <c r="E292" s="31"/>
      <c r="F292" s="133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3"/>
      <c r="EE292" s="3"/>
      <c r="EF292" s="3"/>
      <c r="EG292" s="3"/>
      <c r="EH292" s="3"/>
    </row>
    <row r="293" spans="1:138" s="82" customFormat="1" x14ac:dyDescent="0.2">
      <c r="A293" s="3"/>
      <c r="B293" s="167"/>
      <c r="C293" s="3"/>
      <c r="D293" s="29"/>
      <c r="E293" s="31"/>
      <c r="F293" s="133"/>
      <c r="G293" s="3"/>
      <c r="H293" s="31"/>
      <c r="I293" s="31"/>
      <c r="J293" s="3"/>
      <c r="K293" s="3"/>
      <c r="L293" s="3"/>
      <c r="M293" s="3"/>
      <c r="N293" s="3"/>
      <c r="O293" s="3"/>
      <c r="P293" s="3"/>
      <c r="Q293" s="3"/>
      <c r="R293" s="32"/>
      <c r="S293" s="32"/>
      <c r="T293" s="3"/>
      <c r="U293" s="33"/>
      <c r="V293" s="33"/>
      <c r="W293" s="3"/>
      <c r="X293" s="3"/>
      <c r="Y293" s="3"/>
      <c r="Z293" s="3"/>
      <c r="AA293" s="3"/>
      <c r="AB293" s="3"/>
      <c r="AC293" s="3"/>
      <c r="AD293" s="32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4"/>
      <c r="AT293" s="3"/>
      <c r="AU293" s="3"/>
      <c r="AV293" s="3"/>
      <c r="AW293" s="3"/>
      <c r="AX293" s="4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220"/>
      <c r="CY293" s="220"/>
      <c r="CZ293" s="220"/>
      <c r="DA293" s="220"/>
      <c r="DB293" s="365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  <c r="ED293" s="3"/>
      <c r="EE293" s="3"/>
      <c r="EF293" s="3"/>
      <c r="EG293" s="3"/>
      <c r="EH293" s="3"/>
    </row>
    <row r="294" spans="1:138" s="82" customFormat="1" x14ac:dyDescent="0.2">
      <c r="A294" s="3"/>
      <c r="B294" s="167"/>
      <c r="C294" s="3"/>
      <c r="D294" s="29"/>
      <c r="E294" s="31"/>
      <c r="F294" s="133"/>
      <c r="G294" s="3"/>
      <c r="H294" s="31"/>
      <c r="I294" s="31"/>
      <c r="J294" s="3"/>
      <c r="K294" s="3"/>
      <c r="L294" s="3"/>
      <c r="M294" s="3"/>
      <c r="N294" s="3"/>
      <c r="O294" s="3"/>
      <c r="P294" s="3"/>
      <c r="Q294" s="3"/>
      <c r="R294" s="32"/>
      <c r="S294" s="32"/>
      <c r="T294" s="3"/>
      <c r="U294" s="33"/>
      <c r="V294" s="33"/>
      <c r="W294" s="3"/>
      <c r="X294" s="3"/>
      <c r="Y294" s="3"/>
      <c r="Z294" s="3"/>
      <c r="AA294" s="3"/>
      <c r="AB294" s="3"/>
      <c r="AC294" s="3"/>
      <c r="AD294" s="32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4"/>
      <c r="AT294" s="3"/>
      <c r="AU294" s="3"/>
      <c r="AV294" s="3"/>
      <c r="AW294" s="3"/>
      <c r="AX294" s="4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84"/>
      <c r="BZ294" s="84"/>
      <c r="CA294" s="84"/>
      <c r="CB294" s="84"/>
      <c r="CC294" s="84"/>
      <c r="CD294" s="84"/>
      <c r="CE294" s="84"/>
      <c r="CF294" s="84"/>
      <c r="CG294" s="84"/>
      <c r="CH294" s="84"/>
      <c r="CI294" s="84"/>
      <c r="CJ294" s="84"/>
      <c r="CK294" s="84"/>
      <c r="CL294" s="84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220"/>
      <c r="CY294" s="220"/>
      <c r="CZ294" s="220"/>
      <c r="DA294" s="220"/>
      <c r="DB294" s="365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  <c r="ED294" s="3"/>
      <c r="EE294" s="3"/>
      <c r="EF294" s="3"/>
      <c r="EG294" s="3"/>
      <c r="EH294" s="3"/>
    </row>
    <row r="295" spans="1:138" s="82" customFormat="1" x14ac:dyDescent="0.2">
      <c r="A295" s="3"/>
      <c r="B295" s="167"/>
      <c r="C295" s="3"/>
      <c r="D295" s="29"/>
      <c r="E295" s="31"/>
      <c r="F295" s="133"/>
      <c r="G295" s="3"/>
      <c r="H295" s="31"/>
      <c r="I295" s="31"/>
      <c r="J295" s="3"/>
      <c r="K295" s="3"/>
      <c r="L295" s="3"/>
      <c r="M295" s="3"/>
      <c r="N295" s="3"/>
      <c r="O295" s="3"/>
      <c r="P295" s="3"/>
      <c r="Q295" s="3"/>
      <c r="R295" s="32"/>
      <c r="S295" s="32"/>
      <c r="T295" s="3"/>
      <c r="U295" s="33"/>
      <c r="V295" s="33"/>
      <c r="W295" s="3"/>
      <c r="X295" s="3"/>
      <c r="Y295" s="3"/>
      <c r="Z295" s="3"/>
      <c r="AA295" s="3"/>
      <c r="AB295" s="3"/>
      <c r="AC295" s="3"/>
      <c r="AD295" s="32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4"/>
      <c r="AT295" s="3"/>
      <c r="AU295" s="3"/>
      <c r="AV295" s="3"/>
      <c r="AW295" s="3"/>
      <c r="AX295" s="4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84"/>
      <c r="BZ295" s="84"/>
      <c r="CA295" s="84"/>
      <c r="CB295" s="84"/>
      <c r="CC295" s="84"/>
      <c r="CD295" s="84"/>
      <c r="CE295" s="84"/>
      <c r="CF295" s="84"/>
      <c r="CG295" s="84"/>
      <c r="CH295" s="84"/>
      <c r="CI295" s="84"/>
      <c r="CJ295" s="84"/>
      <c r="CK295" s="84"/>
      <c r="CL295" s="84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220"/>
      <c r="CY295" s="220"/>
      <c r="CZ295" s="220"/>
      <c r="DA295" s="220"/>
      <c r="DB295" s="365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3"/>
      <c r="EE295" s="3"/>
      <c r="EF295" s="3"/>
      <c r="EG295" s="3"/>
      <c r="EH295" s="3"/>
    </row>
    <row r="296" spans="1:138" s="82" customFormat="1" x14ac:dyDescent="0.2">
      <c r="A296" s="3"/>
      <c r="B296" s="167"/>
      <c r="C296" s="3"/>
      <c r="D296" s="29"/>
      <c r="E296" s="31"/>
      <c r="F296" s="133"/>
      <c r="G296" s="3"/>
      <c r="H296" s="31"/>
      <c r="I296" s="31"/>
      <c r="J296" s="3"/>
      <c r="K296" s="3"/>
      <c r="L296" s="3"/>
      <c r="M296" s="3"/>
      <c r="N296" s="3"/>
      <c r="O296" s="3"/>
      <c r="P296" s="3"/>
      <c r="Q296" s="3"/>
      <c r="R296" s="32"/>
      <c r="S296" s="32"/>
      <c r="T296" s="3"/>
      <c r="U296" s="33"/>
      <c r="V296" s="33"/>
      <c r="W296" s="3"/>
      <c r="X296" s="3"/>
      <c r="Y296" s="3"/>
      <c r="Z296" s="3"/>
      <c r="AA296" s="3"/>
      <c r="AB296" s="3"/>
      <c r="AC296" s="3"/>
      <c r="AD296" s="32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4"/>
      <c r="AT296" s="3"/>
      <c r="AU296" s="3"/>
      <c r="AV296" s="3"/>
      <c r="AW296" s="3"/>
      <c r="AX296" s="4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84"/>
      <c r="BZ296" s="84"/>
      <c r="CA296" s="84"/>
      <c r="CB296" s="84"/>
      <c r="CC296" s="84"/>
      <c r="CD296" s="84"/>
      <c r="CE296" s="84"/>
      <c r="CF296" s="84"/>
      <c r="CG296" s="84"/>
      <c r="CH296" s="84"/>
      <c r="CI296" s="84"/>
      <c r="CJ296" s="84"/>
      <c r="CK296" s="84"/>
      <c r="CL296" s="84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220"/>
      <c r="CY296" s="220"/>
      <c r="CZ296" s="220"/>
      <c r="DA296" s="220"/>
      <c r="DB296" s="365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  <c r="ED296" s="3"/>
      <c r="EE296" s="3"/>
      <c r="EF296" s="3"/>
      <c r="EG296" s="3"/>
      <c r="EH296" s="3"/>
    </row>
    <row r="297" spans="1:138" s="82" customFormat="1" x14ac:dyDescent="0.2">
      <c r="A297" s="3"/>
      <c r="B297" s="167"/>
      <c r="C297" s="3"/>
      <c r="D297" s="29"/>
      <c r="E297" s="31"/>
      <c r="F297" s="133"/>
      <c r="G297" s="3"/>
      <c r="H297" s="31"/>
      <c r="I297" s="31"/>
      <c r="J297" s="3"/>
      <c r="K297" s="3"/>
      <c r="L297" s="3"/>
      <c r="M297" s="3"/>
      <c r="N297" s="3"/>
      <c r="O297" s="3"/>
      <c r="P297" s="3"/>
      <c r="Q297" s="3"/>
      <c r="R297" s="32"/>
      <c r="S297" s="32"/>
      <c r="T297" s="3"/>
      <c r="U297" s="33"/>
      <c r="V297" s="33"/>
      <c r="W297" s="3"/>
      <c r="X297" s="3"/>
      <c r="Y297" s="3"/>
      <c r="Z297" s="3"/>
      <c r="AA297" s="3"/>
      <c r="AB297" s="3"/>
      <c r="AC297" s="3"/>
      <c r="AD297" s="32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4"/>
      <c r="AT297" s="3"/>
      <c r="AU297" s="3"/>
      <c r="AV297" s="3"/>
      <c r="AW297" s="3"/>
      <c r="AX297" s="4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84"/>
      <c r="BZ297" s="84"/>
      <c r="CA297" s="84"/>
      <c r="CB297" s="84"/>
      <c r="CC297" s="84"/>
      <c r="CD297" s="84"/>
      <c r="CE297" s="84"/>
      <c r="CF297" s="84"/>
      <c r="CG297" s="84"/>
      <c r="CH297" s="84"/>
      <c r="CI297" s="84"/>
      <c r="CJ297" s="84"/>
      <c r="CK297" s="84"/>
      <c r="CL297" s="84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220"/>
      <c r="CY297" s="220"/>
      <c r="CZ297" s="220"/>
      <c r="DA297" s="220"/>
      <c r="DB297" s="365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  <c r="ED297" s="3"/>
      <c r="EE297" s="3"/>
      <c r="EF297" s="3"/>
      <c r="EG297" s="3"/>
      <c r="EH297" s="3"/>
    </row>
    <row r="298" spans="1:138" s="82" customFormat="1" x14ac:dyDescent="0.2">
      <c r="A298" s="3"/>
      <c r="B298" s="167"/>
      <c r="C298" s="3"/>
      <c r="D298" s="29"/>
      <c r="E298" s="31"/>
      <c r="F298" s="133"/>
      <c r="G298" s="3"/>
      <c r="H298" s="31"/>
      <c r="I298" s="31"/>
      <c r="J298" s="3"/>
      <c r="K298" s="3"/>
      <c r="L298" s="3"/>
      <c r="M298" s="3"/>
      <c r="N298" s="3"/>
      <c r="O298" s="3"/>
      <c r="P298" s="3"/>
      <c r="Q298" s="3"/>
      <c r="R298" s="32"/>
      <c r="S298" s="32"/>
      <c r="T298" s="3"/>
      <c r="U298" s="33"/>
      <c r="V298" s="33"/>
      <c r="W298" s="3"/>
      <c r="X298" s="3"/>
      <c r="Y298" s="3"/>
      <c r="Z298" s="3"/>
      <c r="AA298" s="3"/>
      <c r="AB298" s="3"/>
      <c r="AC298" s="3"/>
      <c r="AD298" s="32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4"/>
      <c r="AT298" s="3"/>
      <c r="AU298" s="3"/>
      <c r="AV298" s="3"/>
      <c r="AW298" s="3"/>
      <c r="AX298" s="4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220"/>
      <c r="CY298" s="220"/>
      <c r="CZ298" s="220"/>
      <c r="DA298" s="220"/>
      <c r="DB298" s="365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  <c r="ED298" s="3"/>
      <c r="EE298" s="3"/>
      <c r="EF298" s="3"/>
      <c r="EG298" s="3"/>
      <c r="EH298" s="3"/>
    </row>
    <row r="299" spans="1:138" s="82" customFormat="1" x14ac:dyDescent="0.2">
      <c r="A299" s="3"/>
      <c r="B299" s="167"/>
      <c r="C299" s="3"/>
      <c r="D299" s="29"/>
      <c r="E299" s="31"/>
      <c r="F299" s="133"/>
      <c r="G299" s="3"/>
      <c r="H299" s="31"/>
      <c r="I299" s="31"/>
      <c r="J299" s="3"/>
      <c r="K299" s="3"/>
      <c r="L299" s="3"/>
      <c r="M299" s="3"/>
      <c r="N299" s="3"/>
      <c r="O299" s="3"/>
      <c r="P299" s="3"/>
      <c r="Q299" s="3"/>
      <c r="R299" s="32"/>
      <c r="S299" s="32"/>
      <c r="T299" s="3"/>
      <c r="U299" s="33"/>
      <c r="V299" s="33"/>
      <c r="W299" s="3"/>
      <c r="X299" s="3"/>
      <c r="Y299" s="3"/>
      <c r="Z299" s="3"/>
      <c r="AA299" s="3"/>
      <c r="AB299" s="3"/>
      <c r="AC299" s="3"/>
      <c r="AD299" s="32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4"/>
      <c r="AT299" s="3"/>
      <c r="AU299" s="3"/>
      <c r="AV299" s="3"/>
      <c r="AW299" s="3"/>
      <c r="AX299" s="4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84"/>
      <c r="BZ299" s="84"/>
      <c r="CA299" s="84"/>
      <c r="CB299" s="84"/>
      <c r="CC299" s="84"/>
      <c r="CD299" s="84"/>
      <c r="CE299" s="84"/>
      <c r="CF299" s="84"/>
      <c r="CG299" s="84"/>
      <c r="CH299" s="84"/>
      <c r="CI299" s="84"/>
      <c r="CJ299" s="84"/>
      <c r="CK299" s="84"/>
      <c r="CL299" s="84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220"/>
      <c r="CY299" s="220"/>
      <c r="CZ299" s="220"/>
      <c r="DA299" s="220"/>
      <c r="DB299" s="365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3"/>
      <c r="EE299" s="3"/>
      <c r="EF299" s="3"/>
      <c r="EG299" s="3"/>
      <c r="EH299" s="3"/>
    </row>
    <row r="300" spans="1:138" s="82" customFormat="1" x14ac:dyDescent="0.2">
      <c r="A300" s="3"/>
      <c r="B300" s="167"/>
      <c r="C300" s="3"/>
      <c r="D300" s="29"/>
      <c r="E300" s="31"/>
      <c r="F300" s="133"/>
      <c r="G300" s="3"/>
      <c r="H300" s="31"/>
      <c r="I300" s="31"/>
      <c r="J300" s="3"/>
      <c r="K300" s="3"/>
      <c r="L300" s="3"/>
      <c r="M300" s="3"/>
      <c r="N300" s="3"/>
      <c r="O300" s="3"/>
      <c r="P300" s="3"/>
      <c r="Q300" s="3"/>
      <c r="R300" s="32"/>
      <c r="S300" s="32"/>
      <c r="T300" s="3"/>
      <c r="U300" s="33"/>
      <c r="V300" s="33"/>
      <c r="W300" s="3"/>
      <c r="X300" s="3"/>
      <c r="Y300" s="3"/>
      <c r="Z300" s="3"/>
      <c r="AA300" s="3"/>
      <c r="AB300" s="3"/>
      <c r="AC300" s="3"/>
      <c r="AD300" s="32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4"/>
      <c r="AT300" s="3"/>
      <c r="AU300" s="3"/>
      <c r="AV300" s="3"/>
      <c r="AW300" s="3"/>
      <c r="AX300" s="4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84"/>
      <c r="BZ300" s="84"/>
      <c r="CA300" s="84"/>
      <c r="CB300" s="84"/>
      <c r="CC300" s="84"/>
      <c r="CD300" s="84"/>
      <c r="CE300" s="84"/>
      <c r="CF300" s="84"/>
      <c r="CG300" s="84"/>
      <c r="CH300" s="84"/>
      <c r="CI300" s="84"/>
      <c r="CJ300" s="84"/>
      <c r="CK300" s="84"/>
      <c r="CL300" s="84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220"/>
      <c r="CY300" s="220"/>
      <c r="CZ300" s="220"/>
      <c r="DA300" s="220"/>
      <c r="DB300" s="365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  <c r="ED300" s="3"/>
      <c r="EE300" s="3"/>
      <c r="EF300" s="3"/>
      <c r="EG300" s="3"/>
      <c r="EH300" s="3"/>
    </row>
    <row r="301" spans="1:138" s="82" customFormat="1" x14ac:dyDescent="0.2">
      <c r="A301" s="3"/>
      <c r="B301" s="167"/>
      <c r="C301" s="3"/>
      <c r="D301" s="29"/>
      <c r="E301" s="31"/>
      <c r="F301" s="133"/>
      <c r="G301" s="3"/>
      <c r="H301" s="31"/>
      <c r="I301" s="31"/>
      <c r="J301" s="3"/>
      <c r="K301" s="3"/>
      <c r="L301" s="3"/>
      <c r="M301" s="3"/>
      <c r="N301" s="3"/>
      <c r="O301" s="3"/>
      <c r="P301" s="3"/>
      <c r="Q301" s="3"/>
      <c r="R301" s="32"/>
      <c r="S301" s="32"/>
      <c r="T301" s="3"/>
      <c r="U301" s="33"/>
      <c r="V301" s="33"/>
      <c r="W301" s="3"/>
      <c r="X301" s="3"/>
      <c r="Y301" s="3"/>
      <c r="Z301" s="3"/>
      <c r="AA301" s="3"/>
      <c r="AB301" s="3"/>
      <c r="AC301" s="3"/>
      <c r="AD301" s="32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4"/>
      <c r="AT301" s="3"/>
      <c r="AU301" s="3"/>
      <c r="AV301" s="3"/>
      <c r="AW301" s="3"/>
      <c r="AX301" s="4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84"/>
      <c r="BZ301" s="84"/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220"/>
      <c r="CY301" s="220"/>
      <c r="CZ301" s="220"/>
      <c r="DA301" s="220"/>
      <c r="DB301" s="365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  <c r="ED301" s="3"/>
      <c r="EE301" s="3"/>
      <c r="EF301" s="3"/>
      <c r="EG301" s="3"/>
      <c r="EH301" s="3"/>
    </row>
    <row r="302" spans="1:138" s="82" customFormat="1" x14ac:dyDescent="0.2">
      <c r="A302" s="3"/>
      <c r="B302" s="167"/>
      <c r="C302" s="3"/>
      <c r="D302" s="29"/>
      <c r="E302" s="31"/>
      <c r="F302" s="133"/>
      <c r="G302" s="3"/>
      <c r="H302" s="31"/>
      <c r="I302" s="31"/>
      <c r="J302" s="3"/>
      <c r="K302" s="3"/>
      <c r="L302" s="3"/>
      <c r="M302" s="3"/>
      <c r="N302" s="3"/>
      <c r="O302" s="3"/>
      <c r="P302" s="3"/>
      <c r="Q302" s="3"/>
      <c r="R302" s="32"/>
      <c r="S302" s="32"/>
      <c r="T302" s="3"/>
      <c r="U302" s="33"/>
      <c r="V302" s="33"/>
      <c r="W302" s="3"/>
      <c r="X302" s="3"/>
      <c r="Y302" s="3"/>
      <c r="Z302" s="3"/>
      <c r="AA302" s="3"/>
      <c r="AB302" s="3"/>
      <c r="AC302" s="3"/>
      <c r="AD302" s="32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4"/>
      <c r="AT302" s="3"/>
      <c r="AU302" s="3"/>
      <c r="AV302" s="3"/>
      <c r="AW302" s="3"/>
      <c r="AX302" s="4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220"/>
      <c r="CY302" s="220"/>
      <c r="CZ302" s="220"/>
      <c r="DA302" s="220"/>
      <c r="DB302" s="365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  <c r="ED302" s="3"/>
      <c r="EE302" s="3"/>
      <c r="EF302" s="3"/>
      <c r="EG302" s="3"/>
      <c r="EH302" s="3"/>
    </row>
    <row r="303" spans="1:138" s="82" customFormat="1" x14ac:dyDescent="0.2">
      <c r="A303" s="3"/>
      <c r="B303" s="167"/>
      <c r="C303" s="3"/>
      <c r="D303" s="29"/>
      <c r="E303" s="31"/>
      <c r="F303" s="133"/>
      <c r="G303" s="3"/>
      <c r="H303" s="31"/>
      <c r="I303" s="31"/>
      <c r="J303" s="3"/>
      <c r="K303" s="3"/>
      <c r="L303" s="3"/>
      <c r="M303" s="3"/>
      <c r="N303" s="3"/>
      <c r="O303" s="3"/>
      <c r="P303" s="3"/>
      <c r="Q303" s="3"/>
      <c r="R303" s="32"/>
      <c r="S303" s="32"/>
      <c r="T303" s="3"/>
      <c r="U303" s="33"/>
      <c r="V303" s="33"/>
      <c r="W303" s="3"/>
      <c r="X303" s="3"/>
      <c r="Y303" s="3"/>
      <c r="Z303" s="3"/>
      <c r="AA303" s="3"/>
      <c r="AB303" s="3"/>
      <c r="AC303" s="3"/>
      <c r="AD303" s="32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4"/>
      <c r="AT303" s="3"/>
      <c r="AU303" s="3"/>
      <c r="AV303" s="3"/>
      <c r="AW303" s="3"/>
      <c r="AX303" s="4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220"/>
      <c r="CY303" s="220"/>
      <c r="CZ303" s="220"/>
      <c r="DA303" s="220"/>
      <c r="DB303" s="365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  <c r="ED303" s="3"/>
      <c r="EE303" s="3"/>
      <c r="EF303" s="3"/>
      <c r="EG303" s="3"/>
      <c r="EH303" s="3"/>
    </row>
    <row r="304" spans="1:138" s="82" customFormat="1" x14ac:dyDescent="0.2">
      <c r="A304" s="3"/>
      <c r="B304" s="167"/>
      <c r="C304" s="3"/>
      <c r="D304" s="29"/>
      <c r="E304" s="31"/>
      <c r="F304" s="133"/>
      <c r="G304" s="3"/>
      <c r="H304" s="31"/>
      <c r="I304" s="31"/>
      <c r="J304" s="3"/>
      <c r="K304" s="3"/>
      <c r="L304" s="3"/>
      <c r="M304" s="3"/>
      <c r="N304" s="3"/>
      <c r="O304" s="3"/>
      <c r="P304" s="3"/>
      <c r="Q304" s="3"/>
      <c r="R304" s="32"/>
      <c r="S304" s="32"/>
      <c r="T304" s="3"/>
      <c r="U304" s="33"/>
      <c r="V304" s="33"/>
      <c r="W304" s="3"/>
      <c r="X304" s="3"/>
      <c r="Y304" s="3"/>
      <c r="Z304" s="3"/>
      <c r="AA304" s="3"/>
      <c r="AB304" s="3"/>
      <c r="AC304" s="3"/>
      <c r="AD304" s="32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4"/>
      <c r="AT304" s="3"/>
      <c r="AU304" s="3"/>
      <c r="AV304" s="3"/>
      <c r="AW304" s="3"/>
      <c r="AX304" s="4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220"/>
      <c r="CY304" s="220"/>
      <c r="CZ304" s="220"/>
      <c r="DA304" s="220"/>
      <c r="DB304" s="365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3"/>
      <c r="EE304" s="3"/>
      <c r="EF304" s="3"/>
      <c r="EG304" s="3"/>
      <c r="EH304" s="3"/>
    </row>
    <row r="305" spans="1:138" s="82" customFormat="1" x14ac:dyDescent="0.2">
      <c r="A305" s="3"/>
      <c r="B305" s="167"/>
      <c r="C305" s="3"/>
      <c r="D305" s="29"/>
      <c r="E305" s="31"/>
      <c r="F305" s="133"/>
      <c r="G305" s="3"/>
      <c r="H305" s="31"/>
      <c r="I305" s="31"/>
      <c r="J305" s="3"/>
      <c r="K305" s="3"/>
      <c r="L305" s="3"/>
      <c r="M305" s="3"/>
      <c r="N305" s="3"/>
      <c r="O305" s="3"/>
      <c r="P305" s="3"/>
      <c r="Q305" s="3"/>
      <c r="R305" s="32"/>
      <c r="S305" s="32"/>
      <c r="T305" s="3"/>
      <c r="U305" s="33"/>
      <c r="V305" s="33"/>
      <c r="W305" s="3"/>
      <c r="X305" s="3"/>
      <c r="Y305" s="3"/>
      <c r="Z305" s="3"/>
      <c r="AA305" s="3"/>
      <c r="AB305" s="3"/>
      <c r="AC305" s="3"/>
      <c r="AD305" s="32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4"/>
      <c r="AT305" s="3"/>
      <c r="AU305" s="3"/>
      <c r="AV305" s="3"/>
      <c r="AW305" s="3"/>
      <c r="AX305" s="4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220"/>
      <c r="CY305" s="220"/>
      <c r="CZ305" s="220"/>
      <c r="DA305" s="220"/>
      <c r="DB305" s="365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  <c r="ED305" s="3"/>
      <c r="EE305" s="3"/>
      <c r="EF305" s="3"/>
      <c r="EG305" s="3"/>
      <c r="EH305" s="3"/>
    </row>
    <row r="306" spans="1:138" s="82" customFormat="1" x14ac:dyDescent="0.2">
      <c r="A306" s="3"/>
      <c r="B306" s="167"/>
      <c r="C306" s="3"/>
      <c r="D306" s="29"/>
      <c r="E306" s="31"/>
      <c r="F306" s="133"/>
      <c r="G306" s="3"/>
      <c r="H306" s="31"/>
      <c r="I306" s="31"/>
      <c r="J306" s="3"/>
      <c r="K306" s="3"/>
      <c r="L306" s="3"/>
      <c r="M306" s="3"/>
      <c r="N306" s="3"/>
      <c r="O306" s="3"/>
      <c r="P306" s="3"/>
      <c r="Q306" s="3"/>
      <c r="R306" s="32"/>
      <c r="S306" s="32"/>
      <c r="T306" s="3"/>
      <c r="U306" s="33"/>
      <c r="V306" s="33"/>
      <c r="W306" s="3"/>
      <c r="X306" s="3"/>
      <c r="Y306" s="3"/>
      <c r="Z306" s="3"/>
      <c r="AA306" s="3"/>
      <c r="AB306" s="3"/>
      <c r="AC306" s="3"/>
      <c r="AD306" s="32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4"/>
      <c r="AT306" s="3"/>
      <c r="AU306" s="3"/>
      <c r="AV306" s="3"/>
      <c r="AW306" s="3"/>
      <c r="AX306" s="4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220"/>
      <c r="CY306" s="220"/>
      <c r="CZ306" s="220"/>
      <c r="DA306" s="220"/>
      <c r="DB306" s="365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  <c r="ED306" s="3"/>
      <c r="EE306" s="3"/>
      <c r="EF306" s="3"/>
      <c r="EG306" s="3"/>
      <c r="EH306" s="3"/>
    </row>
    <row r="307" spans="1:138" s="82" customFormat="1" x14ac:dyDescent="0.2">
      <c r="A307" s="3"/>
      <c r="B307" s="167"/>
      <c r="C307" s="3"/>
      <c r="D307" s="29"/>
      <c r="E307" s="31"/>
      <c r="F307" s="133"/>
      <c r="G307" s="3"/>
      <c r="H307" s="31"/>
      <c r="I307" s="31"/>
      <c r="J307" s="3"/>
      <c r="K307" s="3"/>
      <c r="L307" s="3"/>
      <c r="M307" s="3"/>
      <c r="N307" s="3"/>
      <c r="O307" s="3"/>
      <c r="P307" s="3"/>
      <c r="Q307" s="3"/>
      <c r="R307" s="32"/>
      <c r="S307" s="32"/>
      <c r="T307" s="3"/>
      <c r="U307" s="33"/>
      <c r="V307" s="33"/>
      <c r="W307" s="3"/>
      <c r="X307" s="3"/>
      <c r="Y307" s="3"/>
      <c r="Z307" s="3"/>
      <c r="AA307" s="3"/>
      <c r="AB307" s="3"/>
      <c r="AC307" s="3"/>
      <c r="AD307" s="32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4"/>
      <c r="AT307" s="3"/>
      <c r="AU307" s="3"/>
      <c r="AV307" s="3"/>
      <c r="AW307" s="3"/>
      <c r="AX307" s="4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84"/>
      <c r="BZ307" s="84"/>
      <c r="CA307" s="84"/>
      <c r="CB307" s="84"/>
      <c r="CC307" s="84"/>
      <c r="CD307" s="84"/>
      <c r="CE307" s="84"/>
      <c r="CF307" s="84"/>
      <c r="CG307" s="84"/>
      <c r="CH307" s="84"/>
      <c r="CI307" s="84"/>
      <c r="CJ307" s="84"/>
      <c r="CK307" s="84"/>
      <c r="CL307" s="84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220"/>
      <c r="CY307" s="220"/>
      <c r="CZ307" s="220"/>
      <c r="DA307" s="220"/>
      <c r="DB307" s="365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  <c r="ED307" s="3"/>
      <c r="EE307" s="3"/>
      <c r="EF307" s="3"/>
      <c r="EG307" s="3"/>
      <c r="EH307" s="3"/>
    </row>
    <row r="308" spans="1:138" s="82" customFormat="1" x14ac:dyDescent="0.2">
      <c r="A308" s="3"/>
      <c r="B308" s="167"/>
      <c r="C308" s="3"/>
      <c r="D308" s="29"/>
      <c r="E308" s="31"/>
      <c r="F308" s="133"/>
      <c r="G308" s="3"/>
      <c r="H308" s="31"/>
      <c r="I308" s="31"/>
      <c r="J308" s="3"/>
      <c r="K308" s="3"/>
      <c r="L308" s="3"/>
      <c r="M308" s="3"/>
      <c r="N308" s="3"/>
      <c r="O308" s="3"/>
      <c r="P308" s="3"/>
      <c r="Q308" s="3"/>
      <c r="R308" s="32"/>
      <c r="S308" s="32"/>
      <c r="T308" s="3"/>
      <c r="U308" s="33"/>
      <c r="V308" s="33"/>
      <c r="W308" s="3"/>
      <c r="X308" s="3"/>
      <c r="Y308" s="3"/>
      <c r="Z308" s="3"/>
      <c r="AA308" s="3"/>
      <c r="AB308" s="3"/>
      <c r="AC308" s="3"/>
      <c r="AD308" s="32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4"/>
      <c r="AT308" s="3"/>
      <c r="AU308" s="3"/>
      <c r="AV308" s="3"/>
      <c r="AW308" s="3"/>
      <c r="AX308" s="4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84"/>
      <c r="BZ308" s="84"/>
      <c r="CA308" s="84"/>
      <c r="CB308" s="84"/>
      <c r="CC308" s="84"/>
      <c r="CD308" s="84"/>
      <c r="CE308" s="84"/>
      <c r="CF308" s="84"/>
      <c r="CG308" s="84"/>
      <c r="CH308" s="84"/>
      <c r="CI308" s="84"/>
      <c r="CJ308" s="84"/>
      <c r="CK308" s="84"/>
      <c r="CL308" s="84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220"/>
      <c r="CY308" s="220"/>
      <c r="CZ308" s="220"/>
      <c r="DA308" s="220"/>
      <c r="DB308" s="365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3"/>
      <c r="EE308" s="3"/>
      <c r="EF308" s="3"/>
      <c r="EG308" s="3"/>
      <c r="EH308" s="3"/>
    </row>
    <row r="309" spans="1:138" s="82" customFormat="1" x14ac:dyDescent="0.2">
      <c r="A309" s="3"/>
      <c r="B309" s="167"/>
      <c r="C309" s="3"/>
      <c r="D309" s="29"/>
      <c r="E309" s="31"/>
      <c r="F309" s="133"/>
      <c r="G309" s="3"/>
      <c r="H309" s="31"/>
      <c r="I309" s="31"/>
      <c r="J309" s="3"/>
      <c r="K309" s="3"/>
      <c r="L309" s="3"/>
      <c r="M309" s="3"/>
      <c r="N309" s="3"/>
      <c r="O309" s="3"/>
      <c r="P309" s="3"/>
      <c r="Q309" s="3"/>
      <c r="R309" s="32"/>
      <c r="S309" s="32"/>
      <c r="T309" s="3"/>
      <c r="U309" s="33"/>
      <c r="V309" s="33"/>
      <c r="W309" s="3"/>
      <c r="X309" s="3"/>
      <c r="Y309" s="3"/>
      <c r="Z309" s="3"/>
      <c r="AA309" s="3"/>
      <c r="AB309" s="3"/>
      <c r="AC309" s="3"/>
      <c r="AD309" s="32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4"/>
      <c r="AT309" s="3"/>
      <c r="AU309" s="3"/>
      <c r="AV309" s="3"/>
      <c r="AW309" s="3"/>
      <c r="AX309" s="4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220"/>
      <c r="CY309" s="220"/>
      <c r="CZ309" s="220"/>
      <c r="DA309" s="220"/>
      <c r="DB309" s="365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  <c r="ED309" s="3"/>
      <c r="EE309" s="3"/>
      <c r="EF309" s="3"/>
      <c r="EG309" s="3"/>
      <c r="EH309" s="3"/>
    </row>
    <row r="310" spans="1:138" s="82" customFormat="1" x14ac:dyDescent="0.2">
      <c r="A310" s="3"/>
      <c r="B310" s="167"/>
      <c r="C310" s="3"/>
      <c r="D310" s="29"/>
      <c r="E310" s="31"/>
      <c r="F310" s="133"/>
      <c r="G310" s="3"/>
      <c r="H310" s="31"/>
      <c r="I310" s="31"/>
      <c r="J310" s="3"/>
      <c r="K310" s="3"/>
      <c r="L310" s="3"/>
      <c r="M310" s="3"/>
      <c r="N310" s="3"/>
      <c r="O310" s="3"/>
      <c r="P310" s="3"/>
      <c r="Q310" s="3"/>
      <c r="R310" s="32"/>
      <c r="S310" s="32"/>
      <c r="T310" s="3"/>
      <c r="U310" s="33"/>
      <c r="V310" s="33"/>
      <c r="W310" s="3"/>
      <c r="X310" s="3"/>
      <c r="Y310" s="3"/>
      <c r="Z310" s="3"/>
      <c r="AA310" s="3"/>
      <c r="AB310" s="3"/>
      <c r="AC310" s="3"/>
      <c r="AD310" s="32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4"/>
      <c r="AT310" s="3"/>
      <c r="AU310" s="3"/>
      <c r="AV310" s="3"/>
      <c r="AW310" s="3"/>
      <c r="AX310" s="4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220"/>
      <c r="CY310" s="220"/>
      <c r="CZ310" s="220"/>
      <c r="DA310" s="220"/>
      <c r="DB310" s="365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  <c r="ED310" s="3"/>
      <c r="EE310" s="3"/>
      <c r="EF310" s="3"/>
      <c r="EG310" s="3"/>
      <c r="EH310" s="3"/>
    </row>
    <row r="311" spans="1:138" s="82" customFormat="1" x14ac:dyDescent="0.2">
      <c r="A311" s="3"/>
      <c r="B311" s="167"/>
      <c r="C311" s="3"/>
      <c r="D311" s="29"/>
      <c r="E311" s="31"/>
      <c r="F311" s="133"/>
      <c r="G311" s="3"/>
      <c r="H311" s="31"/>
      <c r="I311" s="31"/>
      <c r="J311" s="3"/>
      <c r="K311" s="3"/>
      <c r="L311" s="3"/>
      <c r="M311" s="3"/>
      <c r="N311" s="3"/>
      <c r="O311" s="3"/>
      <c r="P311" s="3"/>
      <c r="Q311" s="3"/>
      <c r="R311" s="32"/>
      <c r="S311" s="32"/>
      <c r="T311" s="3"/>
      <c r="U311" s="33"/>
      <c r="V311" s="33"/>
      <c r="W311" s="3"/>
      <c r="X311" s="3"/>
      <c r="Y311" s="3"/>
      <c r="Z311" s="3"/>
      <c r="AA311" s="3"/>
      <c r="AB311" s="3"/>
      <c r="AC311" s="3"/>
      <c r="AD311" s="32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4"/>
      <c r="AT311" s="3"/>
      <c r="AU311" s="3"/>
      <c r="AV311" s="3"/>
      <c r="AW311" s="3"/>
      <c r="AX311" s="4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220"/>
      <c r="CY311" s="220"/>
      <c r="CZ311" s="220"/>
      <c r="DA311" s="220"/>
      <c r="DB311" s="365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  <c r="ED311" s="3"/>
      <c r="EE311" s="3"/>
      <c r="EF311" s="3"/>
      <c r="EG311" s="3"/>
      <c r="EH311" s="3"/>
    </row>
    <row r="312" spans="1:138" s="82" customFormat="1" x14ac:dyDescent="0.2">
      <c r="A312" s="3"/>
      <c r="B312" s="167"/>
      <c r="C312" s="3"/>
      <c r="D312" s="29"/>
      <c r="E312" s="31"/>
      <c r="F312" s="133"/>
      <c r="G312" s="3"/>
      <c r="H312" s="31"/>
      <c r="I312" s="31"/>
      <c r="J312" s="3"/>
      <c r="K312" s="3"/>
      <c r="L312" s="3"/>
      <c r="M312" s="3"/>
      <c r="N312" s="3"/>
      <c r="O312" s="3"/>
      <c r="P312" s="3"/>
      <c r="Q312" s="3"/>
      <c r="R312" s="32"/>
      <c r="S312" s="32"/>
      <c r="T312" s="3"/>
      <c r="U312" s="33"/>
      <c r="V312" s="33"/>
      <c r="W312" s="3"/>
      <c r="X312" s="3"/>
      <c r="Y312" s="3"/>
      <c r="Z312" s="3"/>
      <c r="AA312" s="3"/>
      <c r="AB312" s="3"/>
      <c r="AC312" s="3"/>
      <c r="AD312" s="32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4"/>
      <c r="AT312" s="3"/>
      <c r="AU312" s="3"/>
      <c r="AV312" s="3"/>
      <c r="AW312" s="3"/>
      <c r="AX312" s="4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220"/>
      <c r="CY312" s="220"/>
      <c r="CZ312" s="220"/>
      <c r="DA312" s="220"/>
      <c r="DB312" s="365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  <c r="ED312" s="3"/>
      <c r="EE312" s="3"/>
      <c r="EF312" s="3"/>
      <c r="EG312" s="3"/>
      <c r="EH312" s="3"/>
    </row>
    <row r="313" spans="1:138" s="82" customFormat="1" x14ac:dyDescent="0.2">
      <c r="A313" s="3"/>
      <c r="B313" s="167"/>
      <c r="C313" s="3"/>
      <c r="D313" s="29"/>
      <c r="E313" s="31"/>
      <c r="F313" s="133"/>
      <c r="G313" s="3"/>
      <c r="H313" s="31"/>
      <c r="I313" s="31"/>
      <c r="J313" s="3"/>
      <c r="K313" s="3"/>
      <c r="L313" s="3"/>
      <c r="M313" s="3"/>
      <c r="N313" s="3"/>
      <c r="O313" s="3"/>
      <c r="P313" s="3"/>
      <c r="Q313" s="3"/>
      <c r="R313" s="32"/>
      <c r="S313" s="32"/>
      <c r="T313" s="3"/>
      <c r="U313" s="33"/>
      <c r="V313" s="33"/>
      <c r="W313" s="3"/>
      <c r="X313" s="3"/>
      <c r="Y313" s="3"/>
      <c r="Z313" s="3"/>
      <c r="AA313" s="3"/>
      <c r="AB313" s="3"/>
      <c r="AC313" s="3"/>
      <c r="AD313" s="32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4"/>
      <c r="AT313" s="3"/>
      <c r="AU313" s="3"/>
      <c r="AV313" s="3"/>
      <c r="AW313" s="3"/>
      <c r="AX313" s="4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220"/>
      <c r="CY313" s="220"/>
      <c r="CZ313" s="220"/>
      <c r="DA313" s="220"/>
      <c r="DB313" s="365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  <c r="ED313" s="3"/>
      <c r="EE313" s="3"/>
      <c r="EF313" s="3"/>
      <c r="EG313" s="3"/>
      <c r="EH313" s="3"/>
    </row>
    <row r="314" spans="1:138" s="82" customFormat="1" x14ac:dyDescent="0.2">
      <c r="A314" s="3"/>
      <c r="B314" s="167"/>
      <c r="C314" s="3"/>
      <c r="D314" s="29"/>
      <c r="E314" s="31"/>
      <c r="F314" s="133"/>
      <c r="G314" s="3"/>
      <c r="H314" s="31"/>
      <c r="I314" s="31"/>
      <c r="J314" s="3"/>
      <c r="K314" s="3"/>
      <c r="L314" s="3"/>
      <c r="M314" s="3"/>
      <c r="N314" s="3"/>
      <c r="O314" s="3"/>
      <c r="P314" s="3"/>
      <c r="Q314" s="3"/>
      <c r="R314" s="32"/>
      <c r="S314" s="32"/>
      <c r="T314" s="3"/>
      <c r="U314" s="33"/>
      <c r="V314" s="33"/>
      <c r="W314" s="3"/>
      <c r="X314" s="3"/>
      <c r="Y314" s="3"/>
      <c r="Z314" s="3"/>
      <c r="AA314" s="3"/>
      <c r="AB314" s="3"/>
      <c r="AC314" s="3"/>
      <c r="AD314" s="32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4"/>
      <c r="AT314" s="3"/>
      <c r="AU314" s="3"/>
      <c r="AV314" s="3"/>
      <c r="AW314" s="3"/>
      <c r="AX314" s="4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220"/>
      <c r="CY314" s="220"/>
      <c r="CZ314" s="220"/>
      <c r="DA314" s="220"/>
      <c r="DB314" s="365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  <c r="ED314" s="3"/>
      <c r="EE314" s="3"/>
      <c r="EF314" s="3"/>
      <c r="EG314" s="3"/>
      <c r="EH314" s="3"/>
    </row>
    <row r="315" spans="1:138" s="82" customFormat="1" x14ac:dyDescent="0.2">
      <c r="A315" s="3"/>
      <c r="B315" s="167"/>
      <c r="C315" s="3"/>
      <c r="D315" s="29"/>
      <c r="E315" s="31"/>
      <c r="F315" s="133"/>
      <c r="G315" s="3"/>
      <c r="H315" s="31"/>
      <c r="I315" s="31"/>
      <c r="J315" s="3"/>
      <c r="K315" s="3"/>
      <c r="L315" s="3"/>
      <c r="M315" s="3"/>
      <c r="N315" s="3"/>
      <c r="O315" s="3"/>
      <c r="P315" s="3"/>
      <c r="Q315" s="3"/>
      <c r="R315" s="32"/>
      <c r="S315" s="32"/>
      <c r="T315" s="3"/>
      <c r="U315" s="33"/>
      <c r="V315" s="33"/>
      <c r="W315" s="3"/>
      <c r="X315" s="3"/>
      <c r="Y315" s="3"/>
      <c r="Z315" s="3"/>
      <c r="AA315" s="3"/>
      <c r="AB315" s="3"/>
      <c r="AC315" s="3"/>
      <c r="AD315" s="32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4"/>
      <c r="AT315" s="3"/>
      <c r="AU315" s="3"/>
      <c r="AV315" s="3"/>
      <c r="AW315" s="3"/>
      <c r="AX315" s="4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220"/>
      <c r="CY315" s="220"/>
      <c r="CZ315" s="220"/>
      <c r="DA315" s="220"/>
      <c r="DB315" s="365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  <c r="ED315" s="3"/>
      <c r="EE315" s="3"/>
      <c r="EF315" s="3"/>
      <c r="EG315" s="3"/>
      <c r="EH315" s="3"/>
    </row>
    <row r="316" spans="1:138" s="82" customFormat="1" x14ac:dyDescent="0.2">
      <c r="A316" s="3"/>
      <c r="B316" s="167"/>
      <c r="C316" s="3"/>
      <c r="D316" s="29"/>
      <c r="E316" s="31"/>
      <c r="F316" s="133"/>
      <c r="G316" s="3"/>
      <c r="H316" s="31"/>
      <c r="I316" s="31"/>
      <c r="J316" s="3"/>
      <c r="K316" s="3"/>
      <c r="L316" s="3"/>
      <c r="M316" s="3"/>
      <c r="N316" s="3"/>
      <c r="O316" s="3"/>
      <c r="P316" s="3"/>
      <c r="Q316" s="3"/>
      <c r="R316" s="32"/>
      <c r="S316" s="32"/>
      <c r="T316" s="3"/>
      <c r="U316" s="33"/>
      <c r="V316" s="33"/>
      <c r="W316" s="3"/>
      <c r="X316" s="3"/>
      <c r="Y316" s="3"/>
      <c r="Z316" s="3"/>
      <c r="AA316" s="3"/>
      <c r="AB316" s="3"/>
      <c r="AC316" s="3"/>
      <c r="AD316" s="32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4"/>
      <c r="AT316" s="3"/>
      <c r="AU316" s="3"/>
      <c r="AV316" s="3"/>
      <c r="AW316" s="3"/>
      <c r="AX316" s="4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84"/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220"/>
      <c r="CY316" s="220"/>
      <c r="CZ316" s="220"/>
      <c r="DA316" s="220"/>
      <c r="DB316" s="365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  <c r="ED316" s="3"/>
      <c r="EE316" s="3"/>
      <c r="EF316" s="3"/>
      <c r="EG316" s="3"/>
      <c r="EH316" s="3"/>
    </row>
    <row r="317" spans="1:138" s="82" customFormat="1" x14ac:dyDescent="0.2">
      <c r="A317" s="3"/>
      <c r="B317" s="167"/>
      <c r="C317" s="3"/>
      <c r="D317" s="29"/>
      <c r="E317" s="31"/>
      <c r="F317" s="133"/>
      <c r="G317" s="3"/>
      <c r="H317" s="31"/>
      <c r="I317" s="31"/>
      <c r="J317" s="3"/>
      <c r="K317" s="3"/>
      <c r="L317" s="3"/>
      <c r="M317" s="3"/>
      <c r="N317" s="3"/>
      <c r="O317" s="3"/>
      <c r="P317" s="3"/>
      <c r="Q317" s="3"/>
      <c r="R317" s="32"/>
      <c r="S317" s="32"/>
      <c r="T317" s="3"/>
      <c r="U317" s="33"/>
      <c r="V317" s="33"/>
      <c r="W317" s="3"/>
      <c r="X317" s="3"/>
      <c r="Y317" s="3"/>
      <c r="Z317" s="3"/>
      <c r="AA317" s="3"/>
      <c r="AB317" s="3"/>
      <c r="AC317" s="3"/>
      <c r="AD317" s="32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4"/>
      <c r="AT317" s="3"/>
      <c r="AU317" s="3"/>
      <c r="AV317" s="3"/>
      <c r="AW317" s="3"/>
      <c r="AX317" s="4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84"/>
      <c r="BZ317" s="84"/>
      <c r="CA317" s="84"/>
      <c r="CB317" s="84"/>
      <c r="CC317" s="84"/>
      <c r="CD317" s="84"/>
      <c r="CE317" s="84"/>
      <c r="CF317" s="84"/>
      <c r="CG317" s="84"/>
      <c r="CH317" s="84"/>
      <c r="CI317" s="84"/>
      <c r="CJ317" s="84"/>
      <c r="CK317" s="84"/>
      <c r="CL317" s="84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220"/>
      <c r="CY317" s="220"/>
      <c r="CZ317" s="220"/>
      <c r="DA317" s="220"/>
      <c r="DB317" s="365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  <c r="ED317" s="3"/>
      <c r="EE317" s="3"/>
      <c r="EF317" s="3"/>
      <c r="EG317" s="3"/>
      <c r="EH317" s="3"/>
    </row>
    <row r="318" spans="1:138" s="82" customFormat="1" x14ac:dyDescent="0.2">
      <c r="A318" s="3"/>
      <c r="B318" s="167"/>
      <c r="C318" s="3"/>
      <c r="D318" s="29"/>
      <c r="E318" s="31"/>
      <c r="F318" s="133"/>
      <c r="G318" s="3"/>
      <c r="H318" s="31"/>
      <c r="I318" s="31"/>
      <c r="J318" s="3"/>
      <c r="K318" s="3"/>
      <c r="L318" s="3"/>
      <c r="M318" s="3"/>
      <c r="N318" s="3"/>
      <c r="O318" s="3"/>
      <c r="P318" s="3"/>
      <c r="Q318" s="3"/>
      <c r="R318" s="32"/>
      <c r="S318" s="32"/>
      <c r="T318" s="3"/>
      <c r="U318" s="33"/>
      <c r="V318" s="33"/>
      <c r="W318" s="3"/>
      <c r="X318" s="3"/>
      <c r="Y318" s="3"/>
      <c r="Z318" s="3"/>
      <c r="AA318" s="3"/>
      <c r="AB318" s="3"/>
      <c r="AC318" s="3"/>
      <c r="AD318" s="32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4"/>
      <c r="AT318" s="3"/>
      <c r="AU318" s="3"/>
      <c r="AV318" s="3"/>
      <c r="AW318" s="3"/>
      <c r="AX318" s="4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220"/>
      <c r="CY318" s="220"/>
      <c r="CZ318" s="220"/>
      <c r="DA318" s="220"/>
      <c r="DB318" s="365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  <c r="ED318" s="3"/>
      <c r="EE318" s="3"/>
      <c r="EF318" s="3"/>
      <c r="EG318" s="3"/>
      <c r="EH318" s="3"/>
    </row>
    <row r="319" spans="1:138" s="82" customFormat="1" x14ac:dyDescent="0.2">
      <c r="A319" s="3"/>
      <c r="B319" s="167"/>
      <c r="C319" s="3"/>
      <c r="D319" s="29"/>
      <c r="E319" s="31"/>
      <c r="F319" s="133"/>
      <c r="G319" s="3"/>
      <c r="H319" s="31"/>
      <c r="I319" s="31"/>
      <c r="J319" s="3"/>
      <c r="K319" s="3"/>
      <c r="L319" s="3"/>
      <c r="M319" s="3"/>
      <c r="N319" s="3"/>
      <c r="O319" s="3"/>
      <c r="P319" s="3"/>
      <c r="Q319" s="3"/>
      <c r="R319" s="32"/>
      <c r="S319" s="32"/>
      <c r="T319" s="3"/>
      <c r="U319" s="33"/>
      <c r="V319" s="33"/>
      <c r="W319" s="3"/>
      <c r="X319" s="3"/>
      <c r="Y319" s="3"/>
      <c r="Z319" s="3"/>
      <c r="AA319" s="3"/>
      <c r="AB319" s="3"/>
      <c r="AC319" s="3"/>
      <c r="AD319" s="32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4"/>
      <c r="AT319" s="3"/>
      <c r="AU319" s="3"/>
      <c r="AV319" s="3"/>
      <c r="AW319" s="3"/>
      <c r="AX319" s="4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84"/>
      <c r="BZ319" s="84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220"/>
      <c r="CY319" s="220"/>
      <c r="CZ319" s="220"/>
      <c r="DA319" s="220"/>
      <c r="DB319" s="365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  <c r="ED319" s="3"/>
      <c r="EE319" s="3"/>
      <c r="EF319" s="3"/>
      <c r="EG319" s="3"/>
      <c r="EH319" s="3"/>
    </row>
    <row r="320" spans="1:138" s="82" customFormat="1" x14ac:dyDescent="0.2">
      <c r="A320" s="3"/>
      <c r="B320" s="167"/>
      <c r="C320" s="3"/>
      <c r="D320" s="29"/>
      <c r="E320" s="31"/>
      <c r="F320" s="133"/>
      <c r="G320" s="3"/>
      <c r="H320" s="31"/>
      <c r="I320" s="31"/>
      <c r="J320" s="3"/>
      <c r="K320" s="3"/>
      <c r="L320" s="3"/>
      <c r="M320" s="3"/>
      <c r="N320" s="3"/>
      <c r="O320" s="3"/>
      <c r="P320" s="3"/>
      <c r="Q320" s="3"/>
      <c r="R320" s="32"/>
      <c r="S320" s="32"/>
      <c r="T320" s="3"/>
      <c r="U320" s="33"/>
      <c r="V320" s="33"/>
      <c r="W320" s="3"/>
      <c r="X320" s="3"/>
      <c r="Y320" s="3"/>
      <c r="Z320" s="3"/>
      <c r="AA320" s="3"/>
      <c r="AB320" s="3"/>
      <c r="AC320" s="3"/>
      <c r="AD320" s="32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4"/>
      <c r="AT320" s="3"/>
      <c r="AU320" s="3"/>
      <c r="AV320" s="3"/>
      <c r="AW320" s="3"/>
      <c r="AX320" s="4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84"/>
      <c r="BZ320" s="84"/>
      <c r="CA320" s="84"/>
      <c r="CB320" s="84"/>
      <c r="CC320" s="84"/>
      <c r="CD320" s="84"/>
      <c r="CE320" s="84"/>
      <c r="CF320" s="84"/>
      <c r="CG320" s="84"/>
      <c r="CH320" s="84"/>
      <c r="CI320" s="84"/>
      <c r="CJ320" s="84"/>
      <c r="CK320" s="84"/>
      <c r="CL320" s="84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220"/>
      <c r="CY320" s="220"/>
      <c r="CZ320" s="220"/>
      <c r="DA320" s="220"/>
      <c r="DB320" s="365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  <c r="ED320" s="3"/>
      <c r="EE320" s="3"/>
      <c r="EF320" s="3"/>
      <c r="EG320" s="3"/>
      <c r="EH320" s="3"/>
    </row>
    <row r="321" spans="1:138" s="82" customFormat="1" x14ac:dyDescent="0.2">
      <c r="A321" s="3"/>
      <c r="B321" s="167"/>
      <c r="C321" s="3"/>
      <c r="D321" s="29"/>
      <c r="E321" s="31"/>
      <c r="F321" s="133"/>
      <c r="G321" s="3"/>
      <c r="H321" s="31"/>
      <c r="I321" s="31"/>
      <c r="J321" s="3"/>
      <c r="K321" s="3"/>
      <c r="L321" s="3"/>
      <c r="M321" s="3"/>
      <c r="N321" s="3"/>
      <c r="O321" s="3"/>
      <c r="P321" s="3"/>
      <c r="Q321" s="3"/>
      <c r="R321" s="32"/>
      <c r="S321" s="32"/>
      <c r="T321" s="3"/>
      <c r="U321" s="33"/>
      <c r="V321" s="33"/>
      <c r="W321" s="3"/>
      <c r="X321" s="3"/>
      <c r="Y321" s="3"/>
      <c r="Z321" s="3"/>
      <c r="AA321" s="3"/>
      <c r="AB321" s="3"/>
      <c r="AC321" s="3"/>
      <c r="AD321" s="32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4"/>
      <c r="AT321" s="3"/>
      <c r="AU321" s="3"/>
      <c r="AV321" s="3"/>
      <c r="AW321" s="3"/>
      <c r="AX321" s="4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220"/>
      <c r="CY321" s="220"/>
      <c r="CZ321" s="220"/>
      <c r="DA321" s="220"/>
      <c r="DB321" s="365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3"/>
      <c r="EE321" s="3"/>
      <c r="EF321" s="3"/>
      <c r="EG321" s="3"/>
      <c r="EH321" s="3"/>
    </row>
    <row r="322" spans="1:138" s="82" customFormat="1" x14ac:dyDescent="0.2">
      <c r="A322" s="3"/>
      <c r="B322" s="167"/>
      <c r="C322" s="3"/>
      <c r="D322" s="29"/>
      <c r="E322" s="31"/>
      <c r="F322" s="133"/>
      <c r="G322" s="3"/>
      <c r="H322" s="31"/>
      <c r="I322" s="31"/>
      <c r="J322" s="3"/>
      <c r="K322" s="3"/>
      <c r="L322" s="3"/>
      <c r="M322" s="3"/>
      <c r="N322" s="3"/>
      <c r="O322" s="3"/>
      <c r="P322" s="3"/>
      <c r="Q322" s="3"/>
      <c r="R322" s="32"/>
      <c r="S322" s="32"/>
      <c r="T322" s="3"/>
      <c r="U322" s="33"/>
      <c r="V322" s="33"/>
      <c r="W322" s="3"/>
      <c r="X322" s="3"/>
      <c r="Y322" s="3"/>
      <c r="Z322" s="3"/>
      <c r="AA322" s="3"/>
      <c r="AB322" s="3"/>
      <c r="AC322" s="3"/>
      <c r="AD322" s="32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4"/>
      <c r="AT322" s="3"/>
      <c r="AU322" s="3"/>
      <c r="AV322" s="3"/>
      <c r="AW322" s="3"/>
      <c r="AX322" s="4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84"/>
      <c r="BZ322" s="84"/>
      <c r="CA322" s="84"/>
      <c r="CB322" s="84"/>
      <c r="CC322" s="84"/>
      <c r="CD322" s="84"/>
      <c r="CE322" s="84"/>
      <c r="CF322" s="84"/>
      <c r="CG322" s="84"/>
      <c r="CH322" s="84"/>
      <c r="CI322" s="84"/>
      <c r="CJ322" s="84"/>
      <c r="CK322" s="84"/>
      <c r="CL322" s="84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220"/>
      <c r="CY322" s="220"/>
      <c r="CZ322" s="220"/>
      <c r="DA322" s="220"/>
      <c r="DB322" s="365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  <c r="ED322" s="3"/>
      <c r="EE322" s="3"/>
      <c r="EF322" s="3"/>
      <c r="EG322" s="3"/>
      <c r="EH322" s="3"/>
    </row>
    <row r="323" spans="1:138" s="82" customFormat="1" x14ac:dyDescent="0.2">
      <c r="A323" s="3"/>
      <c r="B323" s="167"/>
      <c r="C323" s="3"/>
      <c r="D323" s="29"/>
      <c r="E323" s="31"/>
      <c r="F323" s="133"/>
      <c r="G323" s="3"/>
      <c r="H323" s="31"/>
      <c r="I323" s="31"/>
      <c r="J323" s="3"/>
      <c r="K323" s="3"/>
      <c r="L323" s="3"/>
      <c r="M323" s="3"/>
      <c r="N323" s="3"/>
      <c r="O323" s="3"/>
      <c r="P323" s="3"/>
      <c r="Q323" s="3"/>
      <c r="R323" s="32"/>
      <c r="S323" s="32"/>
      <c r="T323" s="3"/>
      <c r="U323" s="33"/>
      <c r="V323" s="33"/>
      <c r="W323" s="3"/>
      <c r="X323" s="3"/>
      <c r="Y323" s="3"/>
      <c r="Z323" s="3"/>
      <c r="AA323" s="3"/>
      <c r="AB323" s="3"/>
      <c r="AC323" s="3"/>
      <c r="AD323" s="32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4"/>
      <c r="AT323" s="3"/>
      <c r="AU323" s="3"/>
      <c r="AV323" s="3"/>
      <c r="AW323" s="3"/>
      <c r="AX323" s="4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84"/>
      <c r="BZ323" s="84"/>
      <c r="CA323" s="84"/>
      <c r="CB323" s="84"/>
      <c r="CC323" s="84"/>
      <c r="CD323" s="84"/>
      <c r="CE323" s="84"/>
      <c r="CF323" s="84"/>
      <c r="CG323" s="84"/>
      <c r="CH323" s="84"/>
      <c r="CI323" s="84"/>
      <c r="CJ323" s="84"/>
      <c r="CK323" s="84"/>
      <c r="CL323" s="84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220"/>
      <c r="CY323" s="220"/>
      <c r="CZ323" s="220"/>
      <c r="DA323" s="220"/>
      <c r="DB323" s="365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  <c r="ED323" s="3"/>
      <c r="EE323" s="3"/>
      <c r="EF323" s="3"/>
      <c r="EG323" s="3"/>
      <c r="EH323" s="3"/>
    </row>
    <row r="324" spans="1:138" s="82" customFormat="1" x14ac:dyDescent="0.2">
      <c r="A324" s="3"/>
      <c r="B324" s="167"/>
      <c r="C324" s="3"/>
      <c r="D324" s="29"/>
      <c r="E324" s="31"/>
      <c r="F324" s="133"/>
      <c r="G324" s="3"/>
      <c r="H324" s="31"/>
      <c r="I324" s="31"/>
      <c r="J324" s="3"/>
      <c r="K324" s="3"/>
      <c r="L324" s="3"/>
      <c r="M324" s="3"/>
      <c r="N324" s="3"/>
      <c r="O324" s="3"/>
      <c r="P324" s="3"/>
      <c r="Q324" s="3"/>
      <c r="R324" s="32"/>
      <c r="S324" s="32"/>
      <c r="T324" s="3"/>
      <c r="U324" s="33"/>
      <c r="V324" s="33"/>
      <c r="W324" s="3"/>
      <c r="X324" s="3"/>
      <c r="Y324" s="3"/>
      <c r="Z324" s="3"/>
      <c r="AA324" s="3"/>
      <c r="AB324" s="3"/>
      <c r="AC324" s="3"/>
      <c r="AD324" s="32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4"/>
      <c r="AT324" s="3"/>
      <c r="AU324" s="3"/>
      <c r="AV324" s="3"/>
      <c r="AW324" s="3"/>
      <c r="AX324" s="4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220"/>
      <c r="CY324" s="220"/>
      <c r="CZ324" s="220"/>
      <c r="DA324" s="220"/>
      <c r="DB324" s="365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3"/>
      <c r="EE324" s="3"/>
      <c r="EF324" s="3"/>
      <c r="EG324" s="3"/>
      <c r="EH324" s="3"/>
    </row>
    <row r="325" spans="1:138" s="82" customFormat="1" x14ac:dyDescent="0.2">
      <c r="A325" s="3"/>
      <c r="B325" s="167"/>
      <c r="C325" s="3"/>
      <c r="D325" s="29"/>
      <c r="E325" s="31"/>
      <c r="F325" s="133"/>
      <c r="G325" s="3"/>
      <c r="H325" s="31"/>
      <c r="I325" s="31"/>
      <c r="J325" s="3"/>
      <c r="K325" s="3"/>
      <c r="L325" s="3"/>
      <c r="M325" s="3"/>
      <c r="N325" s="3"/>
      <c r="O325" s="3"/>
      <c r="P325" s="3"/>
      <c r="Q325" s="3"/>
      <c r="R325" s="32"/>
      <c r="S325" s="32"/>
      <c r="T325" s="3"/>
      <c r="U325" s="33"/>
      <c r="V325" s="33"/>
      <c r="W325" s="3"/>
      <c r="X325" s="3"/>
      <c r="Y325" s="3"/>
      <c r="Z325" s="3"/>
      <c r="AA325" s="3"/>
      <c r="AB325" s="3"/>
      <c r="AC325" s="3"/>
      <c r="AD325" s="32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4"/>
      <c r="AT325" s="3"/>
      <c r="AU325" s="3"/>
      <c r="AV325" s="3"/>
      <c r="AW325" s="3"/>
      <c r="AX325" s="4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220"/>
      <c r="CY325" s="220"/>
      <c r="CZ325" s="220"/>
      <c r="DA325" s="220"/>
      <c r="DB325" s="365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  <c r="ED325" s="3"/>
      <c r="EE325" s="3"/>
      <c r="EF325" s="3"/>
      <c r="EG325" s="3"/>
      <c r="EH325" s="3"/>
    </row>
    <row r="326" spans="1:138" s="82" customFormat="1" x14ac:dyDescent="0.2">
      <c r="A326" s="3"/>
      <c r="B326" s="167"/>
      <c r="C326" s="3"/>
      <c r="D326" s="29"/>
      <c r="E326" s="31"/>
      <c r="F326" s="133"/>
      <c r="G326" s="3"/>
      <c r="H326" s="31"/>
      <c r="I326" s="31"/>
      <c r="J326" s="3"/>
      <c r="K326" s="3"/>
      <c r="L326" s="3"/>
      <c r="M326" s="3"/>
      <c r="N326" s="3"/>
      <c r="O326" s="3"/>
      <c r="P326" s="3"/>
      <c r="Q326" s="3"/>
      <c r="R326" s="32"/>
      <c r="S326" s="32"/>
      <c r="T326" s="3"/>
      <c r="U326" s="33"/>
      <c r="V326" s="33"/>
      <c r="W326" s="3"/>
      <c r="X326" s="3"/>
      <c r="Y326" s="3"/>
      <c r="Z326" s="3"/>
      <c r="AA326" s="3"/>
      <c r="AB326" s="3"/>
      <c r="AC326" s="3"/>
      <c r="AD326" s="32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4"/>
      <c r="AT326" s="3"/>
      <c r="AU326" s="3"/>
      <c r="AV326" s="3"/>
      <c r="AW326" s="3"/>
      <c r="AX326" s="4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84"/>
      <c r="BZ326" s="84"/>
      <c r="CA326" s="84"/>
      <c r="CB326" s="84"/>
      <c r="CC326" s="84"/>
      <c r="CD326" s="84"/>
      <c r="CE326" s="84"/>
      <c r="CF326" s="84"/>
      <c r="CG326" s="84"/>
      <c r="CH326" s="84"/>
      <c r="CI326" s="84"/>
      <c r="CJ326" s="84"/>
      <c r="CK326" s="84"/>
      <c r="CL326" s="84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220"/>
      <c r="CY326" s="220"/>
      <c r="CZ326" s="220"/>
      <c r="DA326" s="220"/>
      <c r="DB326" s="365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  <c r="ED326" s="3"/>
      <c r="EE326" s="3"/>
      <c r="EF326" s="3"/>
      <c r="EG326" s="3"/>
      <c r="EH326" s="3"/>
    </row>
    <row r="327" spans="1:138" s="82" customFormat="1" x14ac:dyDescent="0.2">
      <c r="A327" s="3"/>
      <c r="B327" s="167"/>
      <c r="C327" s="3"/>
      <c r="D327" s="29"/>
      <c r="E327" s="31"/>
      <c r="F327" s="133"/>
      <c r="G327" s="3"/>
      <c r="H327" s="31"/>
      <c r="I327" s="31"/>
      <c r="J327" s="3"/>
      <c r="K327" s="3"/>
      <c r="L327" s="3"/>
      <c r="M327" s="3"/>
      <c r="N327" s="3"/>
      <c r="O327" s="3"/>
      <c r="P327" s="3"/>
      <c r="Q327" s="3"/>
      <c r="R327" s="32"/>
      <c r="S327" s="32"/>
      <c r="T327" s="3"/>
      <c r="U327" s="33"/>
      <c r="V327" s="33"/>
      <c r="W327" s="3"/>
      <c r="X327" s="3"/>
      <c r="Y327" s="3"/>
      <c r="Z327" s="3"/>
      <c r="AA327" s="3"/>
      <c r="AB327" s="3"/>
      <c r="AC327" s="3"/>
      <c r="AD327" s="32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4"/>
      <c r="AT327" s="3"/>
      <c r="AU327" s="3"/>
      <c r="AV327" s="3"/>
      <c r="AW327" s="3"/>
      <c r="AX327" s="4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84"/>
      <c r="BZ327" s="84"/>
      <c r="CA327" s="84"/>
      <c r="CB327" s="84"/>
      <c r="CC327" s="84"/>
      <c r="CD327" s="84"/>
      <c r="CE327" s="84"/>
      <c r="CF327" s="84"/>
      <c r="CG327" s="84"/>
      <c r="CH327" s="84"/>
      <c r="CI327" s="84"/>
      <c r="CJ327" s="84"/>
      <c r="CK327" s="84"/>
      <c r="CL327" s="84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220"/>
      <c r="CY327" s="220"/>
      <c r="CZ327" s="220"/>
      <c r="DA327" s="220"/>
      <c r="DB327" s="365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  <c r="ED327" s="3"/>
      <c r="EE327" s="3"/>
      <c r="EF327" s="3"/>
      <c r="EG327" s="3"/>
      <c r="EH327" s="3"/>
    </row>
    <row r="328" spans="1:138" s="82" customFormat="1" x14ac:dyDescent="0.2">
      <c r="A328" s="3"/>
      <c r="B328" s="167"/>
      <c r="C328" s="3"/>
      <c r="D328" s="29"/>
      <c r="E328" s="31"/>
      <c r="F328" s="133"/>
      <c r="G328" s="3"/>
      <c r="H328" s="31"/>
      <c r="I328" s="31"/>
      <c r="J328" s="3"/>
      <c r="K328" s="3"/>
      <c r="L328" s="3"/>
      <c r="M328" s="3"/>
      <c r="N328" s="3"/>
      <c r="O328" s="3"/>
      <c r="P328" s="3"/>
      <c r="Q328" s="3"/>
      <c r="R328" s="32"/>
      <c r="S328" s="32"/>
      <c r="T328" s="3"/>
      <c r="U328" s="33"/>
      <c r="V328" s="33"/>
      <c r="W328" s="3"/>
      <c r="X328" s="3"/>
      <c r="Y328" s="3"/>
      <c r="Z328" s="3"/>
      <c r="AA328" s="3"/>
      <c r="AB328" s="3"/>
      <c r="AC328" s="3"/>
      <c r="AD328" s="32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4"/>
      <c r="AT328" s="3"/>
      <c r="AU328" s="3"/>
      <c r="AV328" s="3"/>
      <c r="AW328" s="3"/>
      <c r="AX328" s="4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84"/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220"/>
      <c r="CY328" s="220"/>
      <c r="CZ328" s="220"/>
      <c r="DA328" s="220"/>
      <c r="DB328" s="365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  <c r="ED328" s="3"/>
      <c r="EE328" s="3"/>
      <c r="EF328" s="3"/>
      <c r="EG328" s="3"/>
      <c r="EH328" s="3"/>
    </row>
    <row r="329" spans="1:138" s="82" customFormat="1" x14ac:dyDescent="0.2">
      <c r="A329" s="3"/>
      <c r="B329" s="167"/>
      <c r="C329" s="3"/>
      <c r="D329" s="29"/>
      <c r="E329" s="31"/>
      <c r="F329" s="133"/>
      <c r="G329" s="3"/>
      <c r="H329" s="31"/>
      <c r="I329" s="31"/>
      <c r="J329" s="3"/>
      <c r="K329" s="3"/>
      <c r="L329" s="3"/>
      <c r="M329" s="3"/>
      <c r="N329" s="3"/>
      <c r="O329" s="3"/>
      <c r="P329" s="3"/>
      <c r="Q329" s="3"/>
      <c r="R329" s="33"/>
      <c r="S329" s="33"/>
      <c r="T329" s="3"/>
      <c r="U329" s="33"/>
      <c r="V329" s="33"/>
      <c r="W329" s="3"/>
      <c r="X329" s="3"/>
      <c r="Y329" s="3"/>
      <c r="Z329" s="3"/>
      <c r="AA329" s="3"/>
      <c r="AB329" s="3"/>
      <c r="AC329" s="3"/>
      <c r="AD329" s="3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4"/>
      <c r="AT329" s="3"/>
      <c r="AU329" s="3"/>
      <c r="AV329" s="3"/>
      <c r="AW329" s="3"/>
      <c r="AX329" s="4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84"/>
      <c r="BZ329" s="84"/>
      <c r="CA329" s="84"/>
      <c r="CB329" s="84"/>
      <c r="CC329" s="84"/>
      <c r="CD329" s="84"/>
      <c r="CE329" s="84"/>
      <c r="CF329" s="84"/>
      <c r="CG329" s="84"/>
      <c r="CH329" s="84"/>
      <c r="CI329" s="84"/>
      <c r="CJ329" s="84"/>
      <c r="CK329" s="84"/>
      <c r="CL329" s="84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220"/>
      <c r="CY329" s="220"/>
      <c r="CZ329" s="220"/>
      <c r="DA329" s="220"/>
      <c r="DB329" s="365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  <c r="ED329" s="3"/>
      <c r="EE329" s="3"/>
      <c r="EF329" s="3"/>
      <c r="EG329" s="3"/>
      <c r="EH329" s="3"/>
    </row>
    <row r="330" spans="1:138" s="82" customFormat="1" x14ac:dyDescent="0.2">
      <c r="A330" s="3"/>
      <c r="B330" s="167"/>
      <c r="C330" s="3"/>
      <c r="D330" s="29"/>
      <c r="E330" s="31"/>
      <c r="F330" s="133"/>
      <c r="G330" s="3"/>
      <c r="H330" s="31"/>
      <c r="I330" s="31"/>
      <c r="J330" s="3"/>
      <c r="K330" s="3"/>
      <c r="L330" s="3"/>
      <c r="M330" s="3"/>
      <c r="N330" s="3"/>
      <c r="O330" s="3"/>
      <c r="P330" s="3"/>
      <c r="Q330" s="3"/>
      <c r="R330" s="32"/>
      <c r="S330" s="32"/>
      <c r="T330" s="3"/>
      <c r="U330" s="33"/>
      <c r="V330" s="33"/>
      <c r="W330" s="3"/>
      <c r="X330" s="3"/>
      <c r="Y330" s="3"/>
      <c r="Z330" s="3"/>
      <c r="AA330" s="3"/>
      <c r="AB330" s="3"/>
      <c r="AC330" s="3"/>
      <c r="AD330" s="32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4"/>
      <c r="AT330" s="3"/>
      <c r="AU330" s="3"/>
      <c r="AV330" s="3"/>
      <c r="AW330" s="3"/>
      <c r="AX330" s="4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84"/>
      <c r="BZ330" s="84"/>
      <c r="CA330" s="84"/>
      <c r="CB330" s="84"/>
      <c r="CC330" s="84"/>
      <c r="CD330" s="84"/>
      <c r="CE330" s="84"/>
      <c r="CF330" s="84"/>
      <c r="CG330" s="84"/>
      <c r="CH330" s="84"/>
      <c r="CI330" s="84"/>
      <c r="CJ330" s="84"/>
      <c r="CK330" s="84"/>
      <c r="CL330" s="84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220"/>
      <c r="CY330" s="220"/>
      <c r="CZ330" s="220"/>
      <c r="DA330" s="220"/>
      <c r="DB330" s="365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  <c r="ED330" s="3"/>
      <c r="EE330" s="3"/>
      <c r="EF330" s="3"/>
      <c r="EG330" s="3"/>
      <c r="EH330" s="3"/>
    </row>
    <row r="331" spans="1:138" s="82" customFormat="1" x14ac:dyDescent="0.2">
      <c r="A331" s="3"/>
      <c r="B331" s="167"/>
      <c r="C331" s="3"/>
      <c r="D331" s="29"/>
      <c r="E331" s="31"/>
      <c r="F331" s="133"/>
      <c r="G331" s="3"/>
      <c r="H331" s="31"/>
      <c r="I331" s="31"/>
      <c r="J331" s="3"/>
      <c r="K331" s="3"/>
      <c r="L331" s="3"/>
      <c r="M331" s="3"/>
      <c r="N331" s="3"/>
      <c r="O331" s="3"/>
      <c r="P331" s="3"/>
      <c r="Q331" s="3"/>
      <c r="R331" s="32"/>
      <c r="S331" s="32"/>
      <c r="T331" s="3"/>
      <c r="U331" s="33"/>
      <c r="V331" s="33"/>
      <c r="W331" s="3"/>
      <c r="X331" s="3"/>
      <c r="Y331" s="3"/>
      <c r="Z331" s="3"/>
      <c r="AA331" s="3"/>
      <c r="AB331" s="3"/>
      <c r="AC331" s="3"/>
      <c r="AD331" s="32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4"/>
      <c r="AT331" s="3"/>
      <c r="AU331" s="3"/>
      <c r="AV331" s="3"/>
      <c r="AW331" s="3"/>
      <c r="AX331" s="4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84"/>
      <c r="BZ331" s="84"/>
      <c r="CA331" s="84"/>
      <c r="CB331" s="84"/>
      <c r="CC331" s="84"/>
      <c r="CD331" s="84"/>
      <c r="CE331" s="84"/>
      <c r="CF331" s="84"/>
      <c r="CG331" s="84"/>
      <c r="CH331" s="84"/>
      <c r="CI331" s="84"/>
      <c r="CJ331" s="84"/>
      <c r="CK331" s="84"/>
      <c r="CL331" s="84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220"/>
      <c r="CY331" s="220"/>
      <c r="CZ331" s="220"/>
      <c r="DA331" s="220"/>
      <c r="DB331" s="365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  <c r="ED331" s="3"/>
      <c r="EE331" s="3"/>
      <c r="EF331" s="3"/>
      <c r="EG331" s="3"/>
      <c r="EH331" s="3"/>
    </row>
    <row r="332" spans="1:138" s="82" customFormat="1" x14ac:dyDescent="0.2">
      <c r="A332" s="3"/>
      <c r="B332" s="167"/>
      <c r="C332" s="3"/>
      <c r="D332" s="29"/>
      <c r="E332" s="31"/>
      <c r="F332" s="133"/>
      <c r="G332" s="3"/>
      <c r="H332" s="31"/>
      <c r="I332" s="31"/>
      <c r="J332" s="3"/>
      <c r="K332" s="3"/>
      <c r="L332" s="3"/>
      <c r="M332" s="3"/>
      <c r="N332" s="3"/>
      <c r="O332" s="3"/>
      <c r="P332" s="3"/>
      <c r="Q332" s="3"/>
      <c r="R332" s="32"/>
      <c r="S332" s="32"/>
      <c r="T332" s="3"/>
      <c r="U332" s="33"/>
      <c r="V332" s="33"/>
      <c r="W332" s="3"/>
      <c r="X332" s="3"/>
      <c r="Y332" s="3"/>
      <c r="Z332" s="3"/>
      <c r="AA332" s="3"/>
      <c r="AB332" s="3"/>
      <c r="AC332" s="3"/>
      <c r="AD332" s="32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4"/>
      <c r="AT332" s="3"/>
      <c r="AU332" s="3"/>
      <c r="AV332" s="3"/>
      <c r="AW332" s="3"/>
      <c r="AX332" s="4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84"/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4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220"/>
      <c r="CY332" s="220"/>
      <c r="CZ332" s="220"/>
      <c r="DA332" s="220"/>
      <c r="DB332" s="365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  <c r="ED332" s="3"/>
      <c r="EE332" s="3"/>
      <c r="EF332" s="3"/>
      <c r="EG332" s="3"/>
      <c r="EH332" s="3"/>
    </row>
    <row r="333" spans="1:138" s="82" customFormat="1" x14ac:dyDescent="0.2">
      <c r="A333" s="3"/>
      <c r="B333" s="167"/>
      <c r="C333" s="3"/>
      <c r="D333" s="29"/>
      <c r="E333" s="31"/>
      <c r="F333" s="133"/>
      <c r="G333" s="3"/>
      <c r="H333" s="31"/>
      <c r="I333" s="31"/>
      <c r="J333" s="3"/>
      <c r="K333" s="3"/>
      <c r="L333" s="3"/>
      <c r="M333" s="3"/>
      <c r="N333" s="3"/>
      <c r="O333" s="3"/>
      <c r="P333" s="3"/>
      <c r="Q333" s="3"/>
      <c r="R333" s="32"/>
      <c r="S333" s="32"/>
      <c r="T333" s="3"/>
      <c r="U333" s="33"/>
      <c r="V333" s="33"/>
      <c r="W333" s="3"/>
      <c r="X333" s="3"/>
      <c r="Y333" s="3"/>
      <c r="Z333" s="3"/>
      <c r="AA333" s="3"/>
      <c r="AB333" s="3"/>
      <c r="AC333" s="3"/>
      <c r="AD333" s="32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4"/>
      <c r="AT333" s="3"/>
      <c r="AU333" s="3"/>
      <c r="AV333" s="3"/>
      <c r="AW333" s="3"/>
      <c r="AX333" s="4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84"/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220"/>
      <c r="CY333" s="220"/>
      <c r="CZ333" s="220"/>
      <c r="DA333" s="220"/>
      <c r="DB333" s="365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  <c r="ED333" s="3"/>
      <c r="EE333" s="3"/>
      <c r="EF333" s="3"/>
      <c r="EG333" s="3"/>
      <c r="EH333" s="3"/>
    </row>
    <row r="334" spans="1:138" s="82" customFormat="1" x14ac:dyDescent="0.2">
      <c r="A334" s="3"/>
      <c r="B334" s="167"/>
      <c r="C334" s="3"/>
      <c r="D334" s="29"/>
      <c r="E334" s="31"/>
      <c r="F334" s="133"/>
      <c r="G334" s="3"/>
      <c r="H334" s="31"/>
      <c r="I334" s="31"/>
      <c r="J334" s="3"/>
      <c r="K334" s="3"/>
      <c r="L334" s="3"/>
      <c r="M334" s="3"/>
      <c r="N334" s="3"/>
      <c r="O334" s="3"/>
      <c r="P334" s="3"/>
      <c r="Q334" s="3"/>
      <c r="R334" s="32"/>
      <c r="S334" s="32"/>
      <c r="T334" s="3"/>
      <c r="U334" s="33"/>
      <c r="V334" s="33"/>
      <c r="W334" s="3"/>
      <c r="X334" s="3"/>
      <c r="Y334" s="3"/>
      <c r="Z334" s="3"/>
      <c r="AA334" s="3"/>
      <c r="AB334" s="3"/>
      <c r="AC334" s="3"/>
      <c r="AD334" s="32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4"/>
      <c r="AT334" s="3"/>
      <c r="AU334" s="3"/>
      <c r="AV334" s="3"/>
      <c r="AW334" s="3"/>
      <c r="AX334" s="4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84"/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220"/>
      <c r="CY334" s="220"/>
      <c r="CZ334" s="220"/>
      <c r="DA334" s="220"/>
      <c r="DB334" s="365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  <c r="ED334" s="3"/>
      <c r="EE334" s="3"/>
      <c r="EF334" s="3"/>
      <c r="EG334" s="3"/>
      <c r="EH334" s="3"/>
    </row>
    <row r="335" spans="1:138" s="82" customFormat="1" x14ac:dyDescent="0.2">
      <c r="A335" s="3"/>
      <c r="B335" s="167"/>
      <c r="C335" s="3"/>
      <c r="D335" s="29"/>
      <c r="E335" s="31"/>
      <c r="F335" s="133"/>
      <c r="G335" s="3"/>
      <c r="H335" s="31"/>
      <c r="I335" s="31"/>
      <c r="J335" s="3"/>
      <c r="K335" s="3"/>
      <c r="L335" s="3"/>
      <c r="M335" s="3"/>
      <c r="N335" s="3"/>
      <c r="O335" s="3"/>
      <c r="P335" s="3"/>
      <c r="Q335" s="3"/>
      <c r="R335" s="32"/>
      <c r="S335" s="32"/>
      <c r="T335" s="3"/>
      <c r="U335" s="33"/>
      <c r="V335" s="33"/>
      <c r="W335" s="3"/>
      <c r="X335" s="3"/>
      <c r="Y335" s="3"/>
      <c r="Z335" s="3"/>
      <c r="AA335" s="3"/>
      <c r="AB335" s="3"/>
      <c r="AC335" s="3"/>
      <c r="AD335" s="32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4"/>
      <c r="AT335" s="3"/>
      <c r="AU335" s="3"/>
      <c r="AV335" s="3"/>
      <c r="AW335" s="3"/>
      <c r="AX335" s="4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84"/>
      <c r="BZ335" s="84"/>
      <c r="CA335" s="84"/>
      <c r="CB335" s="84"/>
      <c r="CC335" s="84"/>
      <c r="CD335" s="84"/>
      <c r="CE335" s="84"/>
      <c r="CF335" s="84"/>
      <c r="CG335" s="84"/>
      <c r="CH335" s="84"/>
      <c r="CI335" s="84"/>
      <c r="CJ335" s="84"/>
      <c r="CK335" s="84"/>
      <c r="CL335" s="84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220"/>
      <c r="CY335" s="220"/>
      <c r="CZ335" s="220"/>
      <c r="DA335" s="220"/>
      <c r="DB335" s="365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  <c r="ED335" s="3"/>
      <c r="EE335" s="3"/>
      <c r="EF335" s="3"/>
      <c r="EG335" s="3"/>
      <c r="EH335" s="3"/>
    </row>
    <row r="336" spans="1:138" s="82" customFormat="1" x14ac:dyDescent="0.2">
      <c r="A336" s="3"/>
      <c r="B336" s="167"/>
      <c r="C336" s="3"/>
      <c r="D336" s="29"/>
      <c r="E336" s="31"/>
      <c r="F336" s="133"/>
      <c r="G336" s="3"/>
      <c r="H336" s="31"/>
      <c r="I336" s="31"/>
      <c r="J336" s="3"/>
      <c r="K336" s="3"/>
      <c r="L336" s="3"/>
      <c r="M336" s="3"/>
      <c r="N336" s="3"/>
      <c r="O336" s="3"/>
      <c r="P336" s="3"/>
      <c r="Q336" s="3"/>
      <c r="R336" s="32"/>
      <c r="S336" s="32"/>
      <c r="T336" s="3"/>
      <c r="U336" s="33"/>
      <c r="V336" s="33"/>
      <c r="W336" s="3"/>
      <c r="X336" s="3"/>
      <c r="Y336" s="3"/>
      <c r="Z336" s="3"/>
      <c r="AA336" s="3"/>
      <c r="AB336" s="3"/>
      <c r="AC336" s="3"/>
      <c r="AD336" s="32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4"/>
      <c r="AT336" s="3"/>
      <c r="AU336" s="3"/>
      <c r="AV336" s="3"/>
      <c r="AW336" s="3"/>
      <c r="AX336" s="4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220"/>
      <c r="CY336" s="220"/>
      <c r="CZ336" s="220"/>
      <c r="DA336" s="220"/>
      <c r="DB336" s="365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  <c r="ED336" s="3"/>
      <c r="EE336" s="3"/>
      <c r="EF336" s="3"/>
      <c r="EG336" s="3"/>
      <c r="EH336" s="3"/>
    </row>
    <row r="337" spans="1:138" s="82" customFormat="1" x14ac:dyDescent="0.2">
      <c r="A337" s="3"/>
      <c r="B337" s="167"/>
      <c r="C337" s="3"/>
      <c r="D337" s="29"/>
      <c r="E337" s="31"/>
      <c r="F337" s="133"/>
      <c r="G337" s="3"/>
      <c r="H337" s="31"/>
      <c r="I337" s="31"/>
      <c r="J337" s="3"/>
      <c r="K337" s="3"/>
      <c r="L337" s="3"/>
      <c r="M337" s="3"/>
      <c r="N337" s="3"/>
      <c r="O337" s="3"/>
      <c r="P337" s="3"/>
      <c r="Q337" s="3"/>
      <c r="R337" s="32"/>
      <c r="S337" s="32"/>
      <c r="T337" s="3"/>
      <c r="U337" s="33"/>
      <c r="V337" s="33"/>
      <c r="W337" s="3"/>
      <c r="X337" s="3"/>
      <c r="Y337" s="3"/>
      <c r="Z337" s="3"/>
      <c r="AA337" s="3"/>
      <c r="AB337" s="3"/>
      <c r="AC337" s="3"/>
      <c r="AD337" s="32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4"/>
      <c r="AT337" s="3"/>
      <c r="AU337" s="3"/>
      <c r="AV337" s="3"/>
      <c r="AW337" s="3"/>
      <c r="AX337" s="4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220"/>
      <c r="CY337" s="220"/>
      <c r="CZ337" s="220"/>
      <c r="DA337" s="220"/>
      <c r="DB337" s="365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3"/>
      <c r="EE337" s="3"/>
      <c r="EF337" s="3"/>
      <c r="EG337" s="3"/>
      <c r="EH337" s="3"/>
    </row>
    <row r="338" spans="1:138" s="82" customFormat="1" x14ac:dyDescent="0.2">
      <c r="A338" s="3"/>
      <c r="B338" s="167"/>
      <c r="C338" s="3"/>
      <c r="D338" s="29"/>
      <c r="E338" s="31"/>
      <c r="F338" s="133"/>
      <c r="G338" s="3"/>
      <c r="H338" s="31"/>
      <c r="I338" s="31"/>
      <c r="J338" s="3"/>
      <c r="K338" s="3"/>
      <c r="L338" s="3"/>
      <c r="M338" s="3"/>
      <c r="N338" s="3"/>
      <c r="O338" s="3"/>
      <c r="P338" s="3"/>
      <c r="Q338" s="3"/>
      <c r="R338" s="32"/>
      <c r="S338" s="32"/>
      <c r="T338" s="3"/>
      <c r="U338" s="33"/>
      <c r="V338" s="33"/>
      <c r="W338" s="3"/>
      <c r="X338" s="3"/>
      <c r="Y338" s="3"/>
      <c r="Z338" s="3"/>
      <c r="AA338" s="3"/>
      <c r="AB338" s="3"/>
      <c r="AC338" s="3"/>
      <c r="AD338" s="32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4"/>
      <c r="AT338" s="3"/>
      <c r="AU338" s="3"/>
      <c r="AV338" s="3"/>
      <c r="AW338" s="3"/>
      <c r="AX338" s="4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220"/>
      <c r="CY338" s="220"/>
      <c r="CZ338" s="220"/>
      <c r="DA338" s="220"/>
      <c r="DB338" s="365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  <c r="ED338" s="3"/>
      <c r="EE338" s="3"/>
      <c r="EF338" s="3"/>
      <c r="EG338" s="3"/>
      <c r="EH338" s="3"/>
    </row>
    <row r="339" spans="1:138" s="82" customFormat="1" x14ac:dyDescent="0.2">
      <c r="A339" s="3"/>
      <c r="B339" s="167"/>
      <c r="C339" s="3"/>
      <c r="D339" s="29"/>
      <c r="E339" s="31"/>
      <c r="F339" s="133"/>
      <c r="G339" s="3"/>
      <c r="H339" s="31"/>
      <c r="I339" s="31"/>
      <c r="J339" s="3"/>
      <c r="K339" s="3"/>
      <c r="L339" s="3"/>
      <c r="M339" s="3"/>
      <c r="N339" s="3"/>
      <c r="O339" s="3"/>
      <c r="P339" s="3"/>
      <c r="Q339" s="3"/>
      <c r="R339" s="32"/>
      <c r="S339" s="32"/>
      <c r="T339" s="3"/>
      <c r="U339" s="33"/>
      <c r="V339" s="33"/>
      <c r="W339" s="3"/>
      <c r="X339" s="3"/>
      <c r="Y339" s="3"/>
      <c r="Z339" s="3"/>
      <c r="AA339" s="3"/>
      <c r="AB339" s="3"/>
      <c r="AC339" s="3"/>
      <c r="AD339" s="32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4"/>
      <c r="AT339" s="3"/>
      <c r="AU339" s="3"/>
      <c r="AV339" s="3"/>
      <c r="AW339" s="3"/>
      <c r="AX339" s="4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220"/>
      <c r="CY339" s="220"/>
      <c r="CZ339" s="220"/>
      <c r="DA339" s="220"/>
      <c r="DB339" s="365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  <c r="ED339" s="3"/>
      <c r="EE339" s="3"/>
      <c r="EF339" s="3"/>
      <c r="EG339" s="3"/>
      <c r="EH339" s="3"/>
    </row>
    <row r="340" spans="1:138" s="82" customFormat="1" x14ac:dyDescent="0.2">
      <c r="A340" s="3"/>
      <c r="B340" s="167"/>
      <c r="C340" s="3"/>
      <c r="D340" s="29"/>
      <c r="E340" s="31"/>
      <c r="F340" s="133"/>
      <c r="G340" s="3"/>
      <c r="H340" s="31"/>
      <c r="I340" s="31"/>
      <c r="J340" s="3"/>
      <c r="K340" s="3"/>
      <c r="L340" s="3"/>
      <c r="M340" s="3"/>
      <c r="N340" s="3"/>
      <c r="O340" s="3"/>
      <c r="P340" s="3"/>
      <c r="Q340" s="3"/>
      <c r="R340" s="32"/>
      <c r="S340" s="32"/>
      <c r="T340" s="3"/>
      <c r="U340" s="33"/>
      <c r="V340" s="33"/>
      <c r="W340" s="3"/>
      <c r="X340" s="3"/>
      <c r="Y340" s="3"/>
      <c r="Z340" s="3"/>
      <c r="AA340" s="3"/>
      <c r="AB340" s="3"/>
      <c r="AC340" s="3"/>
      <c r="AD340" s="32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4"/>
      <c r="AT340" s="3"/>
      <c r="AU340" s="3"/>
      <c r="AV340" s="3"/>
      <c r="AW340" s="3"/>
      <c r="AX340" s="4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220"/>
      <c r="CY340" s="220"/>
      <c r="CZ340" s="220"/>
      <c r="DA340" s="220"/>
      <c r="DB340" s="365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  <c r="ED340" s="3"/>
      <c r="EE340" s="3"/>
      <c r="EF340" s="3"/>
      <c r="EG340" s="3"/>
      <c r="EH340" s="3"/>
    </row>
    <row r="341" spans="1:138" s="82" customFormat="1" x14ac:dyDescent="0.2">
      <c r="A341" s="3"/>
      <c r="B341" s="167"/>
      <c r="C341" s="3"/>
      <c r="D341" s="29"/>
      <c r="E341" s="31"/>
      <c r="F341" s="133"/>
      <c r="G341" s="3"/>
      <c r="H341" s="31"/>
      <c r="I341" s="31"/>
      <c r="J341" s="3"/>
      <c r="K341" s="3"/>
      <c r="L341" s="3"/>
      <c r="M341" s="3"/>
      <c r="N341" s="3"/>
      <c r="O341" s="3"/>
      <c r="P341" s="3"/>
      <c r="Q341" s="3"/>
      <c r="R341" s="32"/>
      <c r="S341" s="32"/>
      <c r="T341" s="3"/>
      <c r="U341" s="33"/>
      <c r="V341" s="33"/>
      <c r="W341" s="3"/>
      <c r="X341" s="3"/>
      <c r="Y341" s="3"/>
      <c r="Z341" s="3"/>
      <c r="AA341" s="3"/>
      <c r="AB341" s="3"/>
      <c r="AC341" s="3"/>
      <c r="AD341" s="32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4"/>
      <c r="AT341" s="3"/>
      <c r="AU341" s="3"/>
      <c r="AV341" s="3"/>
      <c r="AW341" s="3"/>
      <c r="AX341" s="4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84"/>
      <c r="BZ341" s="84"/>
      <c r="CA341" s="84"/>
      <c r="CB341" s="84"/>
      <c r="CC341" s="84"/>
      <c r="CD341" s="84"/>
      <c r="CE341" s="84"/>
      <c r="CF341" s="84"/>
      <c r="CG341" s="84"/>
      <c r="CH341" s="84"/>
      <c r="CI341" s="84"/>
      <c r="CJ341" s="84"/>
      <c r="CK341" s="84"/>
      <c r="CL341" s="84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220"/>
      <c r="CY341" s="220"/>
      <c r="CZ341" s="220"/>
      <c r="DA341" s="220"/>
      <c r="DB341" s="237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3"/>
      <c r="EE341" s="3"/>
      <c r="EF341" s="3"/>
      <c r="EG341" s="3"/>
      <c r="EH341" s="3"/>
    </row>
    <row r="342" spans="1:138" s="82" customFormat="1" x14ac:dyDescent="0.2">
      <c r="A342" s="3"/>
      <c r="B342" s="167"/>
      <c r="C342" s="3"/>
      <c r="D342" s="29"/>
      <c r="E342" s="31"/>
      <c r="F342" s="133"/>
      <c r="G342" s="3"/>
      <c r="H342" s="31"/>
      <c r="I342" s="31"/>
      <c r="J342" s="3"/>
      <c r="K342" s="3"/>
      <c r="L342" s="3"/>
      <c r="M342" s="3"/>
      <c r="N342" s="3"/>
      <c r="O342" s="3"/>
      <c r="P342" s="3"/>
      <c r="Q342" s="3"/>
      <c r="R342" s="32"/>
      <c r="S342" s="32"/>
      <c r="T342" s="3"/>
      <c r="U342" s="33"/>
      <c r="V342" s="33"/>
      <c r="W342" s="3"/>
      <c r="X342" s="3"/>
      <c r="Y342" s="3"/>
      <c r="Z342" s="3"/>
      <c r="AA342" s="3"/>
      <c r="AB342" s="3"/>
      <c r="AC342" s="3"/>
      <c r="AD342" s="32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4"/>
      <c r="AT342" s="3"/>
      <c r="AU342" s="3"/>
      <c r="AV342" s="3"/>
      <c r="AW342" s="3"/>
      <c r="AX342" s="4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84"/>
      <c r="BZ342" s="84"/>
      <c r="CA342" s="84"/>
      <c r="CB342" s="84"/>
      <c r="CC342" s="84"/>
      <c r="CD342" s="84"/>
      <c r="CE342" s="84"/>
      <c r="CF342" s="84"/>
      <c r="CG342" s="84"/>
      <c r="CH342" s="84"/>
      <c r="CI342" s="84"/>
      <c r="CJ342" s="84"/>
      <c r="CK342" s="84"/>
      <c r="CL342" s="84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220"/>
      <c r="CY342" s="220"/>
      <c r="CZ342" s="220"/>
      <c r="DA342" s="220"/>
      <c r="DB342" s="237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3"/>
      <c r="EE342" s="3"/>
      <c r="EF342" s="3"/>
      <c r="EG342" s="3"/>
      <c r="EH342" s="3"/>
    </row>
    <row r="343" spans="1:138" s="82" customFormat="1" x14ac:dyDescent="0.2">
      <c r="A343" s="3"/>
      <c r="B343" s="167"/>
      <c r="C343" s="3"/>
      <c r="D343" s="29"/>
      <c r="E343" s="31"/>
      <c r="F343" s="133"/>
      <c r="G343" s="3"/>
      <c r="H343" s="31"/>
      <c r="I343" s="31"/>
      <c r="J343" s="3"/>
      <c r="K343" s="3"/>
      <c r="L343" s="3"/>
      <c r="M343" s="3"/>
      <c r="N343" s="3"/>
      <c r="O343" s="3"/>
      <c r="P343" s="3"/>
      <c r="Q343" s="3"/>
      <c r="R343" s="32"/>
      <c r="S343" s="32"/>
      <c r="T343" s="3"/>
      <c r="U343" s="33"/>
      <c r="V343" s="33"/>
      <c r="W343" s="3"/>
      <c r="X343" s="3"/>
      <c r="Y343" s="3"/>
      <c r="Z343" s="3"/>
      <c r="AA343" s="3"/>
      <c r="AB343" s="3"/>
      <c r="AC343" s="3"/>
      <c r="AD343" s="32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4"/>
      <c r="AT343" s="3"/>
      <c r="AU343" s="3"/>
      <c r="AV343" s="3"/>
      <c r="AW343" s="3"/>
      <c r="AX343" s="4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84"/>
      <c r="BZ343" s="84"/>
      <c r="CA343" s="84"/>
      <c r="CB343" s="84"/>
      <c r="CC343" s="84"/>
      <c r="CD343" s="84"/>
      <c r="CE343" s="84"/>
      <c r="CF343" s="84"/>
      <c r="CG343" s="84"/>
      <c r="CH343" s="84"/>
      <c r="CI343" s="84"/>
      <c r="CJ343" s="84"/>
      <c r="CK343" s="84"/>
      <c r="CL343" s="84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220"/>
      <c r="CY343" s="220"/>
      <c r="CZ343" s="220"/>
      <c r="DA343" s="220"/>
      <c r="DB343" s="237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  <c r="ED343" s="3"/>
      <c r="EE343" s="3"/>
      <c r="EF343" s="3"/>
      <c r="EG343" s="3"/>
      <c r="EH343" s="3"/>
    </row>
    <row r="344" spans="1:138" s="82" customFormat="1" x14ac:dyDescent="0.2">
      <c r="A344" s="3"/>
      <c r="B344" s="167"/>
      <c r="C344" s="3"/>
      <c r="D344" s="29"/>
      <c r="E344" s="31"/>
      <c r="F344" s="133"/>
      <c r="G344" s="3"/>
      <c r="H344" s="31"/>
      <c r="I344" s="31"/>
      <c r="J344" s="3"/>
      <c r="K344" s="3"/>
      <c r="L344" s="3"/>
      <c r="M344" s="3"/>
      <c r="N344" s="3"/>
      <c r="O344" s="3"/>
      <c r="P344" s="3"/>
      <c r="Q344" s="3"/>
      <c r="R344" s="32"/>
      <c r="S344" s="32"/>
      <c r="T344" s="3"/>
      <c r="U344" s="33"/>
      <c r="V344" s="33"/>
      <c r="W344" s="3"/>
      <c r="X344" s="3"/>
      <c r="Y344" s="3"/>
      <c r="Z344" s="3"/>
      <c r="AA344" s="3"/>
      <c r="AB344" s="3"/>
      <c r="AC344" s="3"/>
      <c r="AD344" s="32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4"/>
      <c r="AT344" s="3"/>
      <c r="AU344" s="3"/>
      <c r="AV344" s="3"/>
      <c r="AW344" s="3"/>
      <c r="AX344" s="4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220"/>
      <c r="CY344" s="220"/>
      <c r="CZ344" s="220"/>
      <c r="DA344" s="220"/>
      <c r="DB344" s="237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  <c r="ED344" s="3"/>
      <c r="EE344" s="3"/>
      <c r="EF344" s="3"/>
      <c r="EG344" s="3"/>
      <c r="EH344" s="3"/>
    </row>
    <row r="345" spans="1:138" s="82" customFormat="1" x14ac:dyDescent="0.2">
      <c r="A345" s="3"/>
      <c r="B345" s="167"/>
      <c r="C345" s="3"/>
      <c r="D345" s="29"/>
      <c r="E345" s="31"/>
      <c r="F345" s="133"/>
      <c r="G345" s="3"/>
      <c r="H345" s="31"/>
      <c r="I345" s="31"/>
      <c r="J345" s="3"/>
      <c r="K345" s="3"/>
      <c r="L345" s="3"/>
      <c r="M345" s="3"/>
      <c r="N345" s="3"/>
      <c r="O345" s="3"/>
      <c r="P345" s="3"/>
      <c r="Q345" s="3"/>
      <c r="R345" s="32"/>
      <c r="S345" s="32"/>
      <c r="T345" s="3"/>
      <c r="U345" s="33"/>
      <c r="V345" s="33"/>
      <c r="W345" s="3"/>
      <c r="X345" s="3"/>
      <c r="Y345" s="3"/>
      <c r="Z345" s="3"/>
      <c r="AA345" s="3"/>
      <c r="AB345" s="3"/>
      <c r="AC345" s="3"/>
      <c r="AD345" s="32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4"/>
      <c r="AT345" s="3"/>
      <c r="AU345" s="3"/>
      <c r="AV345" s="3"/>
      <c r="AW345" s="3"/>
      <c r="AX345" s="4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84"/>
      <c r="BZ345" s="84"/>
      <c r="CA345" s="84"/>
      <c r="CB345" s="84"/>
      <c r="CC345" s="84"/>
      <c r="CD345" s="84"/>
      <c r="CE345" s="84"/>
      <c r="CF345" s="84"/>
      <c r="CG345" s="84"/>
      <c r="CH345" s="84"/>
      <c r="CI345" s="84"/>
      <c r="CJ345" s="84"/>
      <c r="CK345" s="84"/>
      <c r="CL345" s="84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220"/>
      <c r="CY345" s="220"/>
      <c r="CZ345" s="220"/>
      <c r="DA345" s="220"/>
      <c r="DB345" s="237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  <c r="ED345" s="3"/>
      <c r="EE345" s="3"/>
      <c r="EF345" s="3"/>
      <c r="EG345" s="3"/>
      <c r="EH345" s="3"/>
    </row>
    <row r="346" spans="1:138" s="82" customFormat="1" x14ac:dyDescent="0.2">
      <c r="A346" s="3"/>
      <c r="B346" s="167"/>
      <c r="C346" s="3"/>
      <c r="D346" s="29"/>
      <c r="E346" s="31"/>
      <c r="F346" s="133"/>
      <c r="G346" s="3"/>
      <c r="H346" s="31"/>
      <c r="I346" s="31"/>
      <c r="J346" s="3"/>
      <c r="K346" s="3"/>
      <c r="L346" s="3"/>
      <c r="M346" s="3"/>
      <c r="N346" s="3"/>
      <c r="O346" s="3"/>
      <c r="P346" s="3"/>
      <c r="Q346" s="3"/>
      <c r="R346" s="32"/>
      <c r="S346" s="32"/>
      <c r="T346" s="3"/>
      <c r="U346" s="33"/>
      <c r="V346" s="33"/>
      <c r="W346" s="3"/>
      <c r="X346" s="3"/>
      <c r="Y346" s="3"/>
      <c r="Z346" s="3"/>
      <c r="AA346" s="3"/>
      <c r="AB346" s="3"/>
      <c r="AC346" s="3"/>
      <c r="AD346" s="32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4"/>
      <c r="AT346" s="3"/>
      <c r="AU346" s="3"/>
      <c r="AV346" s="3"/>
      <c r="AW346" s="3"/>
      <c r="AX346" s="4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220"/>
      <c r="CY346" s="220"/>
      <c r="CZ346" s="220"/>
      <c r="DA346" s="220"/>
      <c r="DB346" s="237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  <c r="ED346" s="3"/>
      <c r="EE346" s="3"/>
      <c r="EF346" s="3"/>
      <c r="EG346" s="3"/>
      <c r="EH346" s="3"/>
    </row>
    <row r="347" spans="1:138" s="82" customFormat="1" x14ac:dyDescent="0.2">
      <c r="A347" s="3"/>
      <c r="B347" s="167"/>
      <c r="C347" s="3"/>
      <c r="D347" s="29"/>
      <c r="E347" s="31"/>
      <c r="F347" s="133"/>
      <c r="G347" s="3"/>
      <c r="H347" s="31"/>
      <c r="I347" s="31"/>
      <c r="J347" s="3"/>
      <c r="K347" s="3"/>
      <c r="L347" s="3"/>
      <c r="M347" s="3"/>
      <c r="N347" s="3"/>
      <c r="O347" s="3"/>
      <c r="P347" s="3"/>
      <c r="Q347" s="3"/>
      <c r="R347" s="32"/>
      <c r="S347" s="32"/>
      <c r="T347" s="3"/>
      <c r="U347" s="33"/>
      <c r="V347" s="33"/>
      <c r="W347" s="3"/>
      <c r="X347" s="3"/>
      <c r="Y347" s="3"/>
      <c r="Z347" s="3"/>
      <c r="AA347" s="3"/>
      <c r="AB347" s="3"/>
      <c r="AC347" s="3"/>
      <c r="AD347" s="32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4"/>
      <c r="AT347" s="3"/>
      <c r="AU347" s="3"/>
      <c r="AV347" s="3"/>
      <c r="AW347" s="3"/>
      <c r="AX347" s="4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220"/>
      <c r="CY347" s="220"/>
      <c r="CZ347" s="220"/>
      <c r="DA347" s="220"/>
      <c r="DB347" s="237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  <c r="ED347" s="3"/>
      <c r="EE347" s="3"/>
      <c r="EF347" s="3"/>
      <c r="EG347" s="3"/>
      <c r="EH347" s="3"/>
    </row>
    <row r="348" spans="1:138" s="82" customFormat="1" x14ac:dyDescent="0.2">
      <c r="A348" s="3"/>
      <c r="B348" s="167"/>
      <c r="C348" s="3"/>
      <c r="D348" s="29"/>
      <c r="E348" s="31"/>
      <c r="F348" s="133"/>
      <c r="G348" s="3"/>
      <c r="H348" s="31"/>
      <c r="I348" s="31"/>
      <c r="J348" s="3"/>
      <c r="K348" s="3"/>
      <c r="L348" s="3"/>
      <c r="M348" s="3"/>
      <c r="N348" s="3"/>
      <c r="O348" s="3"/>
      <c r="P348" s="3"/>
      <c r="Q348" s="3"/>
      <c r="R348" s="32"/>
      <c r="S348" s="32"/>
      <c r="T348" s="3"/>
      <c r="U348" s="33"/>
      <c r="V348" s="33"/>
      <c r="W348" s="3"/>
      <c r="X348" s="3"/>
      <c r="Y348" s="3"/>
      <c r="Z348" s="3"/>
      <c r="AA348" s="3"/>
      <c r="AB348" s="3"/>
      <c r="AC348" s="3"/>
      <c r="AD348" s="32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4"/>
      <c r="AT348" s="3"/>
      <c r="AU348" s="3"/>
      <c r="AV348" s="3"/>
      <c r="AW348" s="3"/>
      <c r="AX348" s="4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220"/>
      <c r="CY348" s="220"/>
      <c r="CZ348" s="220"/>
      <c r="DA348" s="220"/>
      <c r="DB348" s="237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3"/>
      <c r="EE348" s="3"/>
      <c r="EF348" s="3"/>
      <c r="EG348" s="3"/>
      <c r="EH348" s="3"/>
    </row>
    <row r="349" spans="1:138" s="82" customFormat="1" x14ac:dyDescent="0.2">
      <c r="A349" s="3"/>
      <c r="B349" s="167"/>
      <c r="C349" s="3"/>
      <c r="D349" s="29"/>
      <c r="E349" s="31"/>
      <c r="F349" s="133"/>
      <c r="G349" s="3"/>
      <c r="H349" s="31"/>
      <c r="I349" s="31"/>
      <c r="J349" s="3"/>
      <c r="K349" s="3"/>
      <c r="L349" s="3"/>
      <c r="M349" s="3"/>
      <c r="N349" s="3"/>
      <c r="O349" s="3"/>
      <c r="P349" s="3"/>
      <c r="Q349" s="3"/>
      <c r="R349" s="32"/>
      <c r="S349" s="32"/>
      <c r="T349" s="3"/>
      <c r="U349" s="33"/>
      <c r="V349" s="33"/>
      <c r="W349" s="3"/>
      <c r="X349" s="3"/>
      <c r="Y349" s="3"/>
      <c r="Z349" s="3"/>
      <c r="AA349" s="3"/>
      <c r="AB349" s="3"/>
      <c r="AC349" s="3"/>
      <c r="AD349" s="32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4"/>
      <c r="AT349" s="3"/>
      <c r="AU349" s="3"/>
      <c r="AV349" s="3"/>
      <c r="AW349" s="3"/>
      <c r="AX349" s="4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220"/>
      <c r="CY349" s="220"/>
      <c r="CZ349" s="220"/>
      <c r="DA349" s="220"/>
      <c r="DB349" s="237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  <c r="ED349" s="3"/>
      <c r="EE349" s="3"/>
      <c r="EF349" s="3"/>
      <c r="EG349" s="3"/>
      <c r="EH349" s="3"/>
    </row>
    <row r="350" spans="1:138" s="82" customFormat="1" x14ac:dyDescent="0.2">
      <c r="A350" s="3"/>
      <c r="B350" s="167"/>
      <c r="C350" s="3"/>
      <c r="D350" s="29"/>
      <c r="E350" s="31"/>
      <c r="F350" s="133"/>
      <c r="G350" s="3"/>
      <c r="H350" s="31"/>
      <c r="I350" s="31"/>
      <c r="J350" s="3"/>
      <c r="K350" s="3"/>
      <c r="L350" s="3"/>
      <c r="M350" s="3"/>
      <c r="N350" s="3"/>
      <c r="O350" s="3"/>
      <c r="P350" s="3"/>
      <c r="Q350" s="3"/>
      <c r="R350" s="32"/>
      <c r="S350" s="32"/>
      <c r="T350" s="3"/>
      <c r="U350" s="33"/>
      <c r="V350" s="33"/>
      <c r="W350" s="3"/>
      <c r="X350" s="3"/>
      <c r="Y350" s="3"/>
      <c r="Z350" s="3"/>
      <c r="AA350" s="3"/>
      <c r="AB350" s="3"/>
      <c r="AC350" s="3"/>
      <c r="AD350" s="32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4"/>
      <c r="AT350" s="3"/>
      <c r="AU350" s="3"/>
      <c r="AV350" s="3"/>
      <c r="AW350" s="3"/>
      <c r="AX350" s="4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220"/>
      <c r="CY350" s="220"/>
      <c r="CZ350" s="220"/>
      <c r="DA350" s="220"/>
      <c r="DB350" s="237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  <c r="ED350" s="3"/>
      <c r="EE350" s="3"/>
      <c r="EF350" s="3"/>
      <c r="EG350" s="3"/>
      <c r="EH350" s="3"/>
    </row>
    <row r="351" spans="1:138" s="82" customFormat="1" x14ac:dyDescent="0.2">
      <c r="A351" s="3"/>
      <c r="B351" s="167"/>
      <c r="C351" s="3"/>
      <c r="D351" s="29"/>
      <c r="E351" s="31"/>
      <c r="F351" s="133"/>
      <c r="G351" s="3"/>
      <c r="H351" s="31"/>
      <c r="I351" s="31"/>
      <c r="J351" s="3"/>
      <c r="K351" s="3"/>
      <c r="L351" s="3"/>
      <c r="M351" s="3"/>
      <c r="N351" s="3"/>
      <c r="O351" s="3"/>
      <c r="P351" s="3"/>
      <c r="Q351" s="3"/>
      <c r="R351" s="32"/>
      <c r="S351" s="32"/>
      <c r="T351" s="3"/>
      <c r="U351" s="33"/>
      <c r="V351" s="33"/>
      <c r="W351" s="3"/>
      <c r="X351" s="3"/>
      <c r="Y351" s="3"/>
      <c r="Z351" s="3"/>
      <c r="AA351" s="3"/>
      <c r="AB351" s="3"/>
      <c r="AC351" s="3"/>
      <c r="AD351" s="32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4"/>
      <c r="AT351" s="3"/>
      <c r="AU351" s="3"/>
      <c r="AV351" s="3"/>
      <c r="AW351" s="3"/>
      <c r="AX351" s="4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84"/>
      <c r="BZ351" s="84"/>
      <c r="CA351" s="84"/>
      <c r="CB351" s="84"/>
      <c r="CC351" s="84"/>
      <c r="CD351" s="84"/>
      <c r="CE351" s="84"/>
      <c r="CF351" s="84"/>
      <c r="CG351" s="84"/>
      <c r="CH351" s="84"/>
      <c r="CI351" s="84"/>
      <c r="CJ351" s="84"/>
      <c r="CK351" s="84"/>
      <c r="CL351" s="84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220"/>
      <c r="CY351" s="220"/>
      <c r="CZ351" s="220"/>
      <c r="DA351" s="220"/>
      <c r="DB351" s="237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  <c r="ED351" s="3"/>
      <c r="EE351" s="3"/>
      <c r="EF351" s="3"/>
      <c r="EG351" s="3"/>
      <c r="EH351" s="3"/>
    </row>
    <row r="352" spans="1:138" s="82" customFormat="1" x14ac:dyDescent="0.2">
      <c r="A352" s="3"/>
      <c r="B352" s="167"/>
      <c r="C352" s="3"/>
      <c r="D352" s="29"/>
      <c r="E352" s="31"/>
      <c r="F352" s="133"/>
      <c r="G352" s="3"/>
      <c r="H352" s="31"/>
      <c r="I352" s="31"/>
      <c r="J352" s="3"/>
      <c r="K352" s="3"/>
      <c r="L352" s="3"/>
      <c r="M352" s="3"/>
      <c r="N352" s="3"/>
      <c r="O352" s="3"/>
      <c r="P352" s="3"/>
      <c r="Q352" s="3"/>
      <c r="R352" s="32"/>
      <c r="S352" s="32"/>
      <c r="T352" s="3"/>
      <c r="U352" s="33"/>
      <c r="V352" s="33"/>
      <c r="W352" s="3"/>
      <c r="X352" s="3"/>
      <c r="Y352" s="3"/>
      <c r="Z352" s="3"/>
      <c r="AA352" s="3"/>
      <c r="AB352" s="3"/>
      <c r="AC352" s="3"/>
      <c r="AD352" s="32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4"/>
      <c r="AT352" s="3"/>
      <c r="AU352" s="3"/>
      <c r="AV352" s="3"/>
      <c r="AW352" s="3"/>
      <c r="AX352" s="4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220"/>
      <c r="CY352" s="220"/>
      <c r="CZ352" s="220"/>
      <c r="DA352" s="220"/>
      <c r="DB352" s="237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  <c r="ED352" s="3"/>
      <c r="EE352" s="3"/>
      <c r="EF352" s="3"/>
      <c r="EG352" s="3"/>
      <c r="EH352" s="3"/>
    </row>
    <row r="353" spans="1:138" s="82" customFormat="1" x14ac:dyDescent="0.2">
      <c r="A353" s="3"/>
      <c r="B353" s="167"/>
      <c r="C353" s="3"/>
      <c r="D353" s="29"/>
      <c r="E353" s="31"/>
      <c r="F353" s="133"/>
      <c r="G353" s="3"/>
      <c r="H353" s="31"/>
      <c r="I353" s="31"/>
      <c r="J353" s="3"/>
      <c r="K353" s="3"/>
      <c r="L353" s="3"/>
      <c r="M353" s="3"/>
      <c r="N353" s="3"/>
      <c r="O353" s="3"/>
      <c r="P353" s="3"/>
      <c r="Q353" s="3"/>
      <c r="R353" s="32"/>
      <c r="S353" s="32"/>
      <c r="T353" s="3"/>
      <c r="U353" s="33"/>
      <c r="V353" s="33"/>
      <c r="W353" s="3"/>
      <c r="X353" s="3"/>
      <c r="Y353" s="3"/>
      <c r="Z353" s="3"/>
      <c r="AA353" s="3"/>
      <c r="AB353" s="3"/>
      <c r="AC353" s="3"/>
      <c r="AD353" s="32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4"/>
      <c r="AT353" s="3"/>
      <c r="AU353" s="3"/>
      <c r="AV353" s="3"/>
      <c r="AW353" s="3"/>
      <c r="AX353" s="4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84"/>
      <c r="BZ353" s="84"/>
      <c r="CA353" s="84"/>
      <c r="CB353" s="84"/>
      <c r="CC353" s="84"/>
      <c r="CD353" s="84"/>
      <c r="CE353" s="84"/>
      <c r="CF353" s="84"/>
      <c r="CG353" s="84"/>
      <c r="CH353" s="84"/>
      <c r="CI353" s="84"/>
      <c r="CJ353" s="84"/>
      <c r="CK353" s="84"/>
      <c r="CL353" s="84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220"/>
      <c r="CY353" s="220"/>
      <c r="CZ353" s="220"/>
      <c r="DA353" s="220"/>
      <c r="DB353" s="237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  <c r="ED353" s="3"/>
      <c r="EE353" s="3"/>
      <c r="EF353" s="3"/>
      <c r="EG353" s="3"/>
      <c r="EH353" s="3"/>
    </row>
    <row r="354" spans="1:138" s="82" customFormat="1" x14ac:dyDescent="0.2">
      <c r="A354" s="3"/>
      <c r="B354" s="167"/>
      <c r="C354" s="3"/>
      <c r="D354" s="29"/>
      <c r="E354" s="31"/>
      <c r="F354" s="133"/>
      <c r="G354" s="3"/>
      <c r="H354" s="31"/>
      <c r="I354" s="31"/>
      <c r="J354" s="3"/>
      <c r="K354" s="3"/>
      <c r="L354" s="3"/>
      <c r="M354" s="3"/>
      <c r="N354" s="3"/>
      <c r="O354" s="3"/>
      <c r="P354" s="3"/>
      <c r="Q354" s="3"/>
      <c r="R354" s="32"/>
      <c r="S354" s="32"/>
      <c r="T354" s="3"/>
      <c r="U354" s="33"/>
      <c r="V354" s="33"/>
      <c r="W354" s="3"/>
      <c r="X354" s="3"/>
      <c r="Y354" s="3"/>
      <c r="Z354" s="3"/>
      <c r="AA354" s="3"/>
      <c r="AB354" s="3"/>
      <c r="AC354" s="3"/>
      <c r="AD354" s="32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4"/>
      <c r="AT354" s="3"/>
      <c r="AU354" s="3"/>
      <c r="AV354" s="3"/>
      <c r="AW354" s="3"/>
      <c r="AX354" s="4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84"/>
      <c r="BZ354" s="84"/>
      <c r="CA354" s="84"/>
      <c r="CB354" s="84"/>
      <c r="CC354" s="84"/>
      <c r="CD354" s="84"/>
      <c r="CE354" s="84"/>
      <c r="CF354" s="84"/>
      <c r="CG354" s="84"/>
      <c r="CH354" s="84"/>
      <c r="CI354" s="84"/>
      <c r="CJ354" s="84"/>
      <c r="CK354" s="84"/>
      <c r="CL354" s="84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220"/>
      <c r="CY354" s="220"/>
      <c r="CZ354" s="220"/>
      <c r="DA354" s="220"/>
      <c r="DB354" s="237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  <c r="ED354" s="3"/>
      <c r="EE354" s="3"/>
      <c r="EF354" s="3"/>
      <c r="EG354" s="3"/>
      <c r="EH354" s="3"/>
    </row>
    <row r="355" spans="1:138" s="82" customFormat="1" x14ac:dyDescent="0.2">
      <c r="A355" s="3"/>
      <c r="B355" s="167"/>
      <c r="C355" s="3"/>
      <c r="D355" s="29"/>
      <c r="E355" s="31"/>
      <c r="F355" s="133"/>
      <c r="G355" s="3"/>
      <c r="H355" s="31"/>
      <c r="I355" s="31"/>
      <c r="J355" s="3"/>
      <c r="K355" s="3"/>
      <c r="L355" s="3"/>
      <c r="M355" s="3"/>
      <c r="N355" s="3"/>
      <c r="O355" s="3"/>
      <c r="P355" s="3"/>
      <c r="Q355" s="3"/>
      <c r="R355" s="32"/>
      <c r="S355" s="32"/>
      <c r="T355" s="3"/>
      <c r="U355" s="33"/>
      <c r="V355" s="33"/>
      <c r="W355" s="3"/>
      <c r="X355" s="3"/>
      <c r="Y355" s="3"/>
      <c r="Z355" s="3"/>
      <c r="AA355" s="3"/>
      <c r="AB355" s="3"/>
      <c r="AC355" s="3"/>
      <c r="AD355" s="32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4"/>
      <c r="AT355" s="3"/>
      <c r="AU355" s="3"/>
      <c r="AV355" s="3"/>
      <c r="AW355" s="3"/>
      <c r="AX355" s="4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84"/>
      <c r="BZ355" s="84"/>
      <c r="CA355" s="84"/>
      <c r="CB355" s="84"/>
      <c r="CC355" s="84"/>
      <c r="CD355" s="84"/>
      <c r="CE355" s="84"/>
      <c r="CF355" s="84"/>
      <c r="CG355" s="84"/>
      <c r="CH355" s="84"/>
      <c r="CI355" s="84"/>
      <c r="CJ355" s="84"/>
      <c r="CK355" s="84"/>
      <c r="CL355" s="84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220"/>
      <c r="CY355" s="220"/>
      <c r="CZ355" s="220"/>
      <c r="DA355" s="220"/>
      <c r="DB355" s="237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3"/>
      <c r="EE355" s="3"/>
      <c r="EF355" s="3"/>
      <c r="EG355" s="3"/>
      <c r="EH355" s="3"/>
    </row>
    <row r="356" spans="1:138" s="82" customFormat="1" x14ac:dyDescent="0.2">
      <c r="A356" s="3"/>
      <c r="B356" s="167"/>
      <c r="C356" s="3"/>
      <c r="D356" s="29"/>
      <c r="E356" s="31"/>
      <c r="F356" s="133"/>
      <c r="G356" s="3"/>
      <c r="H356" s="31"/>
      <c r="I356" s="31"/>
      <c r="J356" s="3"/>
      <c r="K356" s="3"/>
      <c r="L356" s="3"/>
      <c r="M356" s="3"/>
      <c r="N356" s="3"/>
      <c r="O356" s="3"/>
      <c r="P356" s="3"/>
      <c r="Q356" s="3"/>
      <c r="R356" s="32"/>
      <c r="S356" s="32"/>
      <c r="T356" s="3"/>
      <c r="U356" s="33"/>
      <c r="V356" s="33"/>
      <c r="W356" s="3"/>
      <c r="X356" s="3"/>
      <c r="Y356" s="3"/>
      <c r="Z356" s="3"/>
      <c r="AA356" s="3"/>
      <c r="AB356" s="3"/>
      <c r="AC356" s="3"/>
      <c r="AD356" s="32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4"/>
      <c r="AT356" s="3"/>
      <c r="AU356" s="3"/>
      <c r="AV356" s="3"/>
      <c r="AW356" s="3"/>
      <c r="AX356" s="4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84"/>
      <c r="BZ356" s="84"/>
      <c r="CA356" s="84"/>
      <c r="CB356" s="84"/>
      <c r="CC356" s="84"/>
      <c r="CD356" s="84"/>
      <c r="CE356" s="84"/>
      <c r="CF356" s="84"/>
      <c r="CG356" s="84"/>
      <c r="CH356" s="84"/>
      <c r="CI356" s="84"/>
      <c r="CJ356" s="84"/>
      <c r="CK356" s="84"/>
      <c r="CL356" s="84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220"/>
      <c r="CY356" s="220"/>
      <c r="CZ356" s="220"/>
      <c r="DA356" s="220"/>
      <c r="DB356" s="237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  <c r="ED356" s="3"/>
      <c r="EE356" s="3"/>
      <c r="EF356" s="3"/>
      <c r="EG356" s="3"/>
      <c r="EH356" s="3"/>
    </row>
    <row r="357" spans="1:138" s="82" customFormat="1" x14ac:dyDescent="0.2">
      <c r="A357" s="3"/>
      <c r="B357" s="167"/>
      <c r="C357" s="3"/>
      <c r="D357" s="29"/>
      <c r="E357" s="31"/>
      <c r="F357" s="133"/>
      <c r="G357" s="3"/>
      <c r="H357" s="31"/>
      <c r="I357" s="31"/>
      <c r="J357" s="3"/>
      <c r="K357" s="3"/>
      <c r="L357" s="3"/>
      <c r="M357" s="3"/>
      <c r="N357" s="3"/>
      <c r="O357" s="3"/>
      <c r="P357" s="3"/>
      <c r="Q357" s="3"/>
      <c r="R357" s="32"/>
      <c r="S357" s="32"/>
      <c r="T357" s="3"/>
      <c r="U357" s="33"/>
      <c r="V357" s="33"/>
      <c r="W357" s="3"/>
      <c r="X357" s="3"/>
      <c r="Y357" s="3"/>
      <c r="Z357" s="3"/>
      <c r="AA357" s="3"/>
      <c r="AB357" s="3"/>
      <c r="AC357" s="3"/>
      <c r="AD357" s="32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4"/>
      <c r="AT357" s="3"/>
      <c r="AU357" s="3"/>
      <c r="AV357" s="3"/>
      <c r="AW357" s="3"/>
      <c r="AX357" s="4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220"/>
      <c r="CY357" s="220"/>
      <c r="CZ357" s="220"/>
      <c r="DA357" s="220"/>
      <c r="DB357" s="237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  <c r="ED357" s="3"/>
      <c r="EE357" s="3"/>
      <c r="EF357" s="3"/>
      <c r="EG357" s="3"/>
      <c r="EH357" s="3"/>
    </row>
    <row r="358" spans="1:138" s="82" customFormat="1" x14ac:dyDescent="0.2">
      <c r="A358" s="3"/>
      <c r="B358" s="167"/>
      <c r="C358" s="3"/>
      <c r="D358" s="29"/>
      <c r="E358" s="31"/>
      <c r="F358" s="133"/>
      <c r="G358" s="3"/>
      <c r="H358" s="31"/>
      <c r="I358" s="31"/>
      <c r="J358" s="3"/>
      <c r="K358" s="3"/>
      <c r="L358" s="3"/>
      <c r="M358" s="3"/>
      <c r="N358" s="3"/>
      <c r="O358" s="3"/>
      <c r="P358" s="3"/>
      <c r="Q358" s="3"/>
      <c r="R358" s="32"/>
      <c r="S358" s="32"/>
      <c r="T358" s="3"/>
      <c r="U358" s="33"/>
      <c r="V358" s="33"/>
      <c r="W358" s="3"/>
      <c r="X358" s="3"/>
      <c r="Y358" s="3"/>
      <c r="Z358" s="3"/>
      <c r="AA358" s="3"/>
      <c r="AB358" s="3"/>
      <c r="AC358" s="3"/>
      <c r="AD358" s="32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4"/>
      <c r="AT358" s="3"/>
      <c r="AU358" s="3"/>
      <c r="AV358" s="3"/>
      <c r="AW358" s="3"/>
      <c r="AX358" s="4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220"/>
      <c r="CY358" s="220"/>
      <c r="CZ358" s="220"/>
      <c r="DA358" s="220"/>
      <c r="DB358" s="237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  <c r="ED358" s="3"/>
      <c r="EE358" s="3"/>
      <c r="EF358" s="3"/>
      <c r="EG358" s="3"/>
      <c r="EH358" s="3"/>
    </row>
    <row r="359" spans="1:138" s="82" customFormat="1" x14ac:dyDescent="0.2">
      <c r="A359" s="3"/>
      <c r="B359" s="167"/>
      <c r="C359" s="3"/>
      <c r="D359" s="29"/>
      <c r="E359" s="31"/>
      <c r="F359" s="133"/>
      <c r="G359" s="3"/>
      <c r="H359" s="31"/>
      <c r="I359" s="31"/>
      <c r="J359" s="3"/>
      <c r="K359" s="3"/>
      <c r="L359" s="3"/>
      <c r="M359" s="3"/>
      <c r="N359" s="3"/>
      <c r="O359" s="3"/>
      <c r="P359" s="3"/>
      <c r="Q359" s="3"/>
      <c r="R359" s="32"/>
      <c r="S359" s="32"/>
      <c r="T359" s="3"/>
      <c r="U359" s="33"/>
      <c r="V359" s="33"/>
      <c r="W359" s="3"/>
      <c r="X359" s="3"/>
      <c r="Y359" s="3"/>
      <c r="Z359" s="3"/>
      <c r="AA359" s="3"/>
      <c r="AB359" s="3"/>
      <c r="AC359" s="3"/>
      <c r="AD359" s="32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4"/>
      <c r="AT359" s="3"/>
      <c r="AU359" s="3"/>
      <c r="AV359" s="3"/>
      <c r="AW359" s="3"/>
      <c r="AX359" s="4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220"/>
      <c r="CY359" s="220"/>
      <c r="CZ359" s="220"/>
      <c r="DA359" s="220"/>
      <c r="DB359" s="237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  <c r="ED359" s="3"/>
      <c r="EE359" s="3"/>
      <c r="EF359" s="3"/>
      <c r="EG359" s="3"/>
      <c r="EH359" s="3"/>
    </row>
    <row r="360" spans="1:138" s="82" customFormat="1" x14ac:dyDescent="0.2">
      <c r="A360" s="3"/>
      <c r="B360" s="167"/>
      <c r="C360" s="3"/>
      <c r="D360" s="29"/>
      <c r="E360" s="31"/>
      <c r="F360" s="133"/>
      <c r="G360" s="3"/>
      <c r="H360" s="31"/>
      <c r="I360" s="31"/>
      <c r="J360" s="3"/>
      <c r="K360" s="3"/>
      <c r="L360" s="3"/>
      <c r="M360" s="3"/>
      <c r="N360" s="3"/>
      <c r="O360" s="3"/>
      <c r="P360" s="3"/>
      <c r="Q360" s="3"/>
      <c r="R360" s="32"/>
      <c r="S360" s="32"/>
      <c r="T360" s="3"/>
      <c r="U360" s="33"/>
      <c r="V360" s="33"/>
      <c r="W360" s="3"/>
      <c r="X360" s="3"/>
      <c r="Y360" s="3"/>
      <c r="Z360" s="3"/>
      <c r="AA360" s="3"/>
      <c r="AB360" s="3"/>
      <c r="AC360" s="3"/>
      <c r="AD360" s="32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4"/>
      <c r="AT360" s="3"/>
      <c r="AU360" s="3"/>
      <c r="AV360" s="3"/>
      <c r="AW360" s="3"/>
      <c r="AX360" s="4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220"/>
      <c r="CY360" s="220"/>
      <c r="CZ360" s="220"/>
      <c r="DA360" s="220"/>
      <c r="DB360" s="237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3"/>
      <c r="EE360" s="3"/>
      <c r="EF360" s="3"/>
      <c r="EG360" s="3"/>
      <c r="EH360" s="3"/>
    </row>
    <row r="361" spans="1:138" s="82" customFormat="1" x14ac:dyDescent="0.2">
      <c r="A361" s="3"/>
      <c r="B361" s="167"/>
      <c r="C361" s="3"/>
      <c r="D361" s="29"/>
      <c r="E361" s="31"/>
      <c r="F361" s="133"/>
      <c r="G361" s="3"/>
      <c r="H361" s="31"/>
      <c r="I361" s="31"/>
      <c r="J361" s="3"/>
      <c r="K361" s="3"/>
      <c r="L361" s="3"/>
      <c r="M361" s="3"/>
      <c r="N361" s="3"/>
      <c r="O361" s="3"/>
      <c r="P361" s="3"/>
      <c r="Q361" s="3"/>
      <c r="R361" s="32"/>
      <c r="S361" s="32"/>
      <c r="T361" s="3"/>
      <c r="U361" s="33"/>
      <c r="V361" s="33"/>
      <c r="W361" s="3"/>
      <c r="X361" s="3"/>
      <c r="Y361" s="3"/>
      <c r="Z361" s="3"/>
      <c r="AA361" s="3"/>
      <c r="AB361" s="3"/>
      <c r="AC361" s="3"/>
      <c r="AD361" s="32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4"/>
      <c r="AT361" s="3"/>
      <c r="AU361" s="3"/>
      <c r="AV361" s="3"/>
      <c r="AW361" s="3"/>
      <c r="AX361" s="4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220"/>
      <c r="CY361" s="220"/>
      <c r="CZ361" s="220"/>
      <c r="DA361" s="220"/>
      <c r="DB361" s="237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  <c r="ED361" s="3"/>
      <c r="EE361" s="3"/>
      <c r="EF361" s="3"/>
      <c r="EG361" s="3"/>
      <c r="EH361" s="3"/>
    </row>
    <row r="362" spans="1:138" s="82" customFormat="1" x14ac:dyDescent="0.2">
      <c r="A362" s="3"/>
      <c r="B362" s="167"/>
      <c r="C362" s="3"/>
      <c r="D362" s="29"/>
      <c r="E362" s="31"/>
      <c r="F362" s="133"/>
      <c r="G362" s="3"/>
      <c r="H362" s="31"/>
      <c r="I362" s="31"/>
      <c r="J362" s="3"/>
      <c r="K362" s="3"/>
      <c r="L362" s="3"/>
      <c r="M362" s="3"/>
      <c r="N362" s="3"/>
      <c r="O362" s="3"/>
      <c r="P362" s="3"/>
      <c r="Q362" s="3"/>
      <c r="R362" s="32"/>
      <c r="S362" s="32"/>
      <c r="T362" s="3"/>
      <c r="U362" s="33"/>
      <c r="V362" s="33"/>
      <c r="W362" s="3"/>
      <c r="X362" s="3"/>
      <c r="Y362" s="3"/>
      <c r="Z362" s="3"/>
      <c r="AA362" s="3"/>
      <c r="AB362" s="3"/>
      <c r="AC362" s="3"/>
      <c r="AD362" s="32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4"/>
      <c r="AT362" s="3"/>
      <c r="AU362" s="3"/>
      <c r="AV362" s="3"/>
      <c r="AW362" s="3"/>
      <c r="AX362" s="4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84"/>
      <c r="BZ362" s="84"/>
      <c r="CA362" s="84"/>
      <c r="CB362" s="84"/>
      <c r="CC362" s="84"/>
      <c r="CD362" s="84"/>
      <c r="CE362" s="84"/>
      <c r="CF362" s="84"/>
      <c r="CG362" s="84"/>
      <c r="CH362" s="84"/>
      <c r="CI362" s="84"/>
      <c r="CJ362" s="84"/>
      <c r="CK362" s="84"/>
      <c r="CL362" s="84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220"/>
      <c r="CY362" s="220"/>
      <c r="CZ362" s="220"/>
      <c r="DA362" s="220"/>
      <c r="DB362" s="237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  <c r="ED362" s="3"/>
      <c r="EE362" s="3"/>
      <c r="EF362" s="3"/>
      <c r="EG362" s="3"/>
      <c r="EH362" s="3"/>
    </row>
    <row r="363" spans="1:138" s="82" customFormat="1" x14ac:dyDescent="0.2">
      <c r="A363" s="3"/>
      <c r="B363" s="167"/>
      <c r="C363" s="3"/>
      <c r="D363" s="29"/>
      <c r="E363" s="31"/>
      <c r="F363" s="133"/>
      <c r="G363" s="3"/>
      <c r="H363" s="31"/>
      <c r="I363" s="31"/>
      <c r="J363" s="3"/>
      <c r="K363" s="3"/>
      <c r="L363" s="3"/>
      <c r="M363" s="3"/>
      <c r="N363" s="3"/>
      <c r="O363" s="3"/>
      <c r="P363" s="3"/>
      <c r="Q363" s="3"/>
      <c r="R363" s="32"/>
      <c r="S363" s="32"/>
      <c r="T363" s="3"/>
      <c r="U363" s="33"/>
      <c r="V363" s="33"/>
      <c r="W363" s="3"/>
      <c r="X363" s="3"/>
      <c r="Y363" s="3"/>
      <c r="Z363" s="3"/>
      <c r="AA363" s="3"/>
      <c r="AB363" s="3"/>
      <c r="AC363" s="3"/>
      <c r="AD363" s="32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4"/>
      <c r="AT363" s="3"/>
      <c r="AU363" s="3"/>
      <c r="AV363" s="3"/>
      <c r="AW363" s="3"/>
      <c r="AX363" s="4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84"/>
      <c r="BZ363" s="84"/>
      <c r="CA363" s="84"/>
      <c r="CB363" s="84"/>
      <c r="CC363" s="84"/>
      <c r="CD363" s="84"/>
      <c r="CE363" s="84"/>
      <c r="CF363" s="84"/>
      <c r="CG363" s="84"/>
      <c r="CH363" s="84"/>
      <c r="CI363" s="84"/>
      <c r="CJ363" s="84"/>
      <c r="CK363" s="84"/>
      <c r="CL363" s="84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220"/>
      <c r="CY363" s="220"/>
      <c r="CZ363" s="220"/>
      <c r="DA363" s="220"/>
      <c r="DB363" s="237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3"/>
      <c r="EE363" s="3"/>
      <c r="EF363" s="3"/>
      <c r="EG363" s="3"/>
      <c r="EH363" s="3"/>
    </row>
    <row r="364" spans="1:138" s="82" customFormat="1" x14ac:dyDescent="0.2">
      <c r="A364" s="3"/>
      <c r="B364" s="167"/>
      <c r="C364" s="3"/>
      <c r="D364" s="29"/>
      <c r="E364" s="31"/>
      <c r="F364" s="133"/>
      <c r="G364" s="3"/>
      <c r="H364" s="31"/>
      <c r="I364" s="31"/>
      <c r="J364" s="3"/>
      <c r="K364" s="3"/>
      <c r="L364" s="3"/>
      <c r="M364" s="3"/>
      <c r="N364" s="3"/>
      <c r="O364" s="3"/>
      <c r="P364" s="3"/>
      <c r="Q364" s="3"/>
      <c r="R364" s="32"/>
      <c r="S364" s="32"/>
      <c r="T364" s="3"/>
      <c r="U364" s="33"/>
      <c r="V364" s="33"/>
      <c r="W364" s="3"/>
      <c r="X364" s="3"/>
      <c r="Y364" s="3"/>
      <c r="Z364" s="3"/>
      <c r="AA364" s="3"/>
      <c r="AB364" s="3"/>
      <c r="AC364" s="3"/>
      <c r="AD364" s="32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4"/>
      <c r="AT364" s="3"/>
      <c r="AU364" s="3"/>
      <c r="AV364" s="3"/>
      <c r="AW364" s="3"/>
      <c r="AX364" s="4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84"/>
      <c r="BZ364" s="84"/>
      <c r="CA364" s="84"/>
      <c r="CB364" s="84"/>
      <c r="CC364" s="84"/>
      <c r="CD364" s="84"/>
      <c r="CE364" s="84"/>
      <c r="CF364" s="84"/>
      <c r="CG364" s="84"/>
      <c r="CH364" s="84"/>
      <c r="CI364" s="84"/>
      <c r="CJ364" s="84"/>
      <c r="CK364" s="84"/>
      <c r="CL364" s="84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220"/>
      <c r="CY364" s="220"/>
      <c r="CZ364" s="220"/>
      <c r="DA364" s="220"/>
      <c r="DB364" s="237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  <c r="ED364" s="3"/>
      <c r="EE364" s="3"/>
      <c r="EF364" s="3"/>
      <c r="EG364" s="3"/>
      <c r="EH364" s="3"/>
    </row>
    <row r="365" spans="1:138" s="82" customFormat="1" x14ac:dyDescent="0.2">
      <c r="A365" s="3"/>
      <c r="B365" s="167"/>
      <c r="C365" s="3"/>
      <c r="D365" s="29"/>
      <c r="E365" s="31"/>
      <c r="F365" s="133"/>
      <c r="G365" s="3"/>
      <c r="H365" s="31"/>
      <c r="I365" s="31"/>
      <c r="J365" s="3"/>
      <c r="K365" s="3"/>
      <c r="L365" s="3"/>
      <c r="M365" s="3"/>
      <c r="N365" s="3"/>
      <c r="O365" s="3"/>
      <c r="P365" s="3"/>
      <c r="Q365" s="3"/>
      <c r="R365" s="32"/>
      <c r="S365" s="32"/>
      <c r="T365" s="3"/>
      <c r="U365" s="33"/>
      <c r="V365" s="33"/>
      <c r="W365" s="3"/>
      <c r="X365" s="3"/>
      <c r="Y365" s="3"/>
      <c r="Z365" s="3"/>
      <c r="AA365" s="3"/>
      <c r="AB365" s="3"/>
      <c r="AC365" s="3"/>
      <c r="AD365" s="32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4"/>
      <c r="AT365" s="3"/>
      <c r="AU365" s="3"/>
      <c r="AV365" s="3"/>
      <c r="AW365" s="3"/>
      <c r="AX365" s="4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84"/>
      <c r="BZ365" s="84"/>
      <c r="CA365" s="84"/>
      <c r="CB365" s="84"/>
      <c r="CC365" s="84"/>
      <c r="CD365" s="84"/>
      <c r="CE365" s="84"/>
      <c r="CF365" s="84"/>
      <c r="CG365" s="84"/>
      <c r="CH365" s="84"/>
      <c r="CI365" s="84"/>
      <c r="CJ365" s="84"/>
      <c r="CK365" s="84"/>
      <c r="CL365" s="84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220"/>
      <c r="CY365" s="220"/>
      <c r="CZ365" s="220"/>
      <c r="DA365" s="220"/>
      <c r="DB365" s="237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  <c r="ED365" s="3"/>
      <c r="EE365" s="3"/>
      <c r="EF365" s="3"/>
      <c r="EG365" s="3"/>
      <c r="EH365" s="3"/>
    </row>
    <row r="366" spans="1:138" s="82" customFormat="1" x14ac:dyDescent="0.2">
      <c r="A366" s="3"/>
      <c r="B366" s="167"/>
      <c r="C366" s="3"/>
      <c r="D366" s="29"/>
      <c r="E366" s="31"/>
      <c r="F366" s="133"/>
      <c r="G366" s="3"/>
      <c r="H366" s="31"/>
      <c r="I366" s="31"/>
      <c r="J366" s="3"/>
      <c r="K366" s="3"/>
      <c r="L366" s="3"/>
      <c r="M366" s="3"/>
      <c r="N366" s="3"/>
      <c r="O366" s="3"/>
      <c r="P366" s="3"/>
      <c r="Q366" s="3"/>
      <c r="R366" s="32"/>
      <c r="S366" s="32"/>
      <c r="T366" s="3"/>
      <c r="U366" s="33"/>
      <c r="V366" s="33"/>
      <c r="W366" s="3"/>
      <c r="X366" s="3"/>
      <c r="Y366" s="3"/>
      <c r="Z366" s="3"/>
      <c r="AA366" s="3"/>
      <c r="AB366" s="3"/>
      <c r="AC366" s="3"/>
      <c r="AD366" s="32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4"/>
      <c r="AT366" s="3"/>
      <c r="AU366" s="3"/>
      <c r="AV366" s="3"/>
      <c r="AW366" s="3"/>
      <c r="AX366" s="4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84"/>
      <c r="BZ366" s="84"/>
      <c r="CA366" s="84"/>
      <c r="CB366" s="84"/>
      <c r="CC366" s="84"/>
      <c r="CD366" s="84"/>
      <c r="CE366" s="84"/>
      <c r="CF366" s="84"/>
      <c r="CG366" s="84"/>
      <c r="CH366" s="84"/>
      <c r="CI366" s="84"/>
      <c r="CJ366" s="84"/>
      <c r="CK366" s="84"/>
      <c r="CL366" s="84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220"/>
      <c r="CY366" s="220"/>
      <c r="CZ366" s="220"/>
      <c r="DA366" s="220"/>
      <c r="DB366" s="237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  <c r="ED366" s="3"/>
      <c r="EE366" s="3"/>
      <c r="EF366" s="3"/>
      <c r="EG366" s="3"/>
      <c r="EH366" s="3"/>
    </row>
    <row r="367" spans="1:138" s="82" customFormat="1" x14ac:dyDescent="0.2">
      <c r="A367" s="3"/>
      <c r="B367" s="167"/>
      <c r="C367" s="3"/>
      <c r="D367" s="29"/>
      <c r="E367" s="31"/>
      <c r="F367" s="133"/>
      <c r="G367" s="3"/>
      <c r="H367" s="31"/>
      <c r="I367" s="31"/>
      <c r="J367" s="3"/>
      <c r="K367" s="3"/>
      <c r="L367" s="3"/>
      <c r="M367" s="3"/>
      <c r="N367" s="3"/>
      <c r="O367" s="3"/>
      <c r="P367" s="3"/>
      <c r="Q367" s="3"/>
      <c r="R367" s="32"/>
      <c r="S367" s="32"/>
      <c r="T367" s="3"/>
      <c r="U367" s="33"/>
      <c r="V367" s="33"/>
      <c r="W367" s="3"/>
      <c r="X367" s="3"/>
      <c r="Y367" s="3"/>
      <c r="Z367" s="3"/>
      <c r="AA367" s="3"/>
      <c r="AB367" s="3"/>
      <c r="AC367" s="3"/>
      <c r="AD367" s="32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4"/>
      <c r="AT367" s="3"/>
      <c r="AU367" s="3"/>
      <c r="AV367" s="3"/>
      <c r="AW367" s="3"/>
      <c r="AX367" s="4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220"/>
      <c r="CY367" s="220"/>
      <c r="CZ367" s="220"/>
      <c r="DA367" s="220"/>
      <c r="DB367" s="237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  <c r="ED367" s="3"/>
      <c r="EE367" s="3"/>
      <c r="EF367" s="3"/>
      <c r="EG367" s="3"/>
      <c r="EH367" s="3"/>
    </row>
    <row r="368" spans="1:138" s="82" customFormat="1" x14ac:dyDescent="0.2">
      <c r="A368" s="3"/>
      <c r="B368" s="167"/>
      <c r="C368" s="3"/>
      <c r="D368" s="29"/>
      <c r="E368" s="31"/>
      <c r="F368" s="133"/>
      <c r="G368" s="3"/>
      <c r="H368" s="31"/>
      <c r="I368" s="31"/>
      <c r="J368" s="3"/>
      <c r="K368" s="3"/>
      <c r="L368" s="3"/>
      <c r="M368" s="3"/>
      <c r="N368" s="3"/>
      <c r="O368" s="3"/>
      <c r="P368" s="3"/>
      <c r="Q368" s="3"/>
      <c r="R368" s="32"/>
      <c r="S368" s="32"/>
      <c r="T368" s="3"/>
      <c r="U368" s="33"/>
      <c r="V368" s="33"/>
      <c r="W368" s="3"/>
      <c r="X368" s="3"/>
      <c r="Y368" s="3"/>
      <c r="Z368" s="3"/>
      <c r="AA368" s="3"/>
      <c r="AB368" s="3"/>
      <c r="AC368" s="3"/>
      <c r="AD368" s="32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4"/>
      <c r="AT368" s="3"/>
      <c r="AU368" s="3"/>
      <c r="AV368" s="3"/>
      <c r="AW368" s="3"/>
      <c r="AX368" s="4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84"/>
      <c r="BZ368" s="84"/>
      <c r="CA368" s="84"/>
      <c r="CB368" s="84"/>
      <c r="CC368" s="84"/>
      <c r="CD368" s="84"/>
      <c r="CE368" s="84"/>
      <c r="CF368" s="84"/>
      <c r="CG368" s="84"/>
      <c r="CH368" s="84"/>
      <c r="CI368" s="84"/>
      <c r="CJ368" s="84"/>
      <c r="CK368" s="84"/>
      <c r="CL368" s="84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220"/>
      <c r="CY368" s="220"/>
      <c r="CZ368" s="220"/>
      <c r="DA368" s="220"/>
      <c r="DB368" s="237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  <c r="ED368" s="3"/>
      <c r="EE368" s="3"/>
      <c r="EF368" s="3"/>
      <c r="EG368" s="3"/>
      <c r="EH368" s="3"/>
    </row>
    <row r="369" spans="4:40" x14ac:dyDescent="0.2">
      <c r="D369" s="29"/>
      <c r="E369" s="31"/>
      <c r="F369" s="133"/>
      <c r="H369" s="31"/>
      <c r="I369" s="31"/>
      <c r="R369" s="32"/>
      <c r="S369" s="32"/>
      <c r="U369" s="33"/>
      <c r="V369" s="33"/>
      <c r="AD369" s="32"/>
    </row>
    <row r="370" spans="4:40" x14ac:dyDescent="0.2">
      <c r="E370" s="31"/>
      <c r="F370" s="133"/>
      <c r="H370" s="31"/>
      <c r="I370" s="31"/>
      <c r="R370" s="32"/>
      <c r="S370" s="32"/>
      <c r="U370" s="33"/>
      <c r="V370" s="33"/>
      <c r="AD370" s="32"/>
    </row>
    <row r="371" spans="4:40" x14ac:dyDescent="0.2">
      <c r="E371" s="31"/>
      <c r="F371" s="133"/>
      <c r="H371" s="31"/>
      <c r="I371" s="31"/>
      <c r="R371" s="32"/>
      <c r="S371" s="32"/>
      <c r="U371" s="33"/>
      <c r="V371" s="33"/>
      <c r="AD371" s="32"/>
    </row>
    <row r="372" spans="4:40" x14ac:dyDescent="0.2">
      <c r="E372" s="31"/>
      <c r="F372" s="133"/>
      <c r="H372" s="31"/>
      <c r="I372" s="31"/>
      <c r="R372" s="32"/>
      <c r="S372" s="32"/>
      <c r="U372" s="33"/>
      <c r="V372" s="33"/>
      <c r="AD372" s="32"/>
    </row>
    <row r="373" spans="4:40" x14ac:dyDescent="0.2">
      <c r="E373" s="31"/>
      <c r="F373" s="133"/>
      <c r="H373" s="31"/>
      <c r="I373" s="31"/>
      <c r="R373" s="32"/>
      <c r="S373" s="32"/>
      <c r="U373" s="33"/>
      <c r="V373" s="33"/>
      <c r="AD373" s="32"/>
    </row>
    <row r="374" spans="4:40" x14ac:dyDescent="0.2">
      <c r="E374" s="31"/>
      <c r="F374" s="133"/>
      <c r="H374" s="31"/>
      <c r="I374" s="31"/>
      <c r="R374" s="32"/>
      <c r="S374" s="32"/>
      <c r="U374" s="33"/>
      <c r="V374" s="33"/>
      <c r="AD374" s="32"/>
    </row>
    <row r="375" spans="4:40" x14ac:dyDescent="0.2">
      <c r="E375" s="31"/>
      <c r="F375" s="133"/>
      <c r="H375" s="31"/>
      <c r="I375" s="31"/>
      <c r="R375" s="32"/>
      <c r="S375" s="32"/>
      <c r="U375" s="33"/>
      <c r="V375" s="33"/>
      <c r="AD375" s="32"/>
    </row>
    <row r="376" spans="4:40" x14ac:dyDescent="0.2">
      <c r="E376" s="31"/>
      <c r="F376" s="133"/>
      <c r="H376" s="31"/>
      <c r="I376" s="31"/>
      <c r="R376" s="32"/>
      <c r="S376" s="32"/>
      <c r="U376" s="33"/>
      <c r="V376" s="33"/>
      <c r="AD376" s="32"/>
    </row>
    <row r="377" spans="4:40" x14ac:dyDescent="0.2">
      <c r="E377" s="31"/>
      <c r="F377" s="133"/>
      <c r="H377" s="31"/>
      <c r="I377" s="31"/>
      <c r="R377" s="32"/>
      <c r="S377" s="32"/>
      <c r="U377" s="33"/>
      <c r="V377" s="33"/>
      <c r="AD377" s="32"/>
    </row>
    <row r="378" spans="4:40" x14ac:dyDescent="0.2">
      <c r="E378" s="31"/>
      <c r="F378" s="133"/>
      <c r="H378" s="31"/>
      <c r="I378" s="31"/>
      <c r="R378" s="32"/>
      <c r="S378" s="32"/>
      <c r="U378" s="33"/>
      <c r="V378" s="33"/>
      <c r="AD378" s="32"/>
    </row>
    <row r="379" spans="4:40" x14ac:dyDescent="0.2">
      <c r="E379" s="31"/>
      <c r="F379" s="133"/>
      <c r="H379" s="31"/>
      <c r="I379" s="31"/>
      <c r="R379" s="32"/>
      <c r="S379" s="32"/>
      <c r="U379" s="33"/>
      <c r="V379" s="33"/>
      <c r="AD379" s="32"/>
    </row>
    <row r="380" spans="4:40" x14ac:dyDescent="0.2">
      <c r="E380" s="31"/>
      <c r="F380" s="133"/>
      <c r="H380" s="31"/>
      <c r="I380" s="31"/>
      <c r="R380" s="32"/>
      <c r="S380" s="32"/>
      <c r="U380" s="33"/>
      <c r="V380" s="33"/>
      <c r="AD380" s="32"/>
    </row>
    <row r="381" spans="4:40" x14ac:dyDescent="0.2">
      <c r="E381" s="31"/>
      <c r="F381" s="133"/>
      <c r="H381" s="31"/>
      <c r="I381" s="31"/>
      <c r="R381" s="32"/>
      <c r="S381" s="32"/>
      <c r="U381" s="33"/>
      <c r="V381" s="33"/>
      <c r="AD381" s="32"/>
    </row>
    <row r="382" spans="4:40" x14ac:dyDescent="0.2">
      <c r="E382" s="31"/>
      <c r="F382" s="133"/>
      <c r="H382" s="31"/>
      <c r="I382" s="31"/>
      <c r="R382" s="32"/>
      <c r="S382" s="32"/>
      <c r="U382" s="33"/>
      <c r="V382" s="33"/>
      <c r="AD382" s="32"/>
    </row>
    <row r="383" spans="4:40" x14ac:dyDescent="0.2">
      <c r="E383" s="31"/>
      <c r="F383" s="133"/>
      <c r="G383" s="32"/>
      <c r="H383" s="31"/>
      <c r="I383" s="31"/>
      <c r="J383" s="32"/>
      <c r="K383" s="32"/>
      <c r="N383" s="32"/>
      <c r="O383" s="32"/>
      <c r="P383" s="32"/>
      <c r="Q383" s="32"/>
      <c r="R383" s="32"/>
      <c r="S383" s="32"/>
      <c r="T383" s="32"/>
      <c r="U383" s="32"/>
      <c r="V383" s="32"/>
      <c r="AD383" s="32"/>
      <c r="AE383" s="119"/>
      <c r="AF383" s="32"/>
      <c r="AG383" s="32"/>
      <c r="AH383" s="32"/>
      <c r="AJ383" s="32"/>
      <c r="AK383" s="32"/>
      <c r="AL383" s="32"/>
      <c r="AM383" s="32"/>
      <c r="AN383" s="32"/>
    </row>
    <row r="384" spans="4:40" x14ac:dyDescent="0.2">
      <c r="E384" s="31"/>
      <c r="F384" s="133"/>
      <c r="H384" s="31"/>
      <c r="I384" s="31"/>
      <c r="R384" s="32"/>
      <c r="S384" s="32"/>
      <c r="U384" s="33"/>
      <c r="V384" s="33"/>
      <c r="AD384" s="32"/>
    </row>
    <row r="385" spans="1:138" s="82" customFormat="1" x14ac:dyDescent="0.2">
      <c r="A385" s="3"/>
      <c r="B385" s="167"/>
      <c r="C385" s="3"/>
      <c r="D385" s="3"/>
      <c r="E385" s="31"/>
      <c r="F385" s="133"/>
      <c r="G385" s="3"/>
      <c r="H385" s="31"/>
      <c r="I385" s="31"/>
      <c r="J385" s="3"/>
      <c r="K385" s="3"/>
      <c r="L385" s="3"/>
      <c r="M385" s="3"/>
      <c r="N385" s="3"/>
      <c r="O385" s="3"/>
      <c r="P385" s="3"/>
      <c r="Q385" s="3"/>
      <c r="R385" s="32"/>
      <c r="S385" s="32"/>
      <c r="T385" s="3"/>
      <c r="U385" s="33"/>
      <c r="V385" s="33"/>
      <c r="W385" s="3"/>
      <c r="X385" s="3"/>
      <c r="Y385" s="3"/>
      <c r="Z385" s="3"/>
      <c r="AA385" s="3"/>
      <c r="AB385" s="3"/>
      <c r="AC385" s="3"/>
      <c r="AD385" s="32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4"/>
      <c r="AT385" s="3"/>
      <c r="AU385" s="3"/>
      <c r="AV385" s="3"/>
      <c r="AW385" s="3"/>
      <c r="AX385" s="4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84"/>
      <c r="BZ385" s="84"/>
      <c r="CA385" s="84"/>
      <c r="CB385" s="84"/>
      <c r="CC385" s="84"/>
      <c r="CD385" s="84"/>
      <c r="CE385" s="84"/>
      <c r="CF385" s="84"/>
      <c r="CG385" s="84"/>
      <c r="CH385" s="84"/>
      <c r="CI385" s="84"/>
      <c r="CJ385" s="84"/>
      <c r="CK385" s="84"/>
      <c r="CL385" s="84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220"/>
      <c r="CY385" s="220"/>
      <c r="CZ385" s="220"/>
      <c r="DA385" s="220"/>
      <c r="DB385" s="237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  <c r="ED385" s="3"/>
      <c r="EE385" s="3"/>
      <c r="EF385" s="3"/>
      <c r="EG385" s="3"/>
      <c r="EH385" s="3"/>
    </row>
    <row r="386" spans="1:138" s="82" customFormat="1" x14ac:dyDescent="0.2">
      <c r="A386" s="3"/>
      <c r="B386" s="167"/>
      <c r="C386" s="3"/>
      <c r="D386" s="3"/>
      <c r="E386" s="31"/>
      <c r="F386" s="133"/>
      <c r="G386" s="3"/>
      <c r="H386" s="31"/>
      <c r="I386" s="31"/>
      <c r="J386" s="3"/>
      <c r="K386" s="3"/>
      <c r="L386" s="3"/>
      <c r="M386" s="3"/>
      <c r="N386" s="3"/>
      <c r="O386" s="3"/>
      <c r="P386" s="3"/>
      <c r="Q386" s="3"/>
      <c r="R386" s="32"/>
      <c r="S386" s="32"/>
      <c r="T386" s="3"/>
      <c r="U386" s="33"/>
      <c r="V386" s="33"/>
      <c r="W386" s="3"/>
      <c r="X386" s="3"/>
      <c r="Y386" s="3"/>
      <c r="Z386" s="3"/>
      <c r="AA386" s="3"/>
      <c r="AB386" s="3"/>
      <c r="AC386" s="3"/>
      <c r="AD386" s="32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4"/>
      <c r="AT386" s="3"/>
      <c r="AU386" s="3"/>
      <c r="AV386" s="3"/>
      <c r="AW386" s="3"/>
      <c r="AX386" s="4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84"/>
      <c r="BZ386" s="84"/>
      <c r="CA386" s="84"/>
      <c r="CB386" s="84"/>
      <c r="CC386" s="84"/>
      <c r="CD386" s="84"/>
      <c r="CE386" s="84"/>
      <c r="CF386" s="84"/>
      <c r="CG386" s="84"/>
      <c r="CH386" s="84"/>
      <c r="CI386" s="84"/>
      <c r="CJ386" s="84"/>
      <c r="CK386" s="84"/>
      <c r="CL386" s="84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220"/>
      <c r="CY386" s="220"/>
      <c r="CZ386" s="220"/>
      <c r="DA386" s="220"/>
      <c r="DB386" s="237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  <c r="ED386" s="3"/>
      <c r="EE386" s="3"/>
      <c r="EF386" s="3"/>
      <c r="EG386" s="3"/>
      <c r="EH386" s="3"/>
    </row>
    <row r="387" spans="1:138" s="82" customFormat="1" x14ac:dyDescent="0.2">
      <c r="A387" s="3"/>
      <c r="B387" s="167"/>
      <c r="C387" s="3"/>
      <c r="D387" s="3"/>
      <c r="E387" s="31"/>
      <c r="F387" s="133"/>
      <c r="G387" s="3"/>
      <c r="H387" s="31"/>
      <c r="I387" s="31"/>
      <c r="J387" s="3"/>
      <c r="K387" s="3"/>
      <c r="L387" s="3"/>
      <c r="M387" s="3"/>
      <c r="N387" s="3"/>
      <c r="O387" s="3"/>
      <c r="P387" s="3"/>
      <c r="Q387" s="3"/>
      <c r="R387" s="32"/>
      <c r="S387" s="32"/>
      <c r="T387" s="3"/>
      <c r="U387" s="33"/>
      <c r="V387" s="33"/>
      <c r="W387" s="3"/>
      <c r="X387" s="3"/>
      <c r="Y387" s="3"/>
      <c r="Z387" s="3"/>
      <c r="AA387" s="3"/>
      <c r="AB387" s="3"/>
      <c r="AC387" s="3"/>
      <c r="AD387" s="32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4"/>
      <c r="AT387" s="3"/>
      <c r="AU387" s="3"/>
      <c r="AV387" s="3"/>
      <c r="AW387" s="3"/>
      <c r="AX387" s="4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84"/>
      <c r="BZ387" s="84"/>
      <c r="CA387" s="84"/>
      <c r="CB387" s="84"/>
      <c r="CC387" s="84"/>
      <c r="CD387" s="84"/>
      <c r="CE387" s="84"/>
      <c r="CF387" s="84"/>
      <c r="CG387" s="84"/>
      <c r="CH387" s="84"/>
      <c r="CI387" s="84"/>
      <c r="CJ387" s="84"/>
      <c r="CK387" s="84"/>
      <c r="CL387" s="84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220"/>
      <c r="CY387" s="220"/>
      <c r="CZ387" s="220"/>
      <c r="DA387" s="220"/>
      <c r="DB387" s="237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  <c r="ED387" s="3"/>
      <c r="EE387" s="3"/>
      <c r="EF387" s="3"/>
      <c r="EG387" s="3"/>
      <c r="EH387" s="3"/>
    </row>
    <row r="388" spans="1:138" s="82" customFormat="1" x14ac:dyDescent="0.2">
      <c r="A388" s="3"/>
      <c r="B388" s="167"/>
      <c r="C388" s="3"/>
      <c r="D388" s="3"/>
      <c r="E388" s="31"/>
      <c r="F388" s="133"/>
      <c r="G388" s="3"/>
      <c r="H388" s="31"/>
      <c r="I388" s="31"/>
      <c r="J388" s="3"/>
      <c r="K388" s="3"/>
      <c r="L388" s="3"/>
      <c r="M388" s="3"/>
      <c r="N388" s="3"/>
      <c r="O388" s="3"/>
      <c r="P388" s="3"/>
      <c r="Q388" s="3"/>
      <c r="R388" s="32"/>
      <c r="S388" s="32"/>
      <c r="T388" s="3"/>
      <c r="U388" s="33"/>
      <c r="V388" s="33"/>
      <c r="W388" s="3"/>
      <c r="X388" s="3"/>
      <c r="Y388" s="3"/>
      <c r="Z388" s="3"/>
      <c r="AA388" s="3"/>
      <c r="AB388" s="3"/>
      <c r="AC388" s="3"/>
      <c r="AD388" s="32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4"/>
      <c r="AT388" s="3"/>
      <c r="AU388" s="3"/>
      <c r="AV388" s="3"/>
      <c r="AW388" s="3"/>
      <c r="AX388" s="4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84"/>
      <c r="BZ388" s="84"/>
      <c r="CA388" s="84"/>
      <c r="CB388" s="84"/>
      <c r="CC388" s="84"/>
      <c r="CD388" s="84"/>
      <c r="CE388" s="84"/>
      <c r="CF388" s="84"/>
      <c r="CG388" s="84"/>
      <c r="CH388" s="84"/>
      <c r="CI388" s="84"/>
      <c r="CJ388" s="84"/>
      <c r="CK388" s="84"/>
      <c r="CL388" s="84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220"/>
      <c r="CY388" s="220"/>
      <c r="CZ388" s="220"/>
      <c r="DA388" s="220"/>
      <c r="DB388" s="237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  <c r="ED388" s="3"/>
      <c r="EE388" s="3"/>
      <c r="EF388" s="3"/>
      <c r="EG388" s="3"/>
      <c r="EH388" s="3"/>
    </row>
    <row r="389" spans="1:138" s="82" customFormat="1" x14ac:dyDescent="0.2">
      <c r="A389" s="3"/>
      <c r="B389" s="167"/>
      <c r="C389" s="3"/>
      <c r="D389" s="3"/>
      <c r="E389" s="31"/>
      <c r="F389" s="133"/>
      <c r="G389" s="3"/>
      <c r="H389" s="31"/>
      <c r="I389" s="31"/>
      <c r="J389" s="3"/>
      <c r="K389" s="3"/>
      <c r="L389" s="3"/>
      <c r="M389" s="3"/>
      <c r="N389" s="3"/>
      <c r="O389" s="3"/>
      <c r="P389" s="3"/>
      <c r="Q389" s="3"/>
      <c r="R389" s="32"/>
      <c r="S389" s="32"/>
      <c r="T389" s="3"/>
      <c r="U389" s="33"/>
      <c r="V389" s="33"/>
      <c r="W389" s="3"/>
      <c r="X389" s="3"/>
      <c r="Y389" s="3"/>
      <c r="Z389" s="3"/>
      <c r="AA389" s="3"/>
      <c r="AB389" s="3"/>
      <c r="AC389" s="3"/>
      <c r="AD389" s="32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4"/>
      <c r="AT389" s="3"/>
      <c r="AU389" s="3"/>
      <c r="AV389" s="3"/>
      <c r="AW389" s="3"/>
      <c r="AX389" s="4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84"/>
      <c r="BZ389" s="84"/>
      <c r="CA389" s="84"/>
      <c r="CB389" s="84"/>
      <c r="CC389" s="84"/>
      <c r="CD389" s="84"/>
      <c r="CE389" s="84"/>
      <c r="CF389" s="84"/>
      <c r="CG389" s="84"/>
      <c r="CH389" s="84"/>
      <c r="CI389" s="84"/>
      <c r="CJ389" s="84"/>
      <c r="CK389" s="84"/>
      <c r="CL389" s="84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220"/>
      <c r="CY389" s="220"/>
      <c r="CZ389" s="220"/>
      <c r="DA389" s="220"/>
      <c r="DB389" s="237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  <c r="ED389" s="3"/>
      <c r="EE389" s="3"/>
      <c r="EF389" s="3"/>
      <c r="EG389" s="3"/>
      <c r="EH389" s="3"/>
    </row>
    <row r="390" spans="1:138" s="82" customFormat="1" x14ac:dyDescent="0.2">
      <c r="A390" s="3"/>
      <c r="B390" s="167"/>
      <c r="C390" s="3"/>
      <c r="D390" s="3"/>
      <c r="E390" s="31"/>
      <c r="F390" s="133"/>
      <c r="G390" s="3"/>
      <c r="H390" s="31"/>
      <c r="I390" s="31"/>
      <c r="J390" s="3"/>
      <c r="K390" s="3"/>
      <c r="L390" s="3"/>
      <c r="M390" s="3"/>
      <c r="N390" s="3"/>
      <c r="O390" s="3"/>
      <c r="P390" s="3"/>
      <c r="Q390" s="3"/>
      <c r="R390" s="32"/>
      <c r="S390" s="32"/>
      <c r="T390" s="3"/>
      <c r="U390" s="33"/>
      <c r="V390" s="33"/>
      <c r="W390" s="3"/>
      <c r="X390" s="3"/>
      <c r="Y390" s="3"/>
      <c r="Z390" s="3"/>
      <c r="AA390" s="3"/>
      <c r="AB390" s="3"/>
      <c r="AC390" s="3"/>
      <c r="AD390" s="32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4"/>
      <c r="AT390" s="3"/>
      <c r="AU390" s="3"/>
      <c r="AV390" s="3"/>
      <c r="AW390" s="3"/>
      <c r="AX390" s="4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220"/>
      <c r="CY390" s="220"/>
      <c r="CZ390" s="220"/>
      <c r="DA390" s="220"/>
      <c r="DB390" s="237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  <c r="ED390" s="3"/>
      <c r="EE390" s="3"/>
      <c r="EF390" s="3"/>
      <c r="EG390" s="3"/>
      <c r="EH390" s="3"/>
    </row>
    <row r="391" spans="1:138" s="82" customFormat="1" x14ac:dyDescent="0.2">
      <c r="A391" s="3"/>
      <c r="B391" s="167"/>
      <c r="C391" s="3"/>
      <c r="D391" s="3"/>
      <c r="E391" s="31"/>
      <c r="F391" s="133"/>
      <c r="G391" s="3"/>
      <c r="H391" s="31"/>
      <c r="I391" s="31"/>
      <c r="J391" s="3"/>
      <c r="K391" s="3"/>
      <c r="L391" s="3"/>
      <c r="M391" s="3"/>
      <c r="N391" s="3"/>
      <c r="O391" s="3"/>
      <c r="P391" s="3"/>
      <c r="Q391" s="3"/>
      <c r="R391" s="32"/>
      <c r="S391" s="32"/>
      <c r="T391" s="3"/>
      <c r="U391" s="33"/>
      <c r="V391" s="33"/>
      <c r="W391" s="3"/>
      <c r="X391" s="3"/>
      <c r="Y391" s="3"/>
      <c r="Z391" s="3"/>
      <c r="AA391" s="3"/>
      <c r="AB391" s="3"/>
      <c r="AC391" s="3"/>
      <c r="AD391" s="32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4"/>
      <c r="AT391" s="3"/>
      <c r="AU391" s="3"/>
      <c r="AV391" s="3"/>
      <c r="AW391" s="3"/>
      <c r="AX391" s="4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84"/>
      <c r="BZ391" s="84"/>
      <c r="CA391" s="84"/>
      <c r="CB391" s="84"/>
      <c r="CC391" s="84"/>
      <c r="CD391" s="84"/>
      <c r="CE391" s="84"/>
      <c r="CF391" s="84"/>
      <c r="CG391" s="84"/>
      <c r="CH391" s="84"/>
      <c r="CI391" s="84"/>
      <c r="CJ391" s="84"/>
      <c r="CK391" s="84"/>
      <c r="CL391" s="84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220"/>
      <c r="CY391" s="220"/>
      <c r="CZ391" s="220"/>
      <c r="DA391" s="220"/>
      <c r="DB391" s="237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  <c r="ED391" s="3"/>
      <c r="EE391" s="3"/>
      <c r="EF391" s="3"/>
      <c r="EG391" s="3"/>
      <c r="EH391" s="3"/>
    </row>
    <row r="392" spans="1:138" s="82" customFormat="1" x14ac:dyDescent="0.2">
      <c r="A392" s="3"/>
      <c r="B392" s="167"/>
      <c r="C392" s="3"/>
      <c r="D392" s="3"/>
      <c r="E392" s="31"/>
      <c r="F392" s="133"/>
      <c r="G392" s="3"/>
      <c r="H392" s="31"/>
      <c r="I392" s="31"/>
      <c r="J392" s="3"/>
      <c r="K392" s="3"/>
      <c r="L392" s="3"/>
      <c r="M392" s="3"/>
      <c r="N392" s="3"/>
      <c r="O392" s="3"/>
      <c r="P392" s="3"/>
      <c r="Q392" s="3"/>
      <c r="R392" s="32"/>
      <c r="S392" s="32"/>
      <c r="T392" s="3"/>
      <c r="U392" s="33"/>
      <c r="V392" s="33"/>
      <c r="W392" s="3"/>
      <c r="X392" s="3"/>
      <c r="Y392" s="3"/>
      <c r="Z392" s="3"/>
      <c r="AA392" s="3"/>
      <c r="AB392" s="3"/>
      <c r="AC392" s="3"/>
      <c r="AD392" s="32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4"/>
      <c r="AT392" s="3"/>
      <c r="AU392" s="3"/>
      <c r="AV392" s="3"/>
      <c r="AW392" s="3"/>
      <c r="AX392" s="4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84"/>
      <c r="BZ392" s="84"/>
      <c r="CA392" s="84"/>
      <c r="CB392" s="84"/>
      <c r="CC392" s="84"/>
      <c r="CD392" s="84"/>
      <c r="CE392" s="84"/>
      <c r="CF392" s="84"/>
      <c r="CG392" s="84"/>
      <c r="CH392" s="84"/>
      <c r="CI392" s="84"/>
      <c r="CJ392" s="84"/>
      <c r="CK392" s="84"/>
      <c r="CL392" s="84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220"/>
      <c r="CY392" s="220"/>
      <c r="CZ392" s="220"/>
      <c r="DA392" s="220"/>
      <c r="DB392" s="237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  <c r="ED392" s="3"/>
      <c r="EE392" s="3"/>
      <c r="EF392" s="3"/>
      <c r="EG392" s="3"/>
      <c r="EH392" s="3"/>
    </row>
    <row r="393" spans="1:138" s="82" customFormat="1" x14ac:dyDescent="0.2">
      <c r="A393" s="3"/>
      <c r="B393" s="167"/>
      <c r="C393" s="3"/>
      <c r="D393" s="3"/>
      <c r="E393" s="31"/>
      <c r="F393" s="133"/>
      <c r="G393" s="3"/>
      <c r="H393" s="31"/>
      <c r="I393" s="31"/>
      <c r="J393" s="3"/>
      <c r="K393" s="3"/>
      <c r="L393" s="3"/>
      <c r="M393" s="3"/>
      <c r="N393" s="3"/>
      <c r="O393" s="3"/>
      <c r="P393" s="3"/>
      <c r="Q393" s="3"/>
      <c r="R393" s="32"/>
      <c r="S393" s="32"/>
      <c r="T393" s="3"/>
      <c r="U393" s="33"/>
      <c r="V393" s="33"/>
      <c r="W393" s="3"/>
      <c r="X393" s="3"/>
      <c r="Y393" s="3"/>
      <c r="Z393" s="3"/>
      <c r="AA393" s="3"/>
      <c r="AB393" s="3"/>
      <c r="AC393" s="3"/>
      <c r="AD393" s="32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4"/>
      <c r="AT393" s="3"/>
      <c r="AU393" s="3"/>
      <c r="AV393" s="3"/>
      <c r="AW393" s="3"/>
      <c r="AX393" s="4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84"/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220"/>
      <c r="CY393" s="220"/>
      <c r="CZ393" s="220"/>
      <c r="DA393" s="220"/>
      <c r="DB393" s="237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3"/>
      <c r="EE393" s="3"/>
      <c r="EF393" s="3"/>
      <c r="EG393" s="3"/>
      <c r="EH393" s="3"/>
    </row>
    <row r="394" spans="1:138" s="82" customFormat="1" x14ac:dyDescent="0.2">
      <c r="A394" s="3"/>
      <c r="B394" s="167"/>
      <c r="C394" s="3"/>
      <c r="D394" s="3"/>
      <c r="E394" s="31"/>
      <c r="F394" s="133"/>
      <c r="G394" s="3"/>
      <c r="H394" s="31"/>
      <c r="I394" s="31"/>
      <c r="J394" s="3"/>
      <c r="K394" s="3"/>
      <c r="L394" s="3"/>
      <c r="M394" s="3"/>
      <c r="N394" s="3"/>
      <c r="O394" s="3"/>
      <c r="P394" s="3"/>
      <c r="Q394" s="3"/>
      <c r="R394" s="32"/>
      <c r="S394" s="32"/>
      <c r="T394" s="3"/>
      <c r="U394" s="33"/>
      <c r="V394" s="33"/>
      <c r="W394" s="3"/>
      <c r="X394" s="3"/>
      <c r="Y394" s="3"/>
      <c r="Z394" s="3"/>
      <c r="AA394" s="3"/>
      <c r="AB394" s="3"/>
      <c r="AC394" s="3"/>
      <c r="AD394" s="32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4"/>
      <c r="AT394" s="3"/>
      <c r="AU394" s="3"/>
      <c r="AV394" s="3"/>
      <c r="AW394" s="3"/>
      <c r="AX394" s="4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84"/>
      <c r="BZ394" s="84"/>
      <c r="CA394" s="84"/>
      <c r="CB394" s="84"/>
      <c r="CC394" s="84"/>
      <c r="CD394" s="84"/>
      <c r="CE394" s="84"/>
      <c r="CF394" s="84"/>
      <c r="CG394" s="84"/>
      <c r="CH394" s="84"/>
      <c r="CI394" s="84"/>
      <c r="CJ394" s="84"/>
      <c r="CK394" s="84"/>
      <c r="CL394" s="84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220"/>
      <c r="CY394" s="220"/>
      <c r="CZ394" s="220"/>
      <c r="DA394" s="220"/>
      <c r="DB394" s="237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  <c r="ED394" s="3"/>
      <c r="EE394" s="3"/>
      <c r="EF394" s="3"/>
      <c r="EG394" s="3"/>
      <c r="EH394" s="3"/>
    </row>
    <row r="395" spans="1:138" s="82" customFormat="1" x14ac:dyDescent="0.2">
      <c r="A395" s="3"/>
      <c r="B395" s="167"/>
      <c r="C395" s="3"/>
      <c r="D395" s="3"/>
      <c r="E395" s="31"/>
      <c r="F395" s="133"/>
      <c r="G395" s="3"/>
      <c r="H395" s="31"/>
      <c r="I395" s="31"/>
      <c r="J395" s="3"/>
      <c r="K395" s="3"/>
      <c r="L395" s="3"/>
      <c r="M395" s="3"/>
      <c r="N395" s="3"/>
      <c r="O395" s="3"/>
      <c r="P395" s="3"/>
      <c r="Q395" s="3"/>
      <c r="R395" s="32"/>
      <c r="S395" s="32"/>
      <c r="T395" s="3"/>
      <c r="U395" s="33"/>
      <c r="V395" s="33"/>
      <c r="W395" s="3"/>
      <c r="X395" s="3"/>
      <c r="Y395" s="3"/>
      <c r="Z395" s="3"/>
      <c r="AA395" s="3"/>
      <c r="AB395" s="3"/>
      <c r="AC395" s="3"/>
      <c r="AD395" s="32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4"/>
      <c r="AT395" s="3"/>
      <c r="AU395" s="3"/>
      <c r="AV395" s="3"/>
      <c r="AW395" s="3"/>
      <c r="AX395" s="4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84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220"/>
      <c r="CY395" s="220"/>
      <c r="CZ395" s="220"/>
      <c r="DA395" s="220"/>
      <c r="DB395" s="237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  <c r="ED395" s="3"/>
      <c r="EE395" s="3"/>
      <c r="EF395" s="3"/>
      <c r="EG395" s="3"/>
      <c r="EH395" s="3"/>
    </row>
    <row r="396" spans="1:138" s="82" customFormat="1" x14ac:dyDescent="0.2">
      <c r="A396" s="3"/>
      <c r="B396" s="167"/>
      <c r="C396" s="3"/>
      <c r="D396" s="3"/>
      <c r="E396" s="31"/>
      <c r="F396" s="133"/>
      <c r="G396" s="3"/>
      <c r="H396" s="31"/>
      <c r="I396" s="31"/>
      <c r="J396" s="3"/>
      <c r="K396" s="3"/>
      <c r="L396" s="3"/>
      <c r="M396" s="3"/>
      <c r="N396" s="3"/>
      <c r="O396" s="3"/>
      <c r="P396" s="3"/>
      <c r="Q396" s="3"/>
      <c r="R396" s="32"/>
      <c r="S396" s="32"/>
      <c r="T396" s="3"/>
      <c r="U396" s="33"/>
      <c r="V396" s="33"/>
      <c r="W396" s="3"/>
      <c r="X396" s="3"/>
      <c r="Y396" s="3"/>
      <c r="Z396" s="3"/>
      <c r="AA396" s="3"/>
      <c r="AB396" s="3"/>
      <c r="AC396" s="3"/>
      <c r="AD396" s="32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4"/>
      <c r="AT396" s="3"/>
      <c r="AU396" s="3"/>
      <c r="AV396" s="3"/>
      <c r="AW396" s="3"/>
      <c r="AX396" s="4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84"/>
      <c r="BZ396" s="84"/>
      <c r="CA396" s="84"/>
      <c r="CB396" s="84"/>
      <c r="CC396" s="84"/>
      <c r="CD396" s="84"/>
      <c r="CE396" s="84"/>
      <c r="CF396" s="84"/>
      <c r="CG396" s="84"/>
      <c r="CH396" s="84"/>
      <c r="CI396" s="84"/>
      <c r="CJ396" s="84"/>
      <c r="CK396" s="84"/>
      <c r="CL396" s="84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220"/>
      <c r="CY396" s="220"/>
      <c r="CZ396" s="220"/>
      <c r="DA396" s="220"/>
      <c r="DB396" s="237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3"/>
      <c r="EE396" s="3"/>
      <c r="EF396" s="3"/>
      <c r="EG396" s="3"/>
      <c r="EH396" s="3"/>
    </row>
    <row r="397" spans="1:138" s="82" customFormat="1" x14ac:dyDescent="0.2">
      <c r="A397" s="3"/>
      <c r="B397" s="167"/>
      <c r="C397" s="3"/>
      <c r="D397" s="3"/>
      <c r="E397" s="31"/>
      <c r="F397" s="133"/>
      <c r="G397" s="3"/>
      <c r="H397" s="31"/>
      <c r="I397" s="31"/>
      <c r="J397" s="3"/>
      <c r="K397" s="3"/>
      <c r="L397" s="3"/>
      <c r="M397" s="3"/>
      <c r="N397" s="3"/>
      <c r="O397" s="3"/>
      <c r="P397" s="3"/>
      <c r="Q397" s="3"/>
      <c r="R397" s="32"/>
      <c r="S397" s="32"/>
      <c r="T397" s="3"/>
      <c r="U397" s="33"/>
      <c r="V397" s="33"/>
      <c r="W397" s="3"/>
      <c r="X397" s="3"/>
      <c r="Y397" s="3"/>
      <c r="Z397" s="3"/>
      <c r="AA397" s="3"/>
      <c r="AB397" s="3"/>
      <c r="AC397" s="3"/>
      <c r="AD397" s="32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4"/>
      <c r="AT397" s="3"/>
      <c r="AU397" s="3"/>
      <c r="AV397" s="3"/>
      <c r="AW397" s="3"/>
      <c r="AX397" s="4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84"/>
      <c r="BZ397" s="84"/>
      <c r="CA397" s="84"/>
      <c r="CB397" s="84"/>
      <c r="CC397" s="84"/>
      <c r="CD397" s="84"/>
      <c r="CE397" s="84"/>
      <c r="CF397" s="84"/>
      <c r="CG397" s="84"/>
      <c r="CH397" s="84"/>
      <c r="CI397" s="84"/>
      <c r="CJ397" s="84"/>
      <c r="CK397" s="84"/>
      <c r="CL397" s="84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220"/>
      <c r="CY397" s="220"/>
      <c r="CZ397" s="220"/>
      <c r="DA397" s="220"/>
      <c r="DB397" s="237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  <c r="ED397" s="3"/>
      <c r="EE397" s="3"/>
      <c r="EF397" s="3"/>
      <c r="EG397" s="3"/>
      <c r="EH397" s="3"/>
    </row>
    <row r="398" spans="1:138" s="82" customFormat="1" x14ac:dyDescent="0.2">
      <c r="A398" s="3"/>
      <c r="B398" s="167"/>
      <c r="C398" s="3"/>
      <c r="D398" s="3"/>
      <c r="E398" s="31"/>
      <c r="F398" s="133"/>
      <c r="G398" s="3"/>
      <c r="H398" s="31"/>
      <c r="I398" s="31"/>
      <c r="J398" s="3"/>
      <c r="K398" s="3"/>
      <c r="L398" s="3"/>
      <c r="M398" s="3"/>
      <c r="N398" s="3"/>
      <c r="O398" s="3"/>
      <c r="P398" s="3"/>
      <c r="Q398" s="3"/>
      <c r="R398" s="32"/>
      <c r="S398" s="32"/>
      <c r="T398" s="3"/>
      <c r="U398" s="33"/>
      <c r="V398" s="33"/>
      <c r="W398" s="3"/>
      <c r="X398" s="3"/>
      <c r="Y398" s="3"/>
      <c r="Z398" s="3"/>
      <c r="AA398" s="3"/>
      <c r="AB398" s="3"/>
      <c r="AC398" s="3"/>
      <c r="AD398" s="32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4"/>
      <c r="AT398" s="3"/>
      <c r="AU398" s="3"/>
      <c r="AV398" s="3"/>
      <c r="AW398" s="3"/>
      <c r="AX398" s="4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84"/>
      <c r="BZ398" s="84"/>
      <c r="CA398" s="84"/>
      <c r="CB398" s="84"/>
      <c r="CC398" s="84"/>
      <c r="CD398" s="84"/>
      <c r="CE398" s="84"/>
      <c r="CF398" s="84"/>
      <c r="CG398" s="84"/>
      <c r="CH398" s="84"/>
      <c r="CI398" s="84"/>
      <c r="CJ398" s="84"/>
      <c r="CK398" s="84"/>
      <c r="CL398" s="84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220"/>
      <c r="CY398" s="220"/>
      <c r="CZ398" s="220"/>
      <c r="DA398" s="220"/>
      <c r="DB398" s="237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3"/>
      <c r="EE398" s="3"/>
      <c r="EF398" s="3"/>
      <c r="EG398" s="3"/>
      <c r="EH398" s="3"/>
    </row>
    <row r="399" spans="1:138" s="82" customFormat="1" x14ac:dyDescent="0.2">
      <c r="A399" s="3"/>
      <c r="B399" s="167"/>
      <c r="C399" s="3"/>
      <c r="D399" s="3"/>
      <c r="E399" s="31"/>
      <c r="F399" s="133"/>
      <c r="G399" s="3"/>
      <c r="H399" s="31"/>
      <c r="I399" s="31"/>
      <c r="J399" s="3"/>
      <c r="K399" s="3"/>
      <c r="L399" s="3"/>
      <c r="M399" s="3"/>
      <c r="N399" s="3"/>
      <c r="O399" s="3"/>
      <c r="P399" s="3"/>
      <c r="Q399" s="3"/>
      <c r="R399" s="32"/>
      <c r="S399" s="32"/>
      <c r="T399" s="3"/>
      <c r="U399" s="33"/>
      <c r="V399" s="33"/>
      <c r="W399" s="3"/>
      <c r="X399" s="3"/>
      <c r="Y399" s="3"/>
      <c r="Z399" s="3"/>
      <c r="AA399" s="3"/>
      <c r="AB399" s="3"/>
      <c r="AC399" s="3"/>
      <c r="AD399" s="32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4"/>
      <c r="AT399" s="3"/>
      <c r="AU399" s="3"/>
      <c r="AV399" s="3"/>
      <c r="AW399" s="3"/>
      <c r="AX399" s="4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84"/>
      <c r="BZ399" s="84"/>
      <c r="CA399" s="84"/>
      <c r="CB399" s="84"/>
      <c r="CC399" s="84"/>
      <c r="CD399" s="84"/>
      <c r="CE399" s="84"/>
      <c r="CF399" s="84"/>
      <c r="CG399" s="84"/>
      <c r="CH399" s="84"/>
      <c r="CI399" s="84"/>
      <c r="CJ399" s="84"/>
      <c r="CK399" s="84"/>
      <c r="CL399" s="84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220"/>
      <c r="CY399" s="220"/>
      <c r="CZ399" s="220"/>
      <c r="DA399" s="220"/>
      <c r="DB399" s="237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3"/>
      <c r="EE399" s="3"/>
      <c r="EF399" s="3"/>
      <c r="EG399" s="3"/>
      <c r="EH399" s="3"/>
    </row>
    <row r="400" spans="1:138" s="82" customFormat="1" x14ac:dyDescent="0.2">
      <c r="A400" s="3"/>
      <c r="B400" s="167"/>
      <c r="C400" s="3"/>
      <c r="D400" s="3"/>
      <c r="E400" s="31"/>
      <c r="F400" s="133"/>
      <c r="G400" s="3"/>
      <c r="H400" s="31"/>
      <c r="I400" s="31"/>
      <c r="J400" s="3"/>
      <c r="K400" s="3"/>
      <c r="L400" s="3"/>
      <c r="M400" s="3"/>
      <c r="N400" s="3"/>
      <c r="O400" s="3"/>
      <c r="P400" s="3"/>
      <c r="Q400" s="3"/>
      <c r="R400" s="32"/>
      <c r="S400" s="32"/>
      <c r="T400" s="3"/>
      <c r="U400" s="33"/>
      <c r="V400" s="33"/>
      <c r="W400" s="3"/>
      <c r="X400" s="3"/>
      <c r="Y400" s="3"/>
      <c r="Z400" s="3"/>
      <c r="AA400" s="3"/>
      <c r="AB400" s="3"/>
      <c r="AC400" s="3"/>
      <c r="AD400" s="32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4"/>
      <c r="AT400" s="3"/>
      <c r="AU400" s="3"/>
      <c r="AV400" s="3"/>
      <c r="AW400" s="3"/>
      <c r="AX400" s="4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84"/>
      <c r="BZ400" s="84"/>
      <c r="CA400" s="84"/>
      <c r="CB400" s="84"/>
      <c r="CC400" s="84"/>
      <c r="CD400" s="84"/>
      <c r="CE400" s="84"/>
      <c r="CF400" s="84"/>
      <c r="CG400" s="84"/>
      <c r="CH400" s="84"/>
      <c r="CI400" s="84"/>
      <c r="CJ400" s="84"/>
      <c r="CK400" s="84"/>
      <c r="CL400" s="84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220"/>
      <c r="CY400" s="220"/>
      <c r="CZ400" s="220"/>
      <c r="DA400" s="220"/>
      <c r="DB400" s="237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  <c r="ED400" s="3"/>
      <c r="EE400" s="3"/>
      <c r="EF400" s="3"/>
      <c r="EG400" s="3"/>
      <c r="EH400" s="3"/>
    </row>
    <row r="401" spans="1:138" s="82" customFormat="1" x14ac:dyDescent="0.2">
      <c r="A401" s="3"/>
      <c r="B401" s="167"/>
      <c r="C401" s="3"/>
      <c r="D401" s="3"/>
      <c r="E401" s="31"/>
      <c r="F401" s="133"/>
      <c r="G401" s="3"/>
      <c r="H401" s="31"/>
      <c r="I401" s="31"/>
      <c r="J401" s="3"/>
      <c r="K401" s="3"/>
      <c r="L401" s="3"/>
      <c r="M401" s="3"/>
      <c r="N401" s="3"/>
      <c r="O401" s="3"/>
      <c r="P401" s="3"/>
      <c r="Q401" s="3"/>
      <c r="R401" s="32"/>
      <c r="S401" s="32"/>
      <c r="T401" s="3"/>
      <c r="U401" s="33"/>
      <c r="V401" s="33"/>
      <c r="W401" s="3"/>
      <c r="X401" s="3"/>
      <c r="Y401" s="3"/>
      <c r="Z401" s="3"/>
      <c r="AA401" s="3"/>
      <c r="AB401" s="3"/>
      <c r="AC401" s="3"/>
      <c r="AD401" s="32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4"/>
      <c r="AT401" s="3"/>
      <c r="AU401" s="3"/>
      <c r="AV401" s="3"/>
      <c r="AW401" s="3"/>
      <c r="AX401" s="4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220"/>
      <c r="CY401" s="220"/>
      <c r="CZ401" s="220"/>
      <c r="DA401" s="220"/>
      <c r="DB401" s="237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  <c r="ED401" s="3"/>
      <c r="EE401" s="3"/>
      <c r="EF401" s="3"/>
      <c r="EG401" s="3"/>
      <c r="EH401" s="3"/>
    </row>
    <row r="402" spans="1:138" s="82" customFormat="1" x14ac:dyDescent="0.2">
      <c r="A402" s="3"/>
      <c r="B402" s="167"/>
      <c r="C402" s="3"/>
      <c r="D402" s="3"/>
      <c r="E402" s="31"/>
      <c r="F402" s="133"/>
      <c r="G402" s="3"/>
      <c r="H402" s="31"/>
      <c r="I402" s="31"/>
      <c r="J402" s="3"/>
      <c r="K402" s="3"/>
      <c r="L402" s="3"/>
      <c r="M402" s="3"/>
      <c r="N402" s="3"/>
      <c r="O402" s="3"/>
      <c r="P402" s="3"/>
      <c r="Q402" s="3"/>
      <c r="R402" s="32"/>
      <c r="S402" s="32"/>
      <c r="T402" s="3"/>
      <c r="U402" s="33"/>
      <c r="V402" s="33"/>
      <c r="W402" s="3"/>
      <c r="X402" s="3"/>
      <c r="Y402" s="3"/>
      <c r="Z402" s="3"/>
      <c r="AA402" s="3"/>
      <c r="AB402" s="3"/>
      <c r="AC402" s="3"/>
      <c r="AD402" s="32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4"/>
      <c r="AT402" s="3"/>
      <c r="AU402" s="3"/>
      <c r="AV402" s="3"/>
      <c r="AW402" s="3"/>
      <c r="AX402" s="4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84"/>
      <c r="BZ402" s="84"/>
      <c r="CA402" s="84"/>
      <c r="CB402" s="84"/>
      <c r="CC402" s="84"/>
      <c r="CD402" s="84"/>
      <c r="CE402" s="84"/>
      <c r="CF402" s="84"/>
      <c r="CG402" s="84"/>
      <c r="CH402" s="84"/>
      <c r="CI402" s="84"/>
      <c r="CJ402" s="84"/>
      <c r="CK402" s="84"/>
      <c r="CL402" s="84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220"/>
      <c r="CY402" s="220"/>
      <c r="CZ402" s="220"/>
      <c r="DA402" s="220"/>
      <c r="DB402" s="237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  <c r="ED402" s="3"/>
      <c r="EE402" s="3"/>
      <c r="EF402" s="3"/>
      <c r="EG402" s="3"/>
      <c r="EH402" s="3"/>
    </row>
    <row r="403" spans="1:138" s="82" customFormat="1" x14ac:dyDescent="0.2">
      <c r="A403" s="3"/>
      <c r="B403" s="167"/>
      <c r="C403" s="3"/>
      <c r="D403" s="3"/>
      <c r="E403" s="31"/>
      <c r="F403" s="133"/>
      <c r="G403" s="3"/>
      <c r="H403" s="31"/>
      <c r="I403" s="31"/>
      <c r="J403" s="3"/>
      <c r="K403" s="3"/>
      <c r="L403" s="3"/>
      <c r="M403" s="3"/>
      <c r="N403" s="3"/>
      <c r="O403" s="3"/>
      <c r="P403" s="3"/>
      <c r="Q403" s="3"/>
      <c r="R403" s="32"/>
      <c r="S403" s="32"/>
      <c r="T403" s="3"/>
      <c r="U403" s="33"/>
      <c r="V403" s="33"/>
      <c r="W403" s="3"/>
      <c r="X403" s="3"/>
      <c r="Y403" s="3"/>
      <c r="Z403" s="3"/>
      <c r="AA403" s="3"/>
      <c r="AB403" s="3"/>
      <c r="AC403" s="3"/>
      <c r="AD403" s="32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4"/>
      <c r="AT403" s="3"/>
      <c r="AU403" s="3"/>
      <c r="AV403" s="3"/>
      <c r="AW403" s="3"/>
      <c r="AX403" s="4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84"/>
      <c r="BZ403" s="84"/>
      <c r="CA403" s="84"/>
      <c r="CB403" s="84"/>
      <c r="CC403" s="84"/>
      <c r="CD403" s="84"/>
      <c r="CE403" s="84"/>
      <c r="CF403" s="84"/>
      <c r="CG403" s="84"/>
      <c r="CH403" s="84"/>
      <c r="CI403" s="84"/>
      <c r="CJ403" s="84"/>
      <c r="CK403" s="84"/>
      <c r="CL403" s="84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220"/>
      <c r="CY403" s="220"/>
      <c r="CZ403" s="220"/>
      <c r="DA403" s="220"/>
      <c r="DB403" s="237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  <c r="ED403" s="3"/>
      <c r="EE403" s="3"/>
      <c r="EF403" s="3"/>
      <c r="EG403" s="3"/>
      <c r="EH403" s="3"/>
    </row>
    <row r="404" spans="1:138" s="82" customFormat="1" x14ac:dyDescent="0.2">
      <c r="A404" s="3"/>
      <c r="B404" s="167"/>
      <c r="C404" s="3"/>
      <c r="D404" s="3"/>
      <c r="E404" s="31"/>
      <c r="F404" s="133"/>
      <c r="G404" s="3"/>
      <c r="H404" s="31"/>
      <c r="I404" s="31"/>
      <c r="J404" s="3"/>
      <c r="K404" s="3"/>
      <c r="L404" s="3"/>
      <c r="M404" s="3"/>
      <c r="N404" s="3"/>
      <c r="O404" s="3"/>
      <c r="P404" s="3"/>
      <c r="Q404" s="3"/>
      <c r="R404" s="32"/>
      <c r="S404" s="32"/>
      <c r="T404" s="3"/>
      <c r="U404" s="33"/>
      <c r="V404" s="33"/>
      <c r="W404" s="3"/>
      <c r="X404" s="3"/>
      <c r="Y404" s="3"/>
      <c r="Z404" s="3"/>
      <c r="AA404" s="3"/>
      <c r="AB404" s="3"/>
      <c r="AC404" s="3"/>
      <c r="AD404" s="32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4"/>
      <c r="AT404" s="3"/>
      <c r="AU404" s="3"/>
      <c r="AV404" s="3"/>
      <c r="AW404" s="3"/>
      <c r="AX404" s="4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84"/>
      <c r="BZ404" s="84"/>
      <c r="CA404" s="84"/>
      <c r="CB404" s="84"/>
      <c r="CC404" s="84"/>
      <c r="CD404" s="84"/>
      <c r="CE404" s="84"/>
      <c r="CF404" s="84"/>
      <c r="CG404" s="84"/>
      <c r="CH404" s="84"/>
      <c r="CI404" s="84"/>
      <c r="CJ404" s="84"/>
      <c r="CK404" s="84"/>
      <c r="CL404" s="84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220"/>
      <c r="CY404" s="220"/>
      <c r="CZ404" s="220"/>
      <c r="DA404" s="220"/>
      <c r="DB404" s="237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  <c r="ED404" s="3"/>
      <c r="EE404" s="3"/>
      <c r="EF404" s="3"/>
      <c r="EG404" s="3"/>
      <c r="EH404" s="3"/>
    </row>
    <row r="405" spans="1:138" s="82" customFormat="1" x14ac:dyDescent="0.2">
      <c r="A405" s="3"/>
      <c r="B405" s="167"/>
      <c r="C405" s="3"/>
      <c r="D405" s="3"/>
      <c r="E405" s="31"/>
      <c r="F405" s="133"/>
      <c r="G405" s="3"/>
      <c r="H405" s="31"/>
      <c r="I405" s="31"/>
      <c r="J405" s="3"/>
      <c r="K405" s="3"/>
      <c r="L405" s="3"/>
      <c r="M405" s="3"/>
      <c r="N405" s="3"/>
      <c r="O405" s="3"/>
      <c r="P405" s="3"/>
      <c r="Q405" s="3"/>
      <c r="R405" s="32"/>
      <c r="S405" s="32"/>
      <c r="T405" s="3"/>
      <c r="U405" s="33"/>
      <c r="V405" s="33"/>
      <c r="W405" s="3"/>
      <c r="X405" s="3"/>
      <c r="Y405" s="3"/>
      <c r="Z405" s="3"/>
      <c r="AA405" s="3"/>
      <c r="AB405" s="3"/>
      <c r="AC405" s="3"/>
      <c r="AD405" s="32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4"/>
      <c r="AT405" s="3"/>
      <c r="AU405" s="3"/>
      <c r="AV405" s="3"/>
      <c r="AW405" s="3"/>
      <c r="AX405" s="4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84"/>
      <c r="BZ405" s="84"/>
      <c r="CA405" s="84"/>
      <c r="CB405" s="84"/>
      <c r="CC405" s="84"/>
      <c r="CD405" s="84"/>
      <c r="CE405" s="84"/>
      <c r="CF405" s="84"/>
      <c r="CG405" s="84"/>
      <c r="CH405" s="84"/>
      <c r="CI405" s="84"/>
      <c r="CJ405" s="84"/>
      <c r="CK405" s="84"/>
      <c r="CL405" s="84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220"/>
      <c r="CY405" s="220"/>
      <c r="CZ405" s="220"/>
      <c r="DA405" s="220"/>
      <c r="DB405" s="237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  <c r="ED405" s="3"/>
      <c r="EE405" s="3"/>
      <c r="EF405" s="3"/>
      <c r="EG405" s="3"/>
      <c r="EH405" s="3"/>
    </row>
    <row r="406" spans="1:138" s="82" customFormat="1" x14ac:dyDescent="0.2">
      <c r="A406" s="3"/>
      <c r="B406" s="167"/>
      <c r="C406" s="3"/>
      <c r="D406" s="3"/>
      <c r="E406" s="31"/>
      <c r="F406" s="133"/>
      <c r="G406" s="3"/>
      <c r="H406" s="31"/>
      <c r="I406" s="31"/>
      <c r="J406" s="3"/>
      <c r="K406" s="3"/>
      <c r="L406" s="3"/>
      <c r="M406" s="3"/>
      <c r="N406" s="3"/>
      <c r="O406" s="3"/>
      <c r="P406" s="3"/>
      <c r="Q406" s="3"/>
      <c r="R406" s="32"/>
      <c r="S406" s="32"/>
      <c r="T406" s="3"/>
      <c r="U406" s="33"/>
      <c r="V406" s="33"/>
      <c r="W406" s="3"/>
      <c r="X406" s="3"/>
      <c r="Y406" s="3"/>
      <c r="Z406" s="3"/>
      <c r="AA406" s="3"/>
      <c r="AB406" s="3"/>
      <c r="AC406" s="3"/>
      <c r="AD406" s="32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4"/>
      <c r="AT406" s="3"/>
      <c r="AU406" s="3"/>
      <c r="AV406" s="3"/>
      <c r="AW406" s="3"/>
      <c r="AX406" s="4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84"/>
      <c r="BZ406" s="84"/>
      <c r="CA406" s="84"/>
      <c r="CB406" s="84"/>
      <c r="CC406" s="84"/>
      <c r="CD406" s="84"/>
      <c r="CE406" s="84"/>
      <c r="CF406" s="84"/>
      <c r="CG406" s="84"/>
      <c r="CH406" s="84"/>
      <c r="CI406" s="84"/>
      <c r="CJ406" s="84"/>
      <c r="CK406" s="84"/>
      <c r="CL406" s="84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220"/>
      <c r="CY406" s="220"/>
      <c r="CZ406" s="220"/>
      <c r="DA406" s="220"/>
      <c r="DB406" s="237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  <c r="ED406" s="3"/>
      <c r="EE406" s="3"/>
      <c r="EF406" s="3"/>
      <c r="EG406" s="3"/>
      <c r="EH406" s="3"/>
    </row>
    <row r="407" spans="1:138" s="82" customFormat="1" x14ac:dyDescent="0.2">
      <c r="A407" s="3"/>
      <c r="B407" s="167"/>
      <c r="C407" s="3"/>
      <c r="D407" s="3"/>
      <c r="E407" s="31"/>
      <c r="F407" s="133"/>
      <c r="G407" s="3"/>
      <c r="H407" s="31"/>
      <c r="I407" s="31"/>
      <c r="J407" s="3"/>
      <c r="K407" s="3"/>
      <c r="L407" s="3"/>
      <c r="M407" s="3"/>
      <c r="N407" s="3"/>
      <c r="O407" s="3"/>
      <c r="P407" s="3"/>
      <c r="Q407" s="3"/>
      <c r="R407" s="32"/>
      <c r="S407" s="32"/>
      <c r="T407" s="3"/>
      <c r="U407" s="33"/>
      <c r="V407" s="33"/>
      <c r="W407" s="3"/>
      <c r="X407" s="3"/>
      <c r="Y407" s="3"/>
      <c r="Z407" s="3"/>
      <c r="AA407" s="3"/>
      <c r="AB407" s="3"/>
      <c r="AC407" s="3"/>
      <c r="AD407" s="32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4"/>
      <c r="AT407" s="3"/>
      <c r="AU407" s="3"/>
      <c r="AV407" s="3"/>
      <c r="AW407" s="3"/>
      <c r="AX407" s="4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84"/>
      <c r="BZ407" s="84"/>
      <c r="CA407" s="84"/>
      <c r="CB407" s="84"/>
      <c r="CC407" s="84"/>
      <c r="CD407" s="84"/>
      <c r="CE407" s="84"/>
      <c r="CF407" s="84"/>
      <c r="CG407" s="84"/>
      <c r="CH407" s="84"/>
      <c r="CI407" s="84"/>
      <c r="CJ407" s="84"/>
      <c r="CK407" s="84"/>
      <c r="CL407" s="84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220"/>
      <c r="CY407" s="220"/>
      <c r="CZ407" s="220"/>
      <c r="DA407" s="220"/>
      <c r="DB407" s="237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  <c r="ED407" s="3"/>
      <c r="EE407" s="3"/>
      <c r="EF407" s="3"/>
      <c r="EG407" s="3"/>
      <c r="EH407" s="3"/>
    </row>
    <row r="408" spans="1:138" s="82" customFormat="1" x14ac:dyDescent="0.2">
      <c r="A408" s="3"/>
      <c r="B408" s="167"/>
      <c r="C408" s="3"/>
      <c r="D408" s="3"/>
      <c r="E408" s="31"/>
      <c r="F408" s="133"/>
      <c r="G408" s="3"/>
      <c r="H408" s="31"/>
      <c r="I408" s="31"/>
      <c r="J408" s="3"/>
      <c r="K408" s="3"/>
      <c r="L408" s="3"/>
      <c r="M408" s="3"/>
      <c r="N408" s="3"/>
      <c r="O408" s="3"/>
      <c r="P408" s="3"/>
      <c r="Q408" s="3"/>
      <c r="R408" s="32"/>
      <c r="S408" s="32"/>
      <c r="T408" s="3"/>
      <c r="U408" s="33"/>
      <c r="V408" s="33"/>
      <c r="W408" s="3"/>
      <c r="X408" s="3"/>
      <c r="Y408" s="3"/>
      <c r="Z408" s="3"/>
      <c r="AA408" s="3"/>
      <c r="AB408" s="3"/>
      <c r="AC408" s="3"/>
      <c r="AD408" s="32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4"/>
      <c r="AT408" s="3"/>
      <c r="AU408" s="3"/>
      <c r="AV408" s="3"/>
      <c r="AW408" s="3"/>
      <c r="AX408" s="4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84"/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220"/>
      <c r="CY408" s="220"/>
      <c r="CZ408" s="220"/>
      <c r="DA408" s="220"/>
      <c r="DB408" s="237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  <c r="ED408" s="3"/>
      <c r="EE408" s="3"/>
      <c r="EF408" s="3"/>
      <c r="EG408" s="3"/>
      <c r="EH408" s="3"/>
    </row>
    <row r="409" spans="1:138" s="82" customFormat="1" x14ac:dyDescent="0.2">
      <c r="A409" s="3"/>
      <c r="B409" s="167"/>
      <c r="C409" s="3"/>
      <c r="D409" s="3"/>
      <c r="E409" s="31"/>
      <c r="F409" s="133"/>
      <c r="G409" s="3"/>
      <c r="H409" s="31"/>
      <c r="I409" s="31"/>
      <c r="J409" s="3"/>
      <c r="K409" s="3"/>
      <c r="L409" s="3"/>
      <c r="M409" s="3"/>
      <c r="N409" s="3"/>
      <c r="O409" s="3"/>
      <c r="P409" s="3"/>
      <c r="Q409" s="3"/>
      <c r="R409" s="32"/>
      <c r="S409" s="32"/>
      <c r="T409" s="3"/>
      <c r="U409" s="33"/>
      <c r="V409" s="33"/>
      <c r="W409" s="3"/>
      <c r="X409" s="3"/>
      <c r="Y409" s="3"/>
      <c r="Z409" s="3"/>
      <c r="AA409" s="3"/>
      <c r="AB409" s="3"/>
      <c r="AC409" s="3"/>
      <c r="AD409" s="32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4"/>
      <c r="AT409" s="3"/>
      <c r="AU409" s="3"/>
      <c r="AV409" s="3"/>
      <c r="AW409" s="3"/>
      <c r="AX409" s="4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84"/>
      <c r="BZ409" s="84"/>
      <c r="CA409" s="84"/>
      <c r="CB409" s="84"/>
      <c r="CC409" s="84"/>
      <c r="CD409" s="84"/>
      <c r="CE409" s="84"/>
      <c r="CF409" s="84"/>
      <c r="CG409" s="84"/>
      <c r="CH409" s="84"/>
      <c r="CI409" s="84"/>
      <c r="CJ409" s="84"/>
      <c r="CK409" s="84"/>
      <c r="CL409" s="84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220"/>
      <c r="CY409" s="220"/>
      <c r="CZ409" s="220"/>
      <c r="DA409" s="220"/>
      <c r="DB409" s="237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  <c r="ED409" s="3"/>
      <c r="EE409" s="3"/>
      <c r="EF409" s="3"/>
      <c r="EG409" s="3"/>
      <c r="EH409" s="3"/>
    </row>
    <row r="410" spans="1:138" s="82" customFormat="1" x14ac:dyDescent="0.2">
      <c r="A410" s="3"/>
      <c r="B410" s="167"/>
      <c r="C410" s="3"/>
      <c r="D410" s="3"/>
      <c r="E410" s="31"/>
      <c r="F410" s="133"/>
      <c r="G410" s="3"/>
      <c r="H410" s="31"/>
      <c r="I410" s="31"/>
      <c r="J410" s="3"/>
      <c r="K410" s="3"/>
      <c r="L410" s="3"/>
      <c r="M410" s="3"/>
      <c r="N410" s="3"/>
      <c r="O410" s="3"/>
      <c r="P410" s="3"/>
      <c r="Q410" s="3"/>
      <c r="R410" s="32"/>
      <c r="S410" s="32"/>
      <c r="T410" s="3"/>
      <c r="U410" s="33"/>
      <c r="V410" s="33"/>
      <c r="W410" s="3"/>
      <c r="X410" s="3"/>
      <c r="Y410" s="3"/>
      <c r="Z410" s="3"/>
      <c r="AA410" s="3"/>
      <c r="AB410" s="3"/>
      <c r="AC410" s="3"/>
      <c r="AD410" s="32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4"/>
      <c r="AT410" s="3"/>
      <c r="AU410" s="3"/>
      <c r="AV410" s="3"/>
      <c r="AW410" s="3"/>
      <c r="AX410" s="4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84"/>
      <c r="BZ410" s="84"/>
      <c r="CA410" s="84"/>
      <c r="CB410" s="84"/>
      <c r="CC410" s="84"/>
      <c r="CD410" s="84"/>
      <c r="CE410" s="84"/>
      <c r="CF410" s="84"/>
      <c r="CG410" s="84"/>
      <c r="CH410" s="84"/>
      <c r="CI410" s="84"/>
      <c r="CJ410" s="84"/>
      <c r="CK410" s="84"/>
      <c r="CL410" s="84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220"/>
      <c r="CY410" s="220"/>
      <c r="CZ410" s="220"/>
      <c r="DA410" s="220"/>
      <c r="DB410" s="237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  <c r="ED410" s="3"/>
      <c r="EE410" s="3"/>
      <c r="EF410" s="3"/>
      <c r="EG410" s="3"/>
      <c r="EH410" s="3"/>
    </row>
    <row r="411" spans="1:138" s="82" customFormat="1" x14ac:dyDescent="0.2">
      <c r="A411" s="3"/>
      <c r="B411" s="167"/>
      <c r="C411" s="3"/>
      <c r="D411" s="3"/>
      <c r="E411" s="31"/>
      <c r="F411" s="133"/>
      <c r="G411" s="3"/>
      <c r="H411" s="31"/>
      <c r="I411" s="31"/>
      <c r="J411" s="3"/>
      <c r="K411" s="3"/>
      <c r="L411" s="3"/>
      <c r="M411" s="3"/>
      <c r="N411" s="3"/>
      <c r="O411" s="3"/>
      <c r="P411" s="3"/>
      <c r="Q411" s="3"/>
      <c r="R411" s="32"/>
      <c r="S411" s="32"/>
      <c r="T411" s="3"/>
      <c r="U411" s="33"/>
      <c r="V411" s="33"/>
      <c r="W411" s="3"/>
      <c r="X411" s="3"/>
      <c r="Y411" s="3"/>
      <c r="Z411" s="3"/>
      <c r="AA411" s="3"/>
      <c r="AB411" s="3"/>
      <c r="AC411" s="3"/>
      <c r="AD411" s="32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4"/>
      <c r="AT411" s="3"/>
      <c r="AU411" s="3"/>
      <c r="AV411" s="3"/>
      <c r="AW411" s="3"/>
      <c r="AX411" s="4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84"/>
      <c r="BZ411" s="84"/>
      <c r="CA411" s="84"/>
      <c r="CB411" s="84"/>
      <c r="CC411" s="84"/>
      <c r="CD411" s="84"/>
      <c r="CE411" s="84"/>
      <c r="CF411" s="84"/>
      <c r="CG411" s="84"/>
      <c r="CH411" s="84"/>
      <c r="CI411" s="84"/>
      <c r="CJ411" s="84"/>
      <c r="CK411" s="84"/>
      <c r="CL411" s="84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220"/>
      <c r="CY411" s="220"/>
      <c r="CZ411" s="220"/>
      <c r="DA411" s="220"/>
      <c r="DB411" s="237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3"/>
      <c r="EE411" s="3"/>
      <c r="EF411" s="3"/>
      <c r="EG411" s="3"/>
      <c r="EH411" s="3"/>
    </row>
    <row r="412" spans="1:138" s="82" customFormat="1" x14ac:dyDescent="0.2">
      <c r="A412" s="3"/>
      <c r="B412" s="167"/>
      <c r="C412" s="3"/>
      <c r="D412" s="3"/>
      <c r="E412" s="31"/>
      <c r="F412" s="133"/>
      <c r="G412" s="3"/>
      <c r="H412" s="31"/>
      <c r="I412" s="31"/>
      <c r="J412" s="3"/>
      <c r="K412" s="3"/>
      <c r="L412" s="3"/>
      <c r="M412" s="3"/>
      <c r="N412" s="3"/>
      <c r="O412" s="3"/>
      <c r="P412" s="3"/>
      <c r="Q412" s="3"/>
      <c r="R412" s="32"/>
      <c r="S412" s="32"/>
      <c r="T412" s="3"/>
      <c r="U412" s="33"/>
      <c r="V412" s="33"/>
      <c r="W412" s="3"/>
      <c r="X412" s="3"/>
      <c r="Y412" s="3"/>
      <c r="Z412" s="3"/>
      <c r="AA412" s="3"/>
      <c r="AB412" s="3"/>
      <c r="AC412" s="3"/>
      <c r="AD412" s="32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4"/>
      <c r="AT412" s="3"/>
      <c r="AU412" s="3"/>
      <c r="AV412" s="3"/>
      <c r="AW412" s="3"/>
      <c r="AX412" s="4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84"/>
      <c r="BZ412" s="84"/>
      <c r="CA412" s="84"/>
      <c r="CB412" s="84"/>
      <c r="CC412" s="84"/>
      <c r="CD412" s="84"/>
      <c r="CE412" s="84"/>
      <c r="CF412" s="84"/>
      <c r="CG412" s="84"/>
      <c r="CH412" s="84"/>
      <c r="CI412" s="84"/>
      <c r="CJ412" s="84"/>
      <c r="CK412" s="84"/>
      <c r="CL412" s="84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220"/>
      <c r="CY412" s="220"/>
      <c r="CZ412" s="220"/>
      <c r="DA412" s="220"/>
      <c r="DB412" s="237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  <c r="ED412" s="3"/>
      <c r="EE412" s="3"/>
      <c r="EF412" s="3"/>
      <c r="EG412" s="3"/>
      <c r="EH412" s="3"/>
    </row>
    <row r="413" spans="1:138" s="82" customFormat="1" x14ac:dyDescent="0.2">
      <c r="A413" s="3"/>
      <c r="B413" s="167"/>
      <c r="C413" s="3"/>
      <c r="D413" s="3"/>
      <c r="E413" s="31"/>
      <c r="F413" s="133"/>
      <c r="G413" s="3"/>
      <c r="H413" s="31"/>
      <c r="I413" s="31"/>
      <c r="J413" s="3"/>
      <c r="K413" s="3"/>
      <c r="L413" s="3"/>
      <c r="M413" s="3"/>
      <c r="N413" s="3"/>
      <c r="O413" s="3"/>
      <c r="P413" s="3"/>
      <c r="Q413" s="3"/>
      <c r="R413" s="32"/>
      <c r="S413" s="32"/>
      <c r="T413" s="3"/>
      <c r="U413" s="33"/>
      <c r="V413" s="33"/>
      <c r="W413" s="3"/>
      <c r="X413" s="3"/>
      <c r="Y413" s="3"/>
      <c r="Z413" s="3"/>
      <c r="AA413" s="3"/>
      <c r="AB413" s="3"/>
      <c r="AC413" s="3"/>
      <c r="AD413" s="32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4"/>
      <c r="AT413" s="3"/>
      <c r="AU413" s="3"/>
      <c r="AV413" s="3"/>
      <c r="AW413" s="3"/>
      <c r="AX413" s="4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220"/>
      <c r="CY413" s="220"/>
      <c r="CZ413" s="220"/>
      <c r="DA413" s="220"/>
      <c r="DB413" s="237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  <c r="ED413" s="3"/>
      <c r="EE413" s="3"/>
      <c r="EF413" s="3"/>
      <c r="EG413" s="3"/>
      <c r="EH413" s="3"/>
    </row>
    <row r="414" spans="1:138" s="82" customFormat="1" x14ac:dyDescent="0.2">
      <c r="A414" s="3"/>
      <c r="B414" s="167"/>
      <c r="C414" s="3"/>
      <c r="D414" s="3"/>
      <c r="E414" s="31"/>
      <c r="F414" s="133"/>
      <c r="G414" s="3"/>
      <c r="H414" s="31"/>
      <c r="I414" s="31"/>
      <c r="J414" s="3"/>
      <c r="K414" s="3"/>
      <c r="L414" s="3"/>
      <c r="M414" s="3"/>
      <c r="N414" s="3"/>
      <c r="O414" s="3"/>
      <c r="P414" s="3"/>
      <c r="Q414" s="3"/>
      <c r="R414" s="32"/>
      <c r="S414" s="32"/>
      <c r="T414" s="3"/>
      <c r="U414" s="33"/>
      <c r="V414" s="33"/>
      <c r="W414" s="3"/>
      <c r="X414" s="3"/>
      <c r="Y414" s="3"/>
      <c r="Z414" s="3"/>
      <c r="AA414" s="3"/>
      <c r="AB414" s="3"/>
      <c r="AC414" s="3"/>
      <c r="AD414" s="32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4"/>
      <c r="AT414" s="3"/>
      <c r="AU414" s="3"/>
      <c r="AV414" s="3"/>
      <c r="AW414" s="3"/>
      <c r="AX414" s="4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84"/>
      <c r="BZ414" s="84"/>
      <c r="CA414" s="84"/>
      <c r="CB414" s="84"/>
      <c r="CC414" s="84"/>
      <c r="CD414" s="84"/>
      <c r="CE414" s="84"/>
      <c r="CF414" s="84"/>
      <c r="CG414" s="84"/>
      <c r="CH414" s="84"/>
      <c r="CI414" s="84"/>
      <c r="CJ414" s="84"/>
      <c r="CK414" s="84"/>
      <c r="CL414" s="84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220"/>
      <c r="CY414" s="220"/>
      <c r="CZ414" s="220"/>
      <c r="DA414" s="220"/>
      <c r="DB414" s="237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  <c r="ED414" s="3"/>
      <c r="EE414" s="3"/>
      <c r="EF414" s="3"/>
      <c r="EG414" s="3"/>
      <c r="EH414" s="3"/>
    </row>
    <row r="415" spans="1:138" s="82" customFormat="1" x14ac:dyDescent="0.2">
      <c r="A415" s="3"/>
      <c r="B415" s="167"/>
      <c r="C415" s="3"/>
      <c r="D415" s="3"/>
      <c r="E415" s="31"/>
      <c r="F415" s="133"/>
      <c r="G415" s="3"/>
      <c r="H415" s="31"/>
      <c r="I415" s="31"/>
      <c r="J415" s="3"/>
      <c r="K415" s="3"/>
      <c r="L415" s="3"/>
      <c r="M415" s="3"/>
      <c r="N415" s="3"/>
      <c r="O415" s="3"/>
      <c r="P415" s="3"/>
      <c r="Q415" s="3"/>
      <c r="R415" s="32"/>
      <c r="S415" s="32"/>
      <c r="T415" s="3"/>
      <c r="U415" s="33"/>
      <c r="V415" s="33"/>
      <c r="W415" s="3"/>
      <c r="X415" s="3"/>
      <c r="Y415" s="3"/>
      <c r="Z415" s="3"/>
      <c r="AA415" s="3"/>
      <c r="AB415" s="3"/>
      <c r="AC415" s="3"/>
      <c r="AD415" s="32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4"/>
      <c r="AT415" s="3"/>
      <c r="AU415" s="3"/>
      <c r="AV415" s="3"/>
      <c r="AW415" s="3"/>
      <c r="AX415" s="4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84"/>
      <c r="BZ415" s="84"/>
      <c r="CA415" s="84"/>
      <c r="CB415" s="84"/>
      <c r="CC415" s="84"/>
      <c r="CD415" s="84"/>
      <c r="CE415" s="84"/>
      <c r="CF415" s="84"/>
      <c r="CG415" s="84"/>
      <c r="CH415" s="84"/>
      <c r="CI415" s="84"/>
      <c r="CJ415" s="84"/>
      <c r="CK415" s="84"/>
      <c r="CL415" s="84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220"/>
      <c r="CY415" s="220"/>
      <c r="CZ415" s="220"/>
      <c r="DA415" s="220"/>
      <c r="DB415" s="237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  <c r="ED415" s="3"/>
      <c r="EE415" s="3"/>
      <c r="EF415" s="3"/>
      <c r="EG415" s="3"/>
      <c r="EH415" s="3"/>
    </row>
    <row r="416" spans="1:138" s="82" customFormat="1" x14ac:dyDescent="0.2">
      <c r="A416" s="3"/>
      <c r="B416" s="167"/>
      <c r="C416" s="3"/>
      <c r="D416" s="3"/>
      <c r="E416" s="31"/>
      <c r="F416" s="133"/>
      <c r="G416" s="3"/>
      <c r="H416" s="31"/>
      <c r="I416" s="31"/>
      <c r="J416" s="3"/>
      <c r="K416" s="3"/>
      <c r="L416" s="3"/>
      <c r="M416" s="3"/>
      <c r="N416" s="3"/>
      <c r="O416" s="3"/>
      <c r="P416" s="3"/>
      <c r="Q416" s="3"/>
      <c r="R416" s="32"/>
      <c r="S416" s="32"/>
      <c r="T416" s="3"/>
      <c r="U416" s="33"/>
      <c r="V416" s="33"/>
      <c r="W416" s="3"/>
      <c r="X416" s="3"/>
      <c r="Y416" s="3"/>
      <c r="Z416" s="3"/>
      <c r="AA416" s="3"/>
      <c r="AB416" s="3"/>
      <c r="AC416" s="3"/>
      <c r="AD416" s="32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4"/>
      <c r="AT416" s="3"/>
      <c r="AU416" s="3"/>
      <c r="AV416" s="3"/>
      <c r="AW416" s="3"/>
      <c r="AX416" s="4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84"/>
      <c r="BZ416" s="84"/>
      <c r="CA416" s="84"/>
      <c r="CB416" s="84"/>
      <c r="CC416" s="84"/>
      <c r="CD416" s="84"/>
      <c r="CE416" s="84"/>
      <c r="CF416" s="84"/>
      <c r="CG416" s="84"/>
      <c r="CH416" s="84"/>
      <c r="CI416" s="84"/>
      <c r="CJ416" s="84"/>
      <c r="CK416" s="84"/>
      <c r="CL416" s="84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220"/>
      <c r="CY416" s="220"/>
      <c r="CZ416" s="220"/>
      <c r="DA416" s="220"/>
      <c r="DB416" s="237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  <c r="ED416" s="3"/>
      <c r="EE416" s="3"/>
      <c r="EF416" s="3"/>
      <c r="EG416" s="3"/>
      <c r="EH416" s="3"/>
    </row>
    <row r="417" spans="1:138" s="82" customFormat="1" x14ac:dyDescent="0.2">
      <c r="A417" s="3"/>
      <c r="B417" s="167"/>
      <c r="C417" s="3"/>
      <c r="D417" s="3"/>
      <c r="E417" s="31"/>
      <c r="F417" s="133"/>
      <c r="G417" s="3"/>
      <c r="H417" s="31"/>
      <c r="I417" s="31"/>
      <c r="J417" s="3"/>
      <c r="K417" s="3"/>
      <c r="L417" s="3"/>
      <c r="M417" s="3"/>
      <c r="N417" s="3"/>
      <c r="O417" s="3"/>
      <c r="P417" s="3"/>
      <c r="Q417" s="3"/>
      <c r="R417" s="32"/>
      <c r="S417" s="32"/>
      <c r="T417" s="3"/>
      <c r="U417" s="33"/>
      <c r="V417" s="33"/>
      <c r="W417" s="3"/>
      <c r="X417" s="3"/>
      <c r="Y417" s="3"/>
      <c r="Z417" s="3"/>
      <c r="AA417" s="3"/>
      <c r="AB417" s="3"/>
      <c r="AC417" s="3"/>
      <c r="AD417" s="32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4"/>
      <c r="AT417" s="3"/>
      <c r="AU417" s="3"/>
      <c r="AV417" s="3"/>
      <c r="AW417" s="3"/>
      <c r="AX417" s="4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220"/>
      <c r="CY417" s="220"/>
      <c r="CZ417" s="220"/>
      <c r="DA417" s="220"/>
      <c r="DB417" s="237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  <c r="ED417" s="3"/>
      <c r="EE417" s="3"/>
      <c r="EF417" s="3"/>
      <c r="EG417" s="3"/>
      <c r="EH417" s="3"/>
    </row>
    <row r="418" spans="1:138" s="82" customFormat="1" x14ac:dyDescent="0.2">
      <c r="A418" s="3"/>
      <c r="B418" s="167"/>
      <c r="C418" s="3"/>
      <c r="D418" s="3"/>
      <c r="E418" s="31"/>
      <c r="F418" s="133"/>
      <c r="G418" s="3"/>
      <c r="H418" s="31"/>
      <c r="I418" s="31"/>
      <c r="J418" s="3"/>
      <c r="K418" s="3"/>
      <c r="L418" s="3"/>
      <c r="M418" s="3"/>
      <c r="N418" s="3"/>
      <c r="O418" s="3"/>
      <c r="P418" s="3"/>
      <c r="Q418" s="3"/>
      <c r="R418" s="32"/>
      <c r="S418" s="32"/>
      <c r="T418" s="3"/>
      <c r="U418" s="33"/>
      <c r="V418" s="33"/>
      <c r="W418" s="3"/>
      <c r="X418" s="3"/>
      <c r="Y418" s="3"/>
      <c r="Z418" s="3"/>
      <c r="AA418" s="3"/>
      <c r="AB418" s="3"/>
      <c r="AC418" s="3"/>
      <c r="AD418" s="32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4"/>
      <c r="AT418" s="3"/>
      <c r="AU418" s="3"/>
      <c r="AV418" s="3"/>
      <c r="AW418" s="3"/>
      <c r="AX418" s="4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84"/>
      <c r="BZ418" s="84"/>
      <c r="CA418" s="84"/>
      <c r="CB418" s="84"/>
      <c r="CC418" s="84"/>
      <c r="CD418" s="84"/>
      <c r="CE418" s="84"/>
      <c r="CF418" s="84"/>
      <c r="CG418" s="84"/>
      <c r="CH418" s="84"/>
      <c r="CI418" s="84"/>
      <c r="CJ418" s="84"/>
      <c r="CK418" s="84"/>
      <c r="CL418" s="84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220"/>
      <c r="CY418" s="220"/>
      <c r="CZ418" s="220"/>
      <c r="DA418" s="220"/>
      <c r="DB418" s="237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  <c r="ED418" s="3"/>
      <c r="EE418" s="3"/>
      <c r="EF418" s="3"/>
      <c r="EG418" s="3"/>
      <c r="EH418" s="3"/>
    </row>
    <row r="419" spans="1:138" s="82" customFormat="1" x14ac:dyDescent="0.2">
      <c r="A419" s="3"/>
      <c r="B419" s="167"/>
      <c r="C419" s="3"/>
      <c r="D419" s="3"/>
      <c r="E419" s="31"/>
      <c r="F419" s="133"/>
      <c r="G419" s="3"/>
      <c r="H419" s="31"/>
      <c r="I419" s="31"/>
      <c r="J419" s="3"/>
      <c r="K419" s="3"/>
      <c r="L419" s="3"/>
      <c r="M419" s="3"/>
      <c r="N419" s="3"/>
      <c r="O419" s="3"/>
      <c r="P419" s="3"/>
      <c r="Q419" s="3"/>
      <c r="R419" s="32"/>
      <c r="S419" s="32"/>
      <c r="T419" s="3"/>
      <c r="U419" s="33"/>
      <c r="V419" s="33"/>
      <c r="W419" s="3"/>
      <c r="X419" s="3"/>
      <c r="Y419" s="3"/>
      <c r="Z419" s="3"/>
      <c r="AA419" s="3"/>
      <c r="AB419" s="3"/>
      <c r="AC419" s="3"/>
      <c r="AD419" s="32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4"/>
      <c r="AT419" s="3"/>
      <c r="AU419" s="3"/>
      <c r="AV419" s="3"/>
      <c r="AW419" s="3"/>
      <c r="AX419" s="4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220"/>
      <c r="CY419" s="220"/>
      <c r="CZ419" s="220"/>
      <c r="DA419" s="220"/>
      <c r="DB419" s="237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  <c r="ED419" s="3"/>
      <c r="EE419" s="3"/>
      <c r="EF419" s="3"/>
      <c r="EG419" s="3"/>
      <c r="EH419" s="3"/>
    </row>
    <row r="420" spans="1:138" s="82" customFormat="1" x14ac:dyDescent="0.2">
      <c r="A420" s="3"/>
      <c r="B420" s="167"/>
      <c r="C420" s="3"/>
      <c r="D420" s="3"/>
      <c r="E420" s="31"/>
      <c r="F420" s="133"/>
      <c r="G420" s="3"/>
      <c r="H420" s="31"/>
      <c r="I420" s="31"/>
      <c r="J420" s="3"/>
      <c r="K420" s="3"/>
      <c r="L420" s="3"/>
      <c r="M420" s="3"/>
      <c r="N420" s="3"/>
      <c r="O420" s="3"/>
      <c r="P420" s="3"/>
      <c r="Q420" s="3"/>
      <c r="R420" s="32"/>
      <c r="S420" s="32"/>
      <c r="T420" s="3"/>
      <c r="U420" s="33"/>
      <c r="V420" s="33"/>
      <c r="W420" s="3"/>
      <c r="X420" s="3"/>
      <c r="Y420" s="3"/>
      <c r="Z420" s="3"/>
      <c r="AA420" s="3"/>
      <c r="AB420" s="3"/>
      <c r="AC420" s="3"/>
      <c r="AD420" s="32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4"/>
      <c r="AT420" s="3"/>
      <c r="AU420" s="3"/>
      <c r="AV420" s="3"/>
      <c r="AW420" s="3"/>
      <c r="AX420" s="4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220"/>
      <c r="CY420" s="220"/>
      <c r="CZ420" s="220"/>
      <c r="DA420" s="220"/>
      <c r="DB420" s="237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  <c r="ED420" s="3"/>
      <c r="EE420" s="3"/>
      <c r="EF420" s="3"/>
      <c r="EG420" s="3"/>
      <c r="EH420" s="3"/>
    </row>
    <row r="421" spans="1:138" s="82" customFormat="1" x14ac:dyDescent="0.2">
      <c r="A421" s="3"/>
      <c r="B421" s="167"/>
      <c r="C421" s="3"/>
      <c r="D421" s="3"/>
      <c r="E421" s="31"/>
      <c r="F421" s="133"/>
      <c r="G421" s="3"/>
      <c r="H421" s="31"/>
      <c r="I421" s="31"/>
      <c r="J421" s="3"/>
      <c r="K421" s="3"/>
      <c r="L421" s="3"/>
      <c r="M421" s="3"/>
      <c r="N421" s="3"/>
      <c r="O421" s="3"/>
      <c r="P421" s="3"/>
      <c r="Q421" s="3"/>
      <c r="R421" s="32"/>
      <c r="S421" s="32"/>
      <c r="T421" s="3"/>
      <c r="U421" s="33"/>
      <c r="V421" s="33"/>
      <c r="W421" s="3"/>
      <c r="X421" s="3"/>
      <c r="Y421" s="3"/>
      <c r="Z421" s="3"/>
      <c r="AA421" s="3"/>
      <c r="AB421" s="3"/>
      <c r="AC421" s="3"/>
      <c r="AD421" s="32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4"/>
      <c r="AT421" s="3"/>
      <c r="AU421" s="3"/>
      <c r="AV421" s="3"/>
      <c r="AW421" s="3"/>
      <c r="AX421" s="4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220"/>
      <c r="CY421" s="220"/>
      <c r="CZ421" s="220"/>
      <c r="DA421" s="220"/>
      <c r="DB421" s="237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  <c r="ED421" s="3"/>
      <c r="EE421" s="3"/>
      <c r="EF421" s="3"/>
      <c r="EG421" s="3"/>
      <c r="EH421" s="3"/>
    </row>
    <row r="422" spans="1:138" s="82" customFormat="1" x14ac:dyDescent="0.2">
      <c r="A422" s="3"/>
      <c r="B422" s="167"/>
      <c r="C422" s="3"/>
      <c r="D422" s="3"/>
      <c r="E422" s="31"/>
      <c r="F422" s="133"/>
      <c r="G422" s="3"/>
      <c r="H422" s="31"/>
      <c r="I422" s="31"/>
      <c r="J422" s="3"/>
      <c r="K422" s="3"/>
      <c r="L422" s="3"/>
      <c r="M422" s="3"/>
      <c r="N422" s="3"/>
      <c r="O422" s="3"/>
      <c r="P422" s="3"/>
      <c r="Q422" s="3"/>
      <c r="R422" s="32"/>
      <c r="S422" s="32"/>
      <c r="T422" s="3"/>
      <c r="U422" s="33"/>
      <c r="V422" s="33"/>
      <c r="W422" s="3"/>
      <c r="X422" s="3"/>
      <c r="Y422" s="3"/>
      <c r="Z422" s="3"/>
      <c r="AA422" s="3"/>
      <c r="AB422" s="3"/>
      <c r="AC422" s="3"/>
      <c r="AD422" s="32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4"/>
      <c r="AT422" s="3"/>
      <c r="AU422" s="3"/>
      <c r="AV422" s="3"/>
      <c r="AW422" s="3"/>
      <c r="AX422" s="4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220"/>
      <c r="CY422" s="220"/>
      <c r="CZ422" s="220"/>
      <c r="DA422" s="220"/>
      <c r="DB422" s="237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  <c r="ED422" s="3"/>
      <c r="EE422" s="3"/>
      <c r="EF422" s="3"/>
      <c r="EG422" s="3"/>
      <c r="EH422" s="3"/>
    </row>
    <row r="423" spans="1:138" s="82" customFormat="1" x14ac:dyDescent="0.2">
      <c r="A423" s="3"/>
      <c r="B423" s="167"/>
      <c r="C423" s="3"/>
      <c r="D423" s="3"/>
      <c r="E423" s="31"/>
      <c r="F423" s="133"/>
      <c r="G423" s="3"/>
      <c r="H423" s="31"/>
      <c r="I423" s="31"/>
      <c r="J423" s="3"/>
      <c r="K423" s="3"/>
      <c r="L423" s="3"/>
      <c r="M423" s="3"/>
      <c r="N423" s="3"/>
      <c r="O423" s="3"/>
      <c r="P423" s="3"/>
      <c r="Q423" s="3"/>
      <c r="R423" s="32"/>
      <c r="S423" s="32"/>
      <c r="T423" s="3"/>
      <c r="U423" s="33"/>
      <c r="V423" s="33"/>
      <c r="W423" s="3"/>
      <c r="X423" s="3"/>
      <c r="Y423" s="3"/>
      <c r="Z423" s="3"/>
      <c r="AA423" s="3"/>
      <c r="AB423" s="3"/>
      <c r="AC423" s="3"/>
      <c r="AD423" s="32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4"/>
      <c r="AT423" s="3"/>
      <c r="AU423" s="3"/>
      <c r="AV423" s="3"/>
      <c r="AW423" s="3"/>
      <c r="AX423" s="4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220"/>
      <c r="CY423" s="220"/>
      <c r="CZ423" s="220"/>
      <c r="DA423" s="220"/>
      <c r="DB423" s="237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  <c r="ED423" s="3"/>
      <c r="EE423" s="3"/>
      <c r="EF423" s="3"/>
      <c r="EG423" s="3"/>
      <c r="EH423" s="3"/>
    </row>
    <row r="424" spans="1:138" s="82" customFormat="1" x14ac:dyDescent="0.2">
      <c r="A424" s="3"/>
      <c r="B424" s="167"/>
      <c r="C424" s="3"/>
      <c r="D424" s="3"/>
      <c r="E424" s="31"/>
      <c r="F424" s="133"/>
      <c r="G424" s="3"/>
      <c r="H424" s="31"/>
      <c r="I424" s="31"/>
      <c r="J424" s="3"/>
      <c r="K424" s="3"/>
      <c r="L424" s="3"/>
      <c r="M424" s="3"/>
      <c r="N424" s="3"/>
      <c r="O424" s="3"/>
      <c r="P424" s="3"/>
      <c r="Q424" s="3"/>
      <c r="R424" s="32"/>
      <c r="S424" s="32"/>
      <c r="T424" s="3"/>
      <c r="U424" s="33"/>
      <c r="V424" s="33"/>
      <c r="W424" s="3"/>
      <c r="X424" s="3"/>
      <c r="Y424" s="3"/>
      <c r="Z424" s="3"/>
      <c r="AA424" s="3"/>
      <c r="AB424" s="3"/>
      <c r="AC424" s="3"/>
      <c r="AD424" s="32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4"/>
      <c r="AT424" s="3"/>
      <c r="AU424" s="3"/>
      <c r="AV424" s="3"/>
      <c r="AW424" s="3"/>
      <c r="AX424" s="4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220"/>
      <c r="CY424" s="220"/>
      <c r="CZ424" s="220"/>
      <c r="DA424" s="220"/>
      <c r="DB424" s="237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  <c r="ED424" s="3"/>
      <c r="EE424" s="3"/>
      <c r="EF424" s="3"/>
      <c r="EG424" s="3"/>
      <c r="EH424" s="3"/>
    </row>
    <row r="425" spans="1:138" s="82" customFormat="1" x14ac:dyDescent="0.2">
      <c r="A425" s="3"/>
      <c r="B425" s="167"/>
      <c r="C425" s="3"/>
      <c r="D425" s="3"/>
      <c r="E425" s="31"/>
      <c r="F425" s="133"/>
      <c r="G425" s="3"/>
      <c r="H425" s="31"/>
      <c r="I425" s="31"/>
      <c r="J425" s="3"/>
      <c r="K425" s="3"/>
      <c r="L425" s="3"/>
      <c r="M425" s="3"/>
      <c r="N425" s="3"/>
      <c r="O425" s="3"/>
      <c r="P425" s="3"/>
      <c r="Q425" s="3"/>
      <c r="R425" s="32"/>
      <c r="S425" s="32"/>
      <c r="T425" s="3"/>
      <c r="U425" s="33"/>
      <c r="V425" s="33"/>
      <c r="W425" s="3"/>
      <c r="X425" s="3"/>
      <c r="Y425" s="3"/>
      <c r="Z425" s="3"/>
      <c r="AA425" s="3"/>
      <c r="AB425" s="3"/>
      <c r="AC425" s="3"/>
      <c r="AD425" s="32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4"/>
      <c r="AT425" s="3"/>
      <c r="AU425" s="3"/>
      <c r="AV425" s="3"/>
      <c r="AW425" s="3"/>
      <c r="AX425" s="4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220"/>
      <c r="CY425" s="220"/>
      <c r="CZ425" s="220"/>
      <c r="DA425" s="220"/>
      <c r="DB425" s="237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  <c r="ED425" s="3"/>
      <c r="EE425" s="3"/>
      <c r="EF425" s="3"/>
      <c r="EG425" s="3"/>
      <c r="EH425" s="3"/>
    </row>
    <row r="426" spans="1:138" s="82" customFormat="1" x14ac:dyDescent="0.2">
      <c r="A426" s="3"/>
      <c r="B426" s="167"/>
      <c r="C426" s="3"/>
      <c r="D426" s="3"/>
      <c r="E426" s="31"/>
      <c r="F426" s="133"/>
      <c r="G426" s="3"/>
      <c r="H426" s="31"/>
      <c r="I426" s="31"/>
      <c r="J426" s="3"/>
      <c r="K426" s="3"/>
      <c r="L426" s="3"/>
      <c r="M426" s="3"/>
      <c r="N426" s="3"/>
      <c r="O426" s="3"/>
      <c r="P426" s="3"/>
      <c r="Q426" s="3"/>
      <c r="R426" s="32"/>
      <c r="S426" s="32"/>
      <c r="T426" s="3"/>
      <c r="U426" s="33"/>
      <c r="V426" s="33"/>
      <c r="W426" s="3"/>
      <c r="X426" s="3"/>
      <c r="Y426" s="3"/>
      <c r="Z426" s="3"/>
      <c r="AA426" s="3"/>
      <c r="AB426" s="3"/>
      <c r="AC426" s="3"/>
      <c r="AD426" s="32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4"/>
      <c r="AT426" s="3"/>
      <c r="AU426" s="3"/>
      <c r="AV426" s="3"/>
      <c r="AW426" s="3"/>
      <c r="AX426" s="4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220"/>
      <c r="CY426" s="220"/>
      <c r="CZ426" s="220"/>
      <c r="DA426" s="220"/>
      <c r="DB426" s="237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  <c r="ED426" s="3"/>
      <c r="EE426" s="3"/>
      <c r="EF426" s="3"/>
      <c r="EG426" s="3"/>
      <c r="EH426" s="3"/>
    </row>
    <row r="427" spans="1:138" s="82" customFormat="1" x14ac:dyDescent="0.2">
      <c r="A427" s="3"/>
      <c r="B427" s="167"/>
      <c r="C427" s="3"/>
      <c r="D427" s="3"/>
      <c r="E427" s="31"/>
      <c r="F427" s="133"/>
      <c r="G427" s="3"/>
      <c r="H427" s="31"/>
      <c r="I427" s="31"/>
      <c r="J427" s="3"/>
      <c r="K427" s="3"/>
      <c r="L427" s="3"/>
      <c r="M427" s="3"/>
      <c r="N427" s="3"/>
      <c r="O427" s="3"/>
      <c r="P427" s="3"/>
      <c r="Q427" s="3"/>
      <c r="R427" s="32"/>
      <c r="S427" s="32"/>
      <c r="T427" s="3"/>
      <c r="U427" s="33"/>
      <c r="V427" s="33"/>
      <c r="W427" s="3"/>
      <c r="X427" s="3"/>
      <c r="Y427" s="3"/>
      <c r="Z427" s="3"/>
      <c r="AA427" s="3"/>
      <c r="AB427" s="3"/>
      <c r="AC427" s="3"/>
      <c r="AD427" s="32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4"/>
      <c r="AT427" s="3"/>
      <c r="AU427" s="3"/>
      <c r="AV427" s="3"/>
      <c r="AW427" s="3"/>
      <c r="AX427" s="4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84"/>
      <c r="BZ427" s="84"/>
      <c r="CA427" s="84"/>
      <c r="CB427" s="84"/>
      <c r="CC427" s="84"/>
      <c r="CD427" s="84"/>
      <c r="CE427" s="84"/>
      <c r="CF427" s="84"/>
      <c r="CG427" s="84"/>
      <c r="CH427" s="84"/>
      <c r="CI427" s="84"/>
      <c r="CJ427" s="84"/>
      <c r="CK427" s="84"/>
      <c r="CL427" s="84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220"/>
      <c r="CY427" s="220"/>
      <c r="CZ427" s="220"/>
      <c r="DA427" s="220"/>
      <c r="DB427" s="237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  <c r="ED427" s="3"/>
      <c r="EE427" s="3"/>
      <c r="EF427" s="3"/>
      <c r="EG427" s="3"/>
      <c r="EH427" s="3"/>
    </row>
    <row r="428" spans="1:138" s="82" customFormat="1" x14ac:dyDescent="0.2">
      <c r="A428" s="3"/>
      <c r="B428" s="167"/>
      <c r="C428" s="3"/>
      <c r="D428" s="3"/>
      <c r="E428" s="31"/>
      <c r="F428" s="133"/>
      <c r="G428" s="3"/>
      <c r="H428" s="31"/>
      <c r="I428" s="31"/>
      <c r="J428" s="3"/>
      <c r="K428" s="3"/>
      <c r="L428" s="3"/>
      <c r="M428" s="3"/>
      <c r="N428" s="3"/>
      <c r="O428" s="3"/>
      <c r="P428" s="3"/>
      <c r="Q428" s="3"/>
      <c r="R428" s="32"/>
      <c r="S428" s="32"/>
      <c r="T428" s="3"/>
      <c r="U428" s="33"/>
      <c r="V428" s="33"/>
      <c r="W428" s="3"/>
      <c r="X428" s="3"/>
      <c r="Y428" s="3"/>
      <c r="Z428" s="3"/>
      <c r="AA428" s="3"/>
      <c r="AB428" s="3"/>
      <c r="AC428" s="3"/>
      <c r="AD428" s="32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4"/>
      <c r="AT428" s="3"/>
      <c r="AU428" s="3"/>
      <c r="AV428" s="3"/>
      <c r="AW428" s="3"/>
      <c r="AX428" s="4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84"/>
      <c r="BZ428" s="84"/>
      <c r="CA428" s="84"/>
      <c r="CB428" s="84"/>
      <c r="CC428" s="84"/>
      <c r="CD428" s="84"/>
      <c r="CE428" s="84"/>
      <c r="CF428" s="84"/>
      <c r="CG428" s="84"/>
      <c r="CH428" s="84"/>
      <c r="CI428" s="84"/>
      <c r="CJ428" s="84"/>
      <c r="CK428" s="84"/>
      <c r="CL428" s="84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220"/>
      <c r="CY428" s="220"/>
      <c r="CZ428" s="220"/>
      <c r="DA428" s="220"/>
      <c r="DB428" s="237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  <c r="ED428" s="3"/>
      <c r="EE428" s="3"/>
      <c r="EF428" s="3"/>
      <c r="EG428" s="3"/>
      <c r="EH428" s="3"/>
    </row>
    <row r="429" spans="1:138" s="82" customFormat="1" x14ac:dyDescent="0.2">
      <c r="A429" s="3"/>
      <c r="B429" s="167"/>
      <c r="C429" s="3"/>
      <c r="D429" s="3"/>
      <c r="E429" s="31"/>
      <c r="F429" s="133"/>
      <c r="G429" s="3"/>
      <c r="H429" s="31"/>
      <c r="I429" s="31"/>
      <c r="J429" s="3"/>
      <c r="K429" s="3"/>
      <c r="L429" s="3"/>
      <c r="M429" s="3"/>
      <c r="N429" s="3"/>
      <c r="O429" s="3"/>
      <c r="P429" s="3"/>
      <c r="Q429" s="3"/>
      <c r="R429" s="32"/>
      <c r="S429" s="32"/>
      <c r="T429" s="3"/>
      <c r="U429" s="33"/>
      <c r="V429" s="33"/>
      <c r="W429" s="3"/>
      <c r="X429" s="3"/>
      <c r="Y429" s="3"/>
      <c r="Z429" s="3"/>
      <c r="AA429" s="3"/>
      <c r="AB429" s="3"/>
      <c r="AC429" s="3"/>
      <c r="AD429" s="32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4"/>
      <c r="AT429" s="3"/>
      <c r="AU429" s="3"/>
      <c r="AV429" s="3"/>
      <c r="AW429" s="3"/>
      <c r="AX429" s="4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84"/>
      <c r="BZ429" s="84"/>
      <c r="CA429" s="84"/>
      <c r="CB429" s="84"/>
      <c r="CC429" s="84"/>
      <c r="CD429" s="84"/>
      <c r="CE429" s="84"/>
      <c r="CF429" s="84"/>
      <c r="CG429" s="84"/>
      <c r="CH429" s="84"/>
      <c r="CI429" s="84"/>
      <c r="CJ429" s="84"/>
      <c r="CK429" s="84"/>
      <c r="CL429" s="84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220"/>
      <c r="CY429" s="220"/>
      <c r="CZ429" s="220"/>
      <c r="DA429" s="220"/>
      <c r="DB429" s="237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  <c r="ED429" s="3"/>
      <c r="EE429" s="3"/>
      <c r="EF429" s="3"/>
      <c r="EG429" s="3"/>
      <c r="EH429" s="3"/>
    </row>
    <row r="430" spans="1:138" s="82" customFormat="1" x14ac:dyDescent="0.2">
      <c r="A430" s="3"/>
      <c r="B430" s="167"/>
      <c r="C430" s="3"/>
      <c r="D430" s="3"/>
      <c r="E430" s="31"/>
      <c r="F430" s="133"/>
      <c r="G430" s="3"/>
      <c r="H430" s="31"/>
      <c r="I430" s="31"/>
      <c r="J430" s="3"/>
      <c r="K430" s="3"/>
      <c r="L430" s="3"/>
      <c r="M430" s="3"/>
      <c r="N430" s="3"/>
      <c r="O430" s="3"/>
      <c r="P430" s="3"/>
      <c r="Q430" s="3"/>
      <c r="R430" s="32"/>
      <c r="S430" s="32"/>
      <c r="T430" s="3"/>
      <c r="U430" s="33"/>
      <c r="V430" s="33"/>
      <c r="W430" s="3"/>
      <c r="X430" s="3"/>
      <c r="Y430" s="3"/>
      <c r="Z430" s="3"/>
      <c r="AA430" s="3"/>
      <c r="AB430" s="3"/>
      <c r="AC430" s="3"/>
      <c r="AD430" s="32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4"/>
      <c r="AT430" s="3"/>
      <c r="AU430" s="3"/>
      <c r="AV430" s="3"/>
      <c r="AW430" s="3"/>
      <c r="AX430" s="4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84"/>
      <c r="BZ430" s="84"/>
      <c r="CA430" s="84"/>
      <c r="CB430" s="84"/>
      <c r="CC430" s="84"/>
      <c r="CD430" s="84"/>
      <c r="CE430" s="84"/>
      <c r="CF430" s="84"/>
      <c r="CG430" s="84"/>
      <c r="CH430" s="84"/>
      <c r="CI430" s="84"/>
      <c r="CJ430" s="84"/>
      <c r="CK430" s="84"/>
      <c r="CL430" s="84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220"/>
      <c r="CY430" s="220"/>
      <c r="CZ430" s="220"/>
      <c r="DA430" s="220"/>
      <c r="DB430" s="237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3"/>
      <c r="EE430" s="3"/>
      <c r="EF430" s="3"/>
      <c r="EG430" s="3"/>
      <c r="EH430" s="3"/>
    </row>
    <row r="431" spans="1:138" s="82" customFormat="1" x14ac:dyDescent="0.2">
      <c r="A431" s="3"/>
      <c r="B431" s="167"/>
      <c r="C431" s="3"/>
      <c r="D431" s="3"/>
      <c r="E431" s="31"/>
      <c r="F431" s="133"/>
      <c r="G431" s="3"/>
      <c r="H431" s="31"/>
      <c r="I431" s="31"/>
      <c r="J431" s="3"/>
      <c r="K431" s="3"/>
      <c r="L431" s="3"/>
      <c r="M431" s="3"/>
      <c r="N431" s="3"/>
      <c r="O431" s="3"/>
      <c r="P431" s="3"/>
      <c r="Q431" s="3"/>
      <c r="R431" s="32"/>
      <c r="S431" s="32"/>
      <c r="T431" s="3"/>
      <c r="U431" s="33"/>
      <c r="V431" s="33"/>
      <c r="W431" s="3"/>
      <c r="X431" s="3"/>
      <c r="Y431" s="3"/>
      <c r="Z431" s="3"/>
      <c r="AA431" s="3"/>
      <c r="AB431" s="3"/>
      <c r="AC431" s="3"/>
      <c r="AD431" s="32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4"/>
      <c r="AT431" s="3"/>
      <c r="AU431" s="3"/>
      <c r="AV431" s="3"/>
      <c r="AW431" s="3"/>
      <c r="AX431" s="4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84"/>
      <c r="BZ431" s="84"/>
      <c r="CA431" s="84"/>
      <c r="CB431" s="84"/>
      <c r="CC431" s="84"/>
      <c r="CD431" s="84"/>
      <c r="CE431" s="84"/>
      <c r="CF431" s="84"/>
      <c r="CG431" s="84"/>
      <c r="CH431" s="84"/>
      <c r="CI431" s="84"/>
      <c r="CJ431" s="84"/>
      <c r="CK431" s="84"/>
      <c r="CL431" s="84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220"/>
      <c r="CY431" s="220"/>
      <c r="CZ431" s="220"/>
      <c r="DA431" s="220"/>
      <c r="DB431" s="237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  <c r="ED431" s="3"/>
      <c r="EE431" s="3"/>
      <c r="EF431" s="3"/>
      <c r="EG431" s="3"/>
      <c r="EH431" s="3"/>
    </row>
    <row r="432" spans="1:138" s="82" customFormat="1" x14ac:dyDescent="0.2">
      <c r="A432" s="3"/>
      <c r="B432" s="167"/>
      <c r="C432" s="3"/>
      <c r="D432" s="3"/>
      <c r="E432" s="31"/>
      <c r="F432" s="133"/>
      <c r="G432" s="3"/>
      <c r="H432" s="31"/>
      <c r="I432" s="31"/>
      <c r="J432" s="3"/>
      <c r="K432" s="3"/>
      <c r="L432" s="3"/>
      <c r="M432" s="3"/>
      <c r="N432" s="3"/>
      <c r="O432" s="3"/>
      <c r="P432" s="3"/>
      <c r="Q432" s="3"/>
      <c r="R432" s="32"/>
      <c r="S432" s="32"/>
      <c r="T432" s="3"/>
      <c r="U432" s="33"/>
      <c r="V432" s="33"/>
      <c r="W432" s="3"/>
      <c r="X432" s="3"/>
      <c r="Y432" s="3"/>
      <c r="Z432" s="3"/>
      <c r="AA432" s="3"/>
      <c r="AB432" s="3"/>
      <c r="AC432" s="3"/>
      <c r="AD432" s="32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4"/>
      <c r="AT432" s="3"/>
      <c r="AU432" s="3"/>
      <c r="AV432" s="3"/>
      <c r="AW432" s="3"/>
      <c r="AX432" s="4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84"/>
      <c r="BZ432" s="84"/>
      <c r="CA432" s="84"/>
      <c r="CB432" s="84"/>
      <c r="CC432" s="84"/>
      <c r="CD432" s="84"/>
      <c r="CE432" s="84"/>
      <c r="CF432" s="84"/>
      <c r="CG432" s="84"/>
      <c r="CH432" s="84"/>
      <c r="CI432" s="84"/>
      <c r="CJ432" s="84"/>
      <c r="CK432" s="84"/>
      <c r="CL432" s="84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220"/>
      <c r="CY432" s="220"/>
      <c r="CZ432" s="220"/>
      <c r="DA432" s="220"/>
      <c r="DB432" s="237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  <c r="ED432" s="3"/>
      <c r="EE432" s="3"/>
      <c r="EF432" s="3"/>
      <c r="EG432" s="3"/>
      <c r="EH432" s="3"/>
    </row>
    <row r="433" spans="1:138" s="82" customFormat="1" x14ac:dyDescent="0.2">
      <c r="A433" s="3"/>
      <c r="B433" s="167"/>
      <c r="C433" s="3"/>
      <c r="D433" s="3"/>
      <c r="E433" s="31"/>
      <c r="F433" s="133"/>
      <c r="G433" s="3"/>
      <c r="H433" s="31"/>
      <c r="I433" s="31"/>
      <c r="J433" s="3"/>
      <c r="K433" s="3"/>
      <c r="L433" s="3"/>
      <c r="M433" s="3"/>
      <c r="N433" s="3"/>
      <c r="O433" s="3"/>
      <c r="P433" s="3"/>
      <c r="Q433" s="3"/>
      <c r="R433" s="32"/>
      <c r="S433" s="32"/>
      <c r="T433" s="3"/>
      <c r="U433" s="33"/>
      <c r="V433" s="33"/>
      <c r="W433" s="3"/>
      <c r="X433" s="3"/>
      <c r="Y433" s="3"/>
      <c r="Z433" s="3"/>
      <c r="AA433" s="3"/>
      <c r="AB433" s="3"/>
      <c r="AC433" s="3"/>
      <c r="AD433" s="32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4"/>
      <c r="AT433" s="3"/>
      <c r="AU433" s="3"/>
      <c r="AV433" s="3"/>
      <c r="AW433" s="3"/>
      <c r="AX433" s="4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220"/>
      <c r="CY433" s="220"/>
      <c r="CZ433" s="220"/>
      <c r="DA433" s="220"/>
      <c r="DB433" s="237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  <c r="ED433" s="3"/>
      <c r="EE433" s="3"/>
      <c r="EF433" s="3"/>
      <c r="EG433" s="3"/>
      <c r="EH433" s="3"/>
    </row>
    <row r="434" spans="1:138" s="82" customFormat="1" x14ac:dyDescent="0.2">
      <c r="A434" s="3"/>
      <c r="B434" s="167"/>
      <c r="C434" s="3"/>
      <c r="D434" s="3"/>
      <c r="E434" s="31"/>
      <c r="F434" s="133"/>
      <c r="G434" s="3"/>
      <c r="H434" s="31"/>
      <c r="I434" s="31"/>
      <c r="J434" s="3"/>
      <c r="K434" s="3"/>
      <c r="L434" s="3"/>
      <c r="M434" s="3"/>
      <c r="N434" s="3"/>
      <c r="O434" s="3"/>
      <c r="P434" s="3"/>
      <c r="Q434" s="3"/>
      <c r="R434" s="32"/>
      <c r="S434" s="32"/>
      <c r="T434" s="3"/>
      <c r="U434" s="33"/>
      <c r="V434" s="33"/>
      <c r="W434" s="3"/>
      <c r="X434" s="3"/>
      <c r="Y434" s="3"/>
      <c r="Z434" s="3"/>
      <c r="AA434" s="3"/>
      <c r="AB434" s="3"/>
      <c r="AC434" s="3"/>
      <c r="AD434" s="32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4"/>
      <c r="AT434" s="3"/>
      <c r="AU434" s="3"/>
      <c r="AV434" s="3"/>
      <c r="AW434" s="3"/>
      <c r="AX434" s="4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84"/>
      <c r="BZ434" s="84"/>
      <c r="CA434" s="84"/>
      <c r="CB434" s="84"/>
      <c r="CC434" s="84"/>
      <c r="CD434" s="84"/>
      <c r="CE434" s="84"/>
      <c r="CF434" s="84"/>
      <c r="CG434" s="84"/>
      <c r="CH434" s="84"/>
      <c r="CI434" s="84"/>
      <c r="CJ434" s="84"/>
      <c r="CK434" s="84"/>
      <c r="CL434" s="84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220"/>
      <c r="CY434" s="220"/>
      <c r="CZ434" s="220"/>
      <c r="DA434" s="220"/>
      <c r="DB434" s="237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  <c r="ED434" s="3"/>
      <c r="EE434" s="3"/>
      <c r="EF434" s="3"/>
      <c r="EG434" s="3"/>
      <c r="EH434" s="3"/>
    </row>
    <row r="435" spans="1:138" s="82" customFormat="1" x14ac:dyDescent="0.2">
      <c r="A435" s="3"/>
      <c r="B435" s="167"/>
      <c r="C435" s="3"/>
      <c r="D435" s="3"/>
      <c r="E435" s="31"/>
      <c r="F435" s="133"/>
      <c r="G435" s="3"/>
      <c r="H435" s="31"/>
      <c r="I435" s="31"/>
      <c r="J435" s="3"/>
      <c r="K435" s="3"/>
      <c r="L435" s="3"/>
      <c r="M435" s="3"/>
      <c r="N435" s="3"/>
      <c r="O435" s="3"/>
      <c r="P435" s="3"/>
      <c r="Q435" s="3"/>
      <c r="R435" s="32"/>
      <c r="S435" s="32"/>
      <c r="T435" s="3"/>
      <c r="U435" s="33"/>
      <c r="V435" s="33"/>
      <c r="W435" s="3"/>
      <c r="X435" s="3"/>
      <c r="Y435" s="3"/>
      <c r="Z435" s="3"/>
      <c r="AA435" s="3"/>
      <c r="AB435" s="3"/>
      <c r="AC435" s="3"/>
      <c r="AD435" s="32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4"/>
      <c r="AT435" s="3"/>
      <c r="AU435" s="3"/>
      <c r="AV435" s="3"/>
      <c r="AW435" s="3"/>
      <c r="AX435" s="4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84"/>
      <c r="BZ435" s="84"/>
      <c r="CA435" s="84"/>
      <c r="CB435" s="84"/>
      <c r="CC435" s="84"/>
      <c r="CD435" s="84"/>
      <c r="CE435" s="84"/>
      <c r="CF435" s="84"/>
      <c r="CG435" s="84"/>
      <c r="CH435" s="84"/>
      <c r="CI435" s="84"/>
      <c r="CJ435" s="84"/>
      <c r="CK435" s="84"/>
      <c r="CL435" s="84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220"/>
      <c r="CY435" s="220"/>
      <c r="CZ435" s="220"/>
      <c r="DA435" s="220"/>
      <c r="DB435" s="237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  <c r="ED435" s="3"/>
      <c r="EE435" s="3"/>
      <c r="EF435" s="3"/>
      <c r="EG435" s="3"/>
      <c r="EH435" s="3"/>
    </row>
    <row r="436" spans="1:138" s="82" customFormat="1" x14ac:dyDescent="0.2">
      <c r="A436" s="3"/>
      <c r="B436" s="167"/>
      <c r="C436" s="3"/>
      <c r="D436" s="3"/>
      <c r="E436" s="31"/>
      <c r="F436" s="133"/>
      <c r="G436" s="3"/>
      <c r="H436" s="31"/>
      <c r="I436" s="31"/>
      <c r="J436" s="3"/>
      <c r="K436" s="3"/>
      <c r="L436" s="3"/>
      <c r="M436" s="3"/>
      <c r="N436" s="3"/>
      <c r="O436" s="3"/>
      <c r="P436" s="3"/>
      <c r="Q436" s="3"/>
      <c r="R436" s="32"/>
      <c r="S436" s="32"/>
      <c r="T436" s="3"/>
      <c r="U436" s="33"/>
      <c r="V436" s="33"/>
      <c r="W436" s="3"/>
      <c r="X436" s="3"/>
      <c r="Y436" s="3"/>
      <c r="Z436" s="3"/>
      <c r="AA436" s="3"/>
      <c r="AB436" s="3"/>
      <c r="AC436" s="3"/>
      <c r="AD436" s="32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4"/>
      <c r="AT436" s="3"/>
      <c r="AU436" s="3"/>
      <c r="AV436" s="3"/>
      <c r="AW436" s="3"/>
      <c r="AX436" s="4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220"/>
      <c r="CY436" s="220"/>
      <c r="CZ436" s="220"/>
      <c r="DA436" s="220"/>
      <c r="DB436" s="237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  <c r="ED436" s="3"/>
      <c r="EE436" s="3"/>
      <c r="EF436" s="3"/>
      <c r="EG436" s="3"/>
      <c r="EH436" s="3"/>
    </row>
    <row r="437" spans="1:138" s="82" customFormat="1" x14ac:dyDescent="0.2">
      <c r="A437" s="3"/>
      <c r="B437" s="167"/>
      <c r="C437" s="3"/>
      <c r="D437" s="3"/>
      <c r="E437" s="31"/>
      <c r="F437" s="133"/>
      <c r="G437" s="3"/>
      <c r="H437" s="31"/>
      <c r="I437" s="31"/>
      <c r="J437" s="3"/>
      <c r="K437" s="3"/>
      <c r="L437" s="3"/>
      <c r="M437" s="3"/>
      <c r="N437" s="3"/>
      <c r="O437" s="3"/>
      <c r="P437" s="3"/>
      <c r="Q437" s="3"/>
      <c r="R437" s="32"/>
      <c r="S437" s="32"/>
      <c r="T437" s="3"/>
      <c r="U437" s="33"/>
      <c r="V437" s="33"/>
      <c r="W437" s="3"/>
      <c r="X437" s="3"/>
      <c r="Y437" s="3"/>
      <c r="Z437" s="3"/>
      <c r="AA437" s="3"/>
      <c r="AB437" s="3"/>
      <c r="AC437" s="3"/>
      <c r="AD437" s="32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4"/>
      <c r="AT437" s="3"/>
      <c r="AU437" s="3"/>
      <c r="AV437" s="3"/>
      <c r="AW437" s="3"/>
      <c r="AX437" s="4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220"/>
      <c r="CY437" s="220"/>
      <c r="CZ437" s="220"/>
      <c r="DA437" s="220"/>
      <c r="DB437" s="237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  <c r="ED437" s="3"/>
      <c r="EE437" s="3"/>
      <c r="EF437" s="3"/>
      <c r="EG437" s="3"/>
      <c r="EH437" s="3"/>
    </row>
    <row r="438" spans="1:138" s="82" customFormat="1" x14ac:dyDescent="0.2">
      <c r="A438" s="3"/>
      <c r="B438" s="167"/>
      <c r="C438" s="3"/>
      <c r="D438" s="3"/>
      <c r="E438" s="31"/>
      <c r="F438" s="133"/>
      <c r="G438" s="3"/>
      <c r="H438" s="31"/>
      <c r="I438" s="31"/>
      <c r="J438" s="3"/>
      <c r="K438" s="3"/>
      <c r="L438" s="3"/>
      <c r="M438" s="3"/>
      <c r="N438" s="3"/>
      <c r="O438" s="3"/>
      <c r="P438" s="3"/>
      <c r="Q438" s="3"/>
      <c r="R438" s="32"/>
      <c r="S438" s="32"/>
      <c r="T438" s="3"/>
      <c r="U438" s="33"/>
      <c r="V438" s="33"/>
      <c r="W438" s="3"/>
      <c r="X438" s="3"/>
      <c r="Y438" s="3"/>
      <c r="Z438" s="3"/>
      <c r="AA438" s="3"/>
      <c r="AB438" s="3"/>
      <c r="AC438" s="3"/>
      <c r="AD438" s="32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4"/>
      <c r="AT438" s="3"/>
      <c r="AU438" s="3"/>
      <c r="AV438" s="3"/>
      <c r="AW438" s="3"/>
      <c r="AX438" s="4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84"/>
      <c r="BZ438" s="84"/>
      <c r="CA438" s="84"/>
      <c r="CB438" s="84"/>
      <c r="CC438" s="84"/>
      <c r="CD438" s="84"/>
      <c r="CE438" s="84"/>
      <c r="CF438" s="84"/>
      <c r="CG438" s="84"/>
      <c r="CH438" s="84"/>
      <c r="CI438" s="84"/>
      <c r="CJ438" s="84"/>
      <c r="CK438" s="84"/>
      <c r="CL438" s="84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220"/>
      <c r="CY438" s="220"/>
      <c r="CZ438" s="220"/>
      <c r="DA438" s="220"/>
      <c r="DB438" s="237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  <c r="ED438" s="3"/>
      <c r="EE438" s="3"/>
      <c r="EF438" s="3"/>
      <c r="EG438" s="3"/>
      <c r="EH438" s="3"/>
    </row>
    <row r="439" spans="1:138" s="82" customFormat="1" x14ac:dyDescent="0.2">
      <c r="A439" s="3"/>
      <c r="B439" s="167"/>
      <c r="C439" s="3"/>
      <c r="D439" s="3"/>
      <c r="E439" s="31"/>
      <c r="F439" s="133"/>
      <c r="G439" s="3"/>
      <c r="H439" s="31"/>
      <c r="I439" s="31"/>
      <c r="J439" s="3"/>
      <c r="K439" s="3"/>
      <c r="L439" s="3"/>
      <c r="M439" s="3"/>
      <c r="N439" s="3"/>
      <c r="O439" s="3"/>
      <c r="P439" s="3"/>
      <c r="Q439" s="3"/>
      <c r="R439" s="32"/>
      <c r="S439" s="32"/>
      <c r="T439" s="3"/>
      <c r="U439" s="33"/>
      <c r="V439" s="33"/>
      <c r="W439" s="3"/>
      <c r="X439" s="3"/>
      <c r="Y439" s="3"/>
      <c r="Z439" s="3"/>
      <c r="AA439" s="3"/>
      <c r="AB439" s="3"/>
      <c r="AC439" s="3"/>
      <c r="AD439" s="32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4"/>
      <c r="AT439" s="3"/>
      <c r="AU439" s="3"/>
      <c r="AV439" s="3"/>
      <c r="AW439" s="3"/>
      <c r="AX439" s="4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84"/>
      <c r="BZ439" s="84"/>
      <c r="CA439" s="84"/>
      <c r="CB439" s="84"/>
      <c r="CC439" s="84"/>
      <c r="CD439" s="84"/>
      <c r="CE439" s="84"/>
      <c r="CF439" s="84"/>
      <c r="CG439" s="84"/>
      <c r="CH439" s="84"/>
      <c r="CI439" s="84"/>
      <c r="CJ439" s="84"/>
      <c r="CK439" s="84"/>
      <c r="CL439" s="84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220"/>
      <c r="CY439" s="220"/>
      <c r="CZ439" s="220"/>
      <c r="DA439" s="220"/>
      <c r="DB439" s="237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  <c r="ED439" s="3"/>
      <c r="EE439" s="3"/>
      <c r="EF439" s="3"/>
      <c r="EG439" s="3"/>
      <c r="EH439" s="3"/>
    </row>
    <row r="440" spans="1:138" s="82" customFormat="1" x14ac:dyDescent="0.2">
      <c r="A440" s="3"/>
      <c r="B440" s="167"/>
      <c r="C440" s="3"/>
      <c r="D440" s="3"/>
      <c r="E440" s="31"/>
      <c r="F440" s="133"/>
      <c r="G440" s="3"/>
      <c r="H440" s="31"/>
      <c r="I440" s="31"/>
      <c r="J440" s="3"/>
      <c r="K440" s="3"/>
      <c r="L440" s="3"/>
      <c r="M440" s="3"/>
      <c r="N440" s="3"/>
      <c r="O440" s="3"/>
      <c r="P440" s="3"/>
      <c r="Q440" s="3"/>
      <c r="R440" s="32"/>
      <c r="S440" s="32"/>
      <c r="T440" s="3"/>
      <c r="U440" s="33"/>
      <c r="V440" s="33"/>
      <c r="W440" s="3"/>
      <c r="X440" s="3"/>
      <c r="Y440" s="3"/>
      <c r="Z440" s="3"/>
      <c r="AA440" s="3"/>
      <c r="AB440" s="3"/>
      <c r="AC440" s="3"/>
      <c r="AD440" s="32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4"/>
      <c r="AT440" s="3"/>
      <c r="AU440" s="3"/>
      <c r="AV440" s="3"/>
      <c r="AW440" s="3"/>
      <c r="AX440" s="4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84"/>
      <c r="BZ440" s="84"/>
      <c r="CA440" s="84"/>
      <c r="CB440" s="84"/>
      <c r="CC440" s="84"/>
      <c r="CD440" s="84"/>
      <c r="CE440" s="84"/>
      <c r="CF440" s="84"/>
      <c r="CG440" s="84"/>
      <c r="CH440" s="84"/>
      <c r="CI440" s="84"/>
      <c r="CJ440" s="84"/>
      <c r="CK440" s="84"/>
      <c r="CL440" s="84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220"/>
      <c r="CY440" s="220"/>
      <c r="CZ440" s="220"/>
      <c r="DA440" s="220"/>
      <c r="DB440" s="237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  <c r="ED440" s="3"/>
      <c r="EE440" s="3"/>
      <c r="EF440" s="3"/>
      <c r="EG440" s="3"/>
      <c r="EH440" s="3"/>
    </row>
    <row r="441" spans="1:138" s="82" customFormat="1" x14ac:dyDescent="0.2">
      <c r="A441" s="3"/>
      <c r="B441" s="167"/>
      <c r="C441" s="3"/>
      <c r="D441" s="3"/>
      <c r="E441" s="31"/>
      <c r="F441" s="133"/>
      <c r="G441" s="3"/>
      <c r="H441" s="31"/>
      <c r="I441" s="31"/>
      <c r="J441" s="3"/>
      <c r="K441" s="3"/>
      <c r="L441" s="3"/>
      <c r="M441" s="3"/>
      <c r="N441" s="3"/>
      <c r="O441" s="3"/>
      <c r="P441" s="3"/>
      <c r="Q441" s="3"/>
      <c r="R441" s="32"/>
      <c r="S441" s="32"/>
      <c r="T441" s="3"/>
      <c r="U441" s="33"/>
      <c r="V441" s="33"/>
      <c r="W441" s="3"/>
      <c r="X441" s="3"/>
      <c r="Y441" s="3"/>
      <c r="Z441" s="3"/>
      <c r="AA441" s="3"/>
      <c r="AB441" s="3"/>
      <c r="AC441" s="3"/>
      <c r="AD441" s="32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4"/>
      <c r="AT441" s="3"/>
      <c r="AU441" s="3"/>
      <c r="AV441" s="3"/>
      <c r="AW441" s="3"/>
      <c r="AX441" s="4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220"/>
      <c r="CY441" s="220"/>
      <c r="CZ441" s="220"/>
      <c r="DA441" s="220"/>
      <c r="DB441" s="237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  <c r="ED441" s="3"/>
      <c r="EE441" s="3"/>
      <c r="EF441" s="3"/>
      <c r="EG441" s="3"/>
      <c r="EH441" s="3"/>
    </row>
    <row r="442" spans="1:138" s="82" customFormat="1" x14ac:dyDescent="0.2">
      <c r="A442" s="3"/>
      <c r="B442" s="167"/>
      <c r="C442" s="3"/>
      <c r="D442" s="3"/>
      <c r="E442" s="31"/>
      <c r="F442" s="133"/>
      <c r="G442" s="3"/>
      <c r="H442" s="31"/>
      <c r="I442" s="31"/>
      <c r="J442" s="3"/>
      <c r="K442" s="3"/>
      <c r="L442" s="3"/>
      <c r="M442" s="3"/>
      <c r="N442" s="3"/>
      <c r="O442" s="3"/>
      <c r="P442" s="3"/>
      <c r="Q442" s="3"/>
      <c r="R442" s="32"/>
      <c r="S442" s="32"/>
      <c r="T442" s="3"/>
      <c r="U442" s="33"/>
      <c r="V442" s="33"/>
      <c r="W442" s="3"/>
      <c r="X442" s="3"/>
      <c r="Y442" s="3"/>
      <c r="Z442" s="3"/>
      <c r="AA442" s="3"/>
      <c r="AB442" s="3"/>
      <c r="AC442" s="3"/>
      <c r="AD442" s="32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4"/>
      <c r="AT442" s="3"/>
      <c r="AU442" s="3"/>
      <c r="AV442" s="3"/>
      <c r="AW442" s="3"/>
      <c r="AX442" s="4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84"/>
      <c r="BZ442" s="84"/>
      <c r="CA442" s="84"/>
      <c r="CB442" s="84"/>
      <c r="CC442" s="84"/>
      <c r="CD442" s="84"/>
      <c r="CE442" s="84"/>
      <c r="CF442" s="84"/>
      <c r="CG442" s="84"/>
      <c r="CH442" s="84"/>
      <c r="CI442" s="84"/>
      <c r="CJ442" s="84"/>
      <c r="CK442" s="84"/>
      <c r="CL442" s="84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220"/>
      <c r="CY442" s="220"/>
      <c r="CZ442" s="220"/>
      <c r="DA442" s="220"/>
      <c r="DB442" s="237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  <c r="ED442" s="3"/>
      <c r="EE442" s="3"/>
      <c r="EF442" s="3"/>
      <c r="EG442" s="3"/>
      <c r="EH442" s="3"/>
    </row>
    <row r="443" spans="1:138" s="82" customFormat="1" x14ac:dyDescent="0.2">
      <c r="A443" s="3"/>
      <c r="B443" s="167"/>
      <c r="C443" s="3"/>
      <c r="D443" s="3"/>
      <c r="E443" s="31"/>
      <c r="F443" s="133"/>
      <c r="G443" s="3"/>
      <c r="H443" s="31"/>
      <c r="I443" s="31"/>
      <c r="J443" s="3"/>
      <c r="K443" s="3"/>
      <c r="L443" s="3"/>
      <c r="M443" s="3"/>
      <c r="N443" s="3"/>
      <c r="O443" s="3"/>
      <c r="P443" s="3"/>
      <c r="Q443" s="3"/>
      <c r="R443" s="32"/>
      <c r="S443" s="32"/>
      <c r="T443" s="3"/>
      <c r="U443" s="33"/>
      <c r="V443" s="33"/>
      <c r="W443" s="3"/>
      <c r="X443" s="3"/>
      <c r="Y443" s="3"/>
      <c r="Z443" s="3"/>
      <c r="AA443" s="3"/>
      <c r="AB443" s="3"/>
      <c r="AC443" s="3"/>
      <c r="AD443" s="32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4"/>
      <c r="AT443" s="3"/>
      <c r="AU443" s="3"/>
      <c r="AV443" s="3"/>
      <c r="AW443" s="3"/>
      <c r="AX443" s="4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84"/>
      <c r="BZ443" s="84"/>
      <c r="CA443" s="84"/>
      <c r="CB443" s="84"/>
      <c r="CC443" s="84"/>
      <c r="CD443" s="84"/>
      <c r="CE443" s="84"/>
      <c r="CF443" s="84"/>
      <c r="CG443" s="84"/>
      <c r="CH443" s="84"/>
      <c r="CI443" s="84"/>
      <c r="CJ443" s="84"/>
      <c r="CK443" s="84"/>
      <c r="CL443" s="84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220"/>
      <c r="CY443" s="220"/>
      <c r="CZ443" s="220"/>
      <c r="DA443" s="220"/>
      <c r="DB443" s="237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  <c r="ED443" s="3"/>
      <c r="EE443" s="3"/>
      <c r="EF443" s="3"/>
      <c r="EG443" s="3"/>
      <c r="EH443" s="3"/>
    </row>
    <row r="444" spans="1:138" s="82" customFormat="1" x14ac:dyDescent="0.2">
      <c r="A444" s="3"/>
      <c r="B444" s="167"/>
      <c r="C444" s="3"/>
      <c r="D444" s="3"/>
      <c r="E444" s="31"/>
      <c r="F444" s="133"/>
      <c r="G444" s="3"/>
      <c r="H444" s="31"/>
      <c r="I444" s="31"/>
      <c r="J444" s="3"/>
      <c r="K444" s="3"/>
      <c r="L444" s="3"/>
      <c r="M444" s="3"/>
      <c r="N444" s="3"/>
      <c r="O444" s="3"/>
      <c r="P444" s="3"/>
      <c r="Q444" s="3"/>
      <c r="R444" s="32"/>
      <c r="S444" s="32"/>
      <c r="T444" s="3"/>
      <c r="U444" s="33"/>
      <c r="V444" s="33"/>
      <c r="W444" s="3"/>
      <c r="X444" s="3"/>
      <c r="Y444" s="3"/>
      <c r="Z444" s="3"/>
      <c r="AA444" s="3"/>
      <c r="AB444" s="3"/>
      <c r="AC444" s="3"/>
      <c r="AD444" s="32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4"/>
      <c r="AT444" s="3"/>
      <c r="AU444" s="3"/>
      <c r="AV444" s="3"/>
      <c r="AW444" s="3"/>
      <c r="AX444" s="4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84"/>
      <c r="BZ444" s="84"/>
      <c r="CA444" s="84"/>
      <c r="CB444" s="84"/>
      <c r="CC444" s="84"/>
      <c r="CD444" s="84"/>
      <c r="CE444" s="84"/>
      <c r="CF444" s="84"/>
      <c r="CG444" s="84"/>
      <c r="CH444" s="84"/>
      <c r="CI444" s="84"/>
      <c r="CJ444" s="84"/>
      <c r="CK444" s="84"/>
      <c r="CL444" s="84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220"/>
      <c r="CY444" s="220"/>
      <c r="CZ444" s="220"/>
      <c r="DA444" s="220"/>
      <c r="DB444" s="237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  <c r="ED444" s="3"/>
      <c r="EE444" s="3"/>
      <c r="EF444" s="3"/>
      <c r="EG444" s="3"/>
      <c r="EH444" s="3"/>
    </row>
    <row r="445" spans="1:138" s="82" customFormat="1" x14ac:dyDescent="0.2">
      <c r="A445" s="3"/>
      <c r="B445" s="167"/>
      <c r="C445" s="3"/>
      <c r="D445" s="3"/>
      <c r="E445" s="31"/>
      <c r="F445" s="133"/>
      <c r="G445" s="3"/>
      <c r="H445" s="31"/>
      <c r="I445" s="31"/>
      <c r="J445" s="3"/>
      <c r="K445" s="3"/>
      <c r="L445" s="3"/>
      <c r="M445" s="3"/>
      <c r="N445" s="3"/>
      <c r="O445" s="3"/>
      <c r="P445" s="3"/>
      <c r="Q445" s="3"/>
      <c r="R445" s="32"/>
      <c r="S445" s="32"/>
      <c r="T445" s="3"/>
      <c r="U445" s="33"/>
      <c r="V445" s="33"/>
      <c r="W445" s="3"/>
      <c r="X445" s="3"/>
      <c r="Y445" s="3"/>
      <c r="Z445" s="3"/>
      <c r="AA445" s="3"/>
      <c r="AB445" s="3"/>
      <c r="AC445" s="3"/>
      <c r="AD445" s="32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4"/>
      <c r="AT445" s="3"/>
      <c r="AU445" s="3"/>
      <c r="AV445" s="3"/>
      <c r="AW445" s="3"/>
      <c r="AX445" s="4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220"/>
      <c r="CY445" s="220"/>
      <c r="CZ445" s="220"/>
      <c r="DA445" s="220"/>
      <c r="DB445" s="237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  <c r="ED445" s="3"/>
      <c r="EE445" s="3"/>
      <c r="EF445" s="3"/>
      <c r="EG445" s="3"/>
      <c r="EH445" s="3"/>
    </row>
    <row r="446" spans="1:138" s="82" customFormat="1" x14ac:dyDescent="0.2">
      <c r="A446" s="3"/>
      <c r="B446" s="167"/>
      <c r="C446" s="3"/>
      <c r="D446" s="3"/>
      <c r="E446" s="31"/>
      <c r="F446" s="133"/>
      <c r="G446" s="3"/>
      <c r="H446" s="31"/>
      <c r="I446" s="31"/>
      <c r="J446" s="3"/>
      <c r="K446" s="3"/>
      <c r="L446" s="3"/>
      <c r="M446" s="3"/>
      <c r="N446" s="3"/>
      <c r="O446" s="3"/>
      <c r="P446" s="3"/>
      <c r="Q446" s="3"/>
      <c r="R446" s="32"/>
      <c r="S446" s="32"/>
      <c r="T446" s="3"/>
      <c r="U446" s="33"/>
      <c r="V446" s="33"/>
      <c r="W446" s="3"/>
      <c r="X446" s="3"/>
      <c r="Y446" s="3"/>
      <c r="Z446" s="3"/>
      <c r="AA446" s="3"/>
      <c r="AB446" s="3"/>
      <c r="AC446" s="3"/>
      <c r="AD446" s="32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4"/>
      <c r="AT446" s="3"/>
      <c r="AU446" s="3"/>
      <c r="AV446" s="3"/>
      <c r="AW446" s="3"/>
      <c r="AX446" s="4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84"/>
      <c r="BZ446" s="84"/>
      <c r="CA446" s="84"/>
      <c r="CB446" s="84"/>
      <c r="CC446" s="84"/>
      <c r="CD446" s="84"/>
      <c r="CE446" s="84"/>
      <c r="CF446" s="84"/>
      <c r="CG446" s="84"/>
      <c r="CH446" s="84"/>
      <c r="CI446" s="84"/>
      <c r="CJ446" s="84"/>
      <c r="CK446" s="84"/>
      <c r="CL446" s="84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220"/>
      <c r="CY446" s="220"/>
      <c r="CZ446" s="220"/>
      <c r="DA446" s="220"/>
      <c r="DB446" s="237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  <c r="ED446" s="3"/>
      <c r="EE446" s="3"/>
      <c r="EF446" s="3"/>
      <c r="EG446" s="3"/>
      <c r="EH446" s="3"/>
    </row>
    <row r="447" spans="1:138" s="82" customFormat="1" x14ac:dyDescent="0.2">
      <c r="A447" s="3"/>
      <c r="B447" s="167"/>
      <c r="C447" s="3"/>
      <c r="D447" s="3"/>
      <c r="E447" s="31"/>
      <c r="F447" s="133"/>
      <c r="G447" s="3"/>
      <c r="H447" s="31"/>
      <c r="I447" s="31"/>
      <c r="J447" s="3"/>
      <c r="K447" s="3"/>
      <c r="L447" s="3"/>
      <c r="M447" s="3"/>
      <c r="N447" s="3"/>
      <c r="O447" s="3"/>
      <c r="P447" s="3"/>
      <c r="Q447" s="3"/>
      <c r="R447" s="32"/>
      <c r="S447" s="32"/>
      <c r="T447" s="3"/>
      <c r="U447" s="33"/>
      <c r="V447" s="33"/>
      <c r="W447" s="3"/>
      <c r="X447" s="3"/>
      <c r="Y447" s="3"/>
      <c r="Z447" s="3"/>
      <c r="AA447" s="3"/>
      <c r="AB447" s="3"/>
      <c r="AC447" s="3"/>
      <c r="AD447" s="32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4"/>
      <c r="AT447" s="3"/>
      <c r="AU447" s="3"/>
      <c r="AV447" s="3"/>
      <c r="AW447" s="3"/>
      <c r="AX447" s="4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220"/>
      <c r="CY447" s="220"/>
      <c r="CZ447" s="220"/>
      <c r="DA447" s="220"/>
      <c r="DB447" s="237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  <c r="ED447" s="3"/>
      <c r="EE447" s="3"/>
      <c r="EF447" s="3"/>
      <c r="EG447" s="3"/>
      <c r="EH447" s="3"/>
    </row>
    <row r="448" spans="1:138" s="82" customFormat="1" x14ac:dyDescent="0.2">
      <c r="A448" s="3"/>
      <c r="B448" s="167"/>
      <c r="C448" s="3"/>
      <c r="D448" s="3"/>
      <c r="E448" s="31"/>
      <c r="F448" s="133"/>
      <c r="G448" s="3"/>
      <c r="H448" s="31"/>
      <c r="I448" s="31"/>
      <c r="J448" s="3"/>
      <c r="K448" s="3"/>
      <c r="L448" s="3"/>
      <c r="M448" s="3"/>
      <c r="N448" s="3"/>
      <c r="O448" s="3"/>
      <c r="P448" s="3"/>
      <c r="Q448" s="3"/>
      <c r="R448" s="32"/>
      <c r="S448" s="32"/>
      <c r="T448" s="3"/>
      <c r="U448" s="33"/>
      <c r="V448" s="33"/>
      <c r="W448" s="3"/>
      <c r="X448" s="3"/>
      <c r="Y448" s="3"/>
      <c r="Z448" s="3"/>
      <c r="AA448" s="3"/>
      <c r="AB448" s="3"/>
      <c r="AC448" s="3"/>
      <c r="AD448" s="32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4"/>
      <c r="AT448" s="3"/>
      <c r="AU448" s="3"/>
      <c r="AV448" s="3"/>
      <c r="AW448" s="3"/>
      <c r="AX448" s="4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220"/>
      <c r="CY448" s="220"/>
      <c r="CZ448" s="220"/>
      <c r="DA448" s="220"/>
      <c r="DB448" s="237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3"/>
      <c r="EE448" s="3"/>
      <c r="EF448" s="3"/>
      <c r="EG448" s="3"/>
      <c r="EH448" s="3"/>
    </row>
    <row r="449" spans="5:40" x14ac:dyDescent="0.2">
      <c r="E449" s="31"/>
      <c r="F449" s="133"/>
      <c r="H449" s="31"/>
      <c r="I449" s="31"/>
      <c r="R449" s="32"/>
      <c r="S449" s="32"/>
      <c r="U449" s="33"/>
      <c r="V449" s="33"/>
      <c r="AD449" s="32"/>
    </row>
    <row r="450" spans="5:40" x14ac:dyDescent="0.2">
      <c r="E450" s="31"/>
      <c r="F450" s="133"/>
      <c r="H450" s="31"/>
      <c r="I450" s="31"/>
      <c r="R450" s="32"/>
      <c r="S450" s="32"/>
      <c r="U450" s="33"/>
      <c r="V450" s="33"/>
      <c r="AD450" s="32"/>
    </row>
    <row r="451" spans="5:40" x14ac:dyDescent="0.2">
      <c r="E451" s="31"/>
      <c r="F451" s="133"/>
      <c r="H451" s="31"/>
      <c r="I451" s="31"/>
      <c r="R451" s="32"/>
      <c r="S451" s="32"/>
      <c r="U451" s="33"/>
      <c r="V451" s="33"/>
      <c r="AD451" s="32"/>
    </row>
    <row r="452" spans="5:40" x14ac:dyDescent="0.2">
      <c r="E452" s="31"/>
      <c r="F452" s="133"/>
      <c r="H452" s="31"/>
      <c r="I452" s="31"/>
      <c r="R452" s="32"/>
      <c r="S452" s="32"/>
      <c r="U452" s="33"/>
      <c r="V452" s="33"/>
      <c r="AD452" s="32"/>
    </row>
    <row r="453" spans="5:40" x14ac:dyDescent="0.2">
      <c r="E453" s="31"/>
      <c r="F453" s="133"/>
      <c r="H453" s="31"/>
      <c r="I453" s="31"/>
      <c r="R453" s="32"/>
      <c r="S453" s="32"/>
      <c r="U453" s="33"/>
      <c r="V453" s="33"/>
      <c r="AD453" s="32"/>
    </row>
    <row r="454" spans="5:40" x14ac:dyDescent="0.2">
      <c r="E454" s="31"/>
      <c r="F454" s="133"/>
      <c r="H454" s="31"/>
      <c r="I454" s="31"/>
      <c r="R454" s="32"/>
      <c r="S454" s="32"/>
      <c r="U454" s="33"/>
      <c r="V454" s="33"/>
      <c r="AD454" s="32"/>
    </row>
    <row r="455" spans="5:40" x14ac:dyDescent="0.2">
      <c r="E455" s="31"/>
      <c r="F455" s="133"/>
      <c r="H455" s="31"/>
      <c r="I455" s="31"/>
      <c r="R455" s="32"/>
      <c r="S455" s="32"/>
      <c r="U455" s="33"/>
      <c r="V455" s="33"/>
      <c r="AD455" s="32"/>
    </row>
    <row r="456" spans="5:40" x14ac:dyDescent="0.2">
      <c r="E456" s="31"/>
      <c r="F456" s="133"/>
      <c r="H456" s="31"/>
      <c r="I456" s="31"/>
      <c r="R456" s="32"/>
      <c r="S456" s="32"/>
      <c r="U456" s="33"/>
      <c r="V456" s="33"/>
      <c r="AD456" s="32"/>
    </row>
    <row r="457" spans="5:40" x14ac:dyDescent="0.2">
      <c r="E457" s="31"/>
      <c r="F457" s="133"/>
      <c r="H457" s="31"/>
      <c r="I457" s="31"/>
      <c r="R457" s="32"/>
      <c r="S457" s="32"/>
      <c r="U457" s="33"/>
      <c r="V457" s="33"/>
      <c r="AD457" s="32"/>
    </row>
    <row r="458" spans="5:40" x14ac:dyDescent="0.2">
      <c r="E458" s="31"/>
      <c r="F458" s="133"/>
      <c r="H458" s="31"/>
      <c r="I458" s="31"/>
      <c r="R458" s="32"/>
      <c r="S458" s="32"/>
      <c r="U458" s="33"/>
      <c r="V458" s="33"/>
      <c r="AD458" s="32"/>
    </row>
    <row r="459" spans="5:40" x14ac:dyDescent="0.2">
      <c r="E459" s="31"/>
      <c r="F459" s="133"/>
      <c r="G459" s="32"/>
      <c r="H459" s="31"/>
      <c r="I459" s="31"/>
      <c r="J459" s="32"/>
      <c r="K459" s="32"/>
      <c r="N459" s="32"/>
      <c r="O459" s="32"/>
      <c r="P459" s="32"/>
      <c r="Q459" s="32"/>
      <c r="R459" s="32"/>
      <c r="S459" s="32"/>
      <c r="T459" s="32"/>
      <c r="U459" s="32"/>
      <c r="V459" s="32"/>
      <c r="AD459" s="32"/>
      <c r="AE459" s="119"/>
      <c r="AF459" s="32"/>
      <c r="AG459" s="32"/>
      <c r="AH459" s="32"/>
      <c r="AJ459" s="32"/>
      <c r="AK459" s="32"/>
      <c r="AL459" s="32"/>
      <c r="AM459" s="32"/>
      <c r="AN459" s="32"/>
    </row>
    <row r="460" spans="5:40" x14ac:dyDescent="0.2">
      <c r="E460" s="31"/>
      <c r="F460" s="133"/>
      <c r="H460" s="31"/>
      <c r="I460" s="31"/>
      <c r="R460" s="32"/>
      <c r="S460" s="32"/>
      <c r="U460" s="33"/>
      <c r="V460" s="33"/>
      <c r="AD460" s="32"/>
    </row>
    <row r="461" spans="5:40" x14ac:dyDescent="0.2">
      <c r="E461" s="31"/>
      <c r="F461" s="133"/>
      <c r="H461" s="31"/>
      <c r="I461" s="31"/>
      <c r="R461" s="32"/>
      <c r="S461" s="32"/>
      <c r="U461" s="33"/>
      <c r="V461" s="33"/>
      <c r="AD461" s="32"/>
    </row>
    <row r="462" spans="5:40" x14ac:dyDescent="0.2">
      <c r="E462" s="31"/>
      <c r="F462" s="133"/>
      <c r="H462" s="31"/>
      <c r="I462" s="31"/>
      <c r="R462" s="32"/>
      <c r="S462" s="32"/>
      <c r="U462" s="33"/>
      <c r="V462" s="33"/>
      <c r="AD462" s="32"/>
    </row>
    <row r="463" spans="5:40" x14ac:dyDescent="0.2">
      <c r="E463" s="31"/>
      <c r="F463" s="133"/>
      <c r="H463" s="31"/>
      <c r="I463" s="31"/>
      <c r="R463" s="32"/>
      <c r="S463" s="32"/>
      <c r="U463" s="33"/>
      <c r="V463" s="33"/>
      <c r="AD463" s="32"/>
    </row>
    <row r="464" spans="5:40" x14ac:dyDescent="0.2">
      <c r="E464" s="31"/>
      <c r="F464" s="133"/>
      <c r="H464" s="31"/>
      <c r="I464" s="31"/>
      <c r="R464" s="32"/>
      <c r="S464" s="32"/>
      <c r="U464" s="33"/>
      <c r="V464" s="33"/>
      <c r="AD464" s="32"/>
    </row>
    <row r="465" spans="1:138" s="82" customFormat="1" x14ac:dyDescent="0.2">
      <c r="A465" s="3"/>
      <c r="B465" s="167"/>
      <c r="C465" s="3"/>
      <c r="D465" s="3"/>
      <c r="E465" s="31"/>
      <c r="F465" s="133"/>
      <c r="G465" s="3"/>
      <c r="H465" s="31"/>
      <c r="I465" s="31"/>
      <c r="J465" s="3"/>
      <c r="K465" s="3"/>
      <c r="L465" s="3"/>
      <c r="M465" s="3"/>
      <c r="N465" s="3"/>
      <c r="O465" s="3"/>
      <c r="P465" s="3"/>
      <c r="Q465" s="3"/>
      <c r="R465" s="32"/>
      <c r="S465" s="32"/>
      <c r="T465" s="3"/>
      <c r="U465" s="33"/>
      <c r="V465" s="33"/>
      <c r="W465" s="3"/>
      <c r="X465" s="3"/>
      <c r="Y465" s="3"/>
      <c r="Z465" s="3"/>
      <c r="AA465" s="3"/>
      <c r="AB465" s="3"/>
      <c r="AC465" s="3"/>
      <c r="AD465" s="32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4"/>
      <c r="AT465" s="3"/>
      <c r="AU465" s="3"/>
      <c r="AV465" s="3"/>
      <c r="AW465" s="3"/>
      <c r="AX465" s="4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84"/>
      <c r="BZ465" s="84"/>
      <c r="CA465" s="84"/>
      <c r="CB465" s="84"/>
      <c r="CC465" s="84"/>
      <c r="CD465" s="84"/>
      <c r="CE465" s="84"/>
      <c r="CF465" s="84"/>
      <c r="CG465" s="84"/>
      <c r="CH465" s="84"/>
      <c r="CI465" s="84"/>
      <c r="CJ465" s="84"/>
      <c r="CK465" s="84"/>
      <c r="CL465" s="84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220"/>
      <c r="CY465" s="220"/>
      <c r="CZ465" s="220"/>
      <c r="DA465" s="220"/>
      <c r="DB465" s="237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38"/>
      <c r="DW465" s="238"/>
      <c r="DX465" s="238"/>
      <c r="DY465" s="238"/>
      <c r="DZ465" s="238"/>
      <c r="EA465" s="238"/>
      <c r="EB465" s="238"/>
      <c r="EC465" s="238"/>
      <c r="ED465" s="3"/>
      <c r="EE465" s="3"/>
      <c r="EF465" s="3"/>
      <c r="EG465" s="3"/>
      <c r="EH465" s="3"/>
    </row>
    <row r="466" spans="1:138" s="82" customFormat="1" x14ac:dyDescent="0.2">
      <c r="A466" s="3"/>
      <c r="B466" s="167"/>
      <c r="C466" s="3"/>
      <c r="D466" s="3"/>
      <c r="E466" s="31"/>
      <c r="F466" s="133"/>
      <c r="G466" s="3"/>
      <c r="H466" s="31"/>
      <c r="I466" s="31"/>
      <c r="J466" s="3"/>
      <c r="K466" s="3"/>
      <c r="L466" s="3"/>
      <c r="M466" s="3"/>
      <c r="N466" s="3"/>
      <c r="O466" s="3"/>
      <c r="P466" s="3"/>
      <c r="Q466" s="3"/>
      <c r="R466" s="32"/>
      <c r="S466" s="32"/>
      <c r="T466" s="3"/>
      <c r="U466" s="33"/>
      <c r="V466" s="33"/>
      <c r="W466" s="3"/>
      <c r="X466" s="3"/>
      <c r="Y466" s="3"/>
      <c r="Z466" s="3"/>
      <c r="AA466" s="3"/>
      <c r="AB466" s="3"/>
      <c r="AC466" s="3"/>
      <c r="AD466" s="32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4"/>
      <c r="AT466" s="3"/>
      <c r="AU466" s="3"/>
      <c r="AV466" s="3"/>
      <c r="AW466" s="3"/>
      <c r="AX466" s="4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84"/>
      <c r="BZ466" s="84"/>
      <c r="CA466" s="84"/>
      <c r="CB466" s="84"/>
      <c r="CC466" s="84"/>
      <c r="CD466" s="84"/>
      <c r="CE466" s="84"/>
      <c r="CF466" s="84"/>
      <c r="CG466" s="84"/>
      <c r="CH466" s="84"/>
      <c r="CI466" s="84"/>
      <c r="CJ466" s="84"/>
      <c r="CK466" s="84"/>
      <c r="CL466" s="84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220"/>
      <c r="CY466" s="220"/>
      <c r="CZ466" s="220"/>
      <c r="DA466" s="220"/>
      <c r="DB466" s="237"/>
      <c r="DC466" s="238"/>
      <c r="DD466" s="238"/>
      <c r="DE466" s="238"/>
      <c r="DF466" s="238"/>
      <c r="DG466" s="238"/>
      <c r="DH466" s="238"/>
      <c r="DI466" s="238"/>
      <c r="DJ466" s="238"/>
      <c r="DK466" s="238"/>
      <c r="DL466" s="238"/>
      <c r="DM466" s="238"/>
      <c r="DN466" s="238"/>
      <c r="DO466" s="238"/>
      <c r="DP466" s="238"/>
      <c r="DQ466" s="238"/>
      <c r="DR466" s="238"/>
      <c r="DS466" s="238"/>
      <c r="DT466" s="238"/>
      <c r="DU466" s="238"/>
      <c r="DV466" s="238"/>
      <c r="DW466" s="238"/>
      <c r="DX466" s="238"/>
      <c r="DY466" s="238"/>
      <c r="DZ466" s="238"/>
      <c r="EA466" s="238"/>
      <c r="EB466" s="238"/>
      <c r="EC466" s="238"/>
      <c r="ED466" s="3"/>
      <c r="EE466" s="3"/>
      <c r="EF466" s="3"/>
      <c r="EG466" s="3"/>
      <c r="EH466" s="3"/>
    </row>
    <row r="467" spans="1:138" s="82" customFormat="1" x14ac:dyDescent="0.2">
      <c r="A467" s="3"/>
      <c r="B467" s="167"/>
      <c r="C467" s="3"/>
      <c r="D467" s="3"/>
      <c r="E467" s="31"/>
      <c r="F467" s="133"/>
      <c r="G467" s="3"/>
      <c r="H467" s="31"/>
      <c r="I467" s="31"/>
      <c r="J467" s="3"/>
      <c r="K467" s="3"/>
      <c r="L467" s="3"/>
      <c r="M467" s="3"/>
      <c r="N467" s="3"/>
      <c r="O467" s="3"/>
      <c r="P467" s="3"/>
      <c r="Q467" s="3"/>
      <c r="R467" s="32"/>
      <c r="S467" s="32"/>
      <c r="T467" s="3"/>
      <c r="U467" s="33"/>
      <c r="V467" s="33"/>
      <c r="W467" s="3"/>
      <c r="X467" s="3"/>
      <c r="Y467" s="3"/>
      <c r="Z467" s="3"/>
      <c r="AA467" s="3"/>
      <c r="AB467" s="3"/>
      <c r="AC467" s="3"/>
      <c r="AD467" s="32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4"/>
      <c r="AT467" s="3"/>
      <c r="AU467" s="3"/>
      <c r="AV467" s="3"/>
      <c r="AW467" s="3"/>
      <c r="AX467" s="4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84"/>
      <c r="BZ467" s="84"/>
      <c r="CA467" s="84"/>
      <c r="CB467" s="84"/>
      <c r="CC467" s="84"/>
      <c r="CD467" s="84"/>
      <c r="CE467" s="84"/>
      <c r="CF467" s="84"/>
      <c r="CG467" s="84"/>
      <c r="CH467" s="84"/>
      <c r="CI467" s="84"/>
      <c r="CJ467" s="84"/>
      <c r="CK467" s="84"/>
      <c r="CL467" s="84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220"/>
      <c r="CY467" s="220"/>
      <c r="CZ467" s="220"/>
      <c r="DA467" s="220"/>
      <c r="DB467" s="237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38"/>
      <c r="DW467" s="238"/>
      <c r="DX467" s="238"/>
      <c r="DY467" s="238"/>
      <c r="DZ467" s="238"/>
      <c r="EA467" s="238"/>
      <c r="EB467" s="238"/>
      <c r="EC467" s="238"/>
      <c r="ED467" s="3"/>
      <c r="EE467" s="3"/>
      <c r="EF467" s="3"/>
      <c r="EG467" s="3"/>
      <c r="EH467" s="3"/>
    </row>
    <row r="468" spans="1:138" s="82" customFormat="1" x14ac:dyDescent="0.2">
      <c r="A468" s="3"/>
      <c r="B468" s="167"/>
      <c r="C468" s="3"/>
      <c r="D468" s="3"/>
      <c r="E468" s="31"/>
      <c r="F468" s="133"/>
      <c r="G468" s="3"/>
      <c r="H468" s="31"/>
      <c r="I468" s="31"/>
      <c r="J468" s="3"/>
      <c r="K468" s="3"/>
      <c r="L468" s="3"/>
      <c r="M468" s="3"/>
      <c r="N468" s="3"/>
      <c r="O468" s="3"/>
      <c r="P468" s="3"/>
      <c r="Q468" s="3"/>
      <c r="R468" s="32"/>
      <c r="S468" s="32"/>
      <c r="T468" s="3"/>
      <c r="U468" s="33"/>
      <c r="V468" s="33"/>
      <c r="W468" s="3"/>
      <c r="X468" s="3"/>
      <c r="Y468" s="3"/>
      <c r="Z468" s="3"/>
      <c r="AA468" s="3"/>
      <c r="AB468" s="3"/>
      <c r="AC468" s="3"/>
      <c r="AD468" s="32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4"/>
      <c r="AT468" s="3"/>
      <c r="AU468" s="3"/>
      <c r="AV468" s="3"/>
      <c r="AW468" s="3"/>
      <c r="AX468" s="4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84"/>
      <c r="BZ468" s="84"/>
      <c r="CA468" s="84"/>
      <c r="CB468" s="84"/>
      <c r="CC468" s="84"/>
      <c r="CD468" s="84"/>
      <c r="CE468" s="84"/>
      <c r="CF468" s="84"/>
      <c r="CG468" s="84"/>
      <c r="CH468" s="84"/>
      <c r="CI468" s="84"/>
      <c r="CJ468" s="84"/>
      <c r="CK468" s="84"/>
      <c r="CL468" s="84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220"/>
      <c r="CY468" s="220"/>
      <c r="CZ468" s="220"/>
      <c r="DA468" s="220"/>
      <c r="DB468" s="237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38"/>
      <c r="DW468" s="238"/>
      <c r="DX468" s="238"/>
      <c r="DY468" s="238"/>
      <c r="DZ468" s="238"/>
      <c r="EA468" s="238"/>
      <c r="EB468" s="238"/>
      <c r="EC468" s="238"/>
      <c r="ED468" s="3"/>
      <c r="EE468" s="3"/>
      <c r="EF468" s="3"/>
      <c r="EG468" s="3"/>
      <c r="EH468" s="3"/>
    </row>
    <row r="469" spans="1:138" s="82" customFormat="1" x14ac:dyDescent="0.2">
      <c r="A469" s="3"/>
      <c r="B469" s="167"/>
      <c r="C469" s="3"/>
      <c r="D469" s="3"/>
      <c r="E469" s="31"/>
      <c r="F469" s="133"/>
      <c r="G469" s="3"/>
      <c r="H469" s="31"/>
      <c r="I469" s="31"/>
      <c r="J469" s="3"/>
      <c r="K469" s="3"/>
      <c r="L469" s="3"/>
      <c r="M469" s="3"/>
      <c r="N469" s="3"/>
      <c r="O469" s="3"/>
      <c r="P469" s="3"/>
      <c r="Q469" s="3"/>
      <c r="R469" s="32"/>
      <c r="S469" s="32"/>
      <c r="T469" s="3"/>
      <c r="U469" s="33"/>
      <c r="V469" s="33"/>
      <c r="W469" s="3"/>
      <c r="X469" s="3"/>
      <c r="Y469" s="3"/>
      <c r="Z469" s="3"/>
      <c r="AA469" s="3"/>
      <c r="AB469" s="3"/>
      <c r="AC469" s="3"/>
      <c r="AD469" s="32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4"/>
      <c r="AT469" s="3"/>
      <c r="AU469" s="3"/>
      <c r="AV469" s="3"/>
      <c r="AW469" s="3"/>
      <c r="AX469" s="4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84"/>
      <c r="BZ469" s="84"/>
      <c r="CA469" s="84"/>
      <c r="CB469" s="84"/>
      <c r="CC469" s="84"/>
      <c r="CD469" s="84"/>
      <c r="CE469" s="84"/>
      <c r="CF469" s="84"/>
      <c r="CG469" s="84"/>
      <c r="CH469" s="84"/>
      <c r="CI469" s="84"/>
      <c r="CJ469" s="84"/>
      <c r="CK469" s="84"/>
      <c r="CL469" s="84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220"/>
      <c r="CY469" s="220"/>
      <c r="CZ469" s="220"/>
      <c r="DA469" s="220"/>
      <c r="DB469" s="237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38"/>
      <c r="DW469" s="238"/>
      <c r="DX469" s="238"/>
      <c r="DY469" s="238"/>
      <c r="DZ469" s="238"/>
      <c r="EA469" s="238"/>
      <c r="EB469" s="238"/>
      <c r="EC469" s="238"/>
      <c r="ED469" s="3"/>
      <c r="EE469" s="3"/>
      <c r="EF469" s="3"/>
      <c r="EG469" s="3"/>
      <c r="EH469" s="3"/>
    </row>
    <row r="470" spans="1:138" s="82" customFormat="1" x14ac:dyDescent="0.2">
      <c r="A470" s="3"/>
      <c r="B470" s="167"/>
      <c r="C470" s="3"/>
      <c r="D470" s="3"/>
      <c r="E470" s="31"/>
      <c r="F470" s="133"/>
      <c r="G470" s="3"/>
      <c r="H470" s="31"/>
      <c r="I470" s="31"/>
      <c r="J470" s="3"/>
      <c r="K470" s="3"/>
      <c r="L470" s="3"/>
      <c r="M470" s="3"/>
      <c r="N470" s="3"/>
      <c r="O470" s="3"/>
      <c r="P470" s="3"/>
      <c r="Q470" s="3"/>
      <c r="R470" s="32"/>
      <c r="S470" s="32"/>
      <c r="T470" s="3"/>
      <c r="U470" s="33"/>
      <c r="V470" s="33"/>
      <c r="W470" s="3"/>
      <c r="X470" s="3"/>
      <c r="Y470" s="3"/>
      <c r="Z470" s="3"/>
      <c r="AA470" s="3"/>
      <c r="AB470" s="3"/>
      <c r="AC470" s="3"/>
      <c r="AD470" s="32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4"/>
      <c r="AT470" s="3"/>
      <c r="AU470" s="3"/>
      <c r="AV470" s="3"/>
      <c r="AW470" s="3"/>
      <c r="AX470" s="4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84"/>
      <c r="BZ470" s="84"/>
      <c r="CA470" s="84"/>
      <c r="CB470" s="84"/>
      <c r="CC470" s="84"/>
      <c r="CD470" s="84"/>
      <c r="CE470" s="84"/>
      <c r="CF470" s="84"/>
      <c r="CG470" s="84"/>
      <c r="CH470" s="84"/>
      <c r="CI470" s="84"/>
      <c r="CJ470" s="84"/>
      <c r="CK470" s="84"/>
      <c r="CL470" s="84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220"/>
      <c r="CY470" s="220"/>
      <c r="CZ470" s="220"/>
      <c r="DA470" s="220"/>
      <c r="DB470" s="237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38"/>
      <c r="DW470" s="238"/>
      <c r="DX470" s="238"/>
      <c r="DY470" s="238"/>
      <c r="DZ470" s="238"/>
      <c r="EA470" s="238"/>
      <c r="EB470" s="238"/>
      <c r="EC470" s="238"/>
      <c r="ED470" s="3"/>
      <c r="EE470" s="3"/>
      <c r="EF470" s="3"/>
      <c r="EG470" s="3"/>
      <c r="EH470" s="3"/>
    </row>
    <row r="471" spans="1:138" s="82" customFormat="1" x14ac:dyDescent="0.2">
      <c r="A471" s="3"/>
      <c r="B471" s="167"/>
      <c r="C471" s="3"/>
      <c r="D471" s="3"/>
      <c r="E471" s="31"/>
      <c r="F471" s="133"/>
      <c r="G471" s="3"/>
      <c r="H471" s="31"/>
      <c r="I471" s="31"/>
      <c r="J471" s="3"/>
      <c r="K471" s="3"/>
      <c r="L471" s="3"/>
      <c r="M471" s="3"/>
      <c r="N471" s="3"/>
      <c r="O471" s="3"/>
      <c r="P471" s="3"/>
      <c r="Q471" s="3"/>
      <c r="R471" s="32"/>
      <c r="S471" s="32"/>
      <c r="T471" s="3"/>
      <c r="U471" s="33"/>
      <c r="V471" s="33"/>
      <c r="W471" s="3"/>
      <c r="X471" s="3"/>
      <c r="Y471" s="3"/>
      <c r="Z471" s="3"/>
      <c r="AA471" s="3"/>
      <c r="AB471" s="3"/>
      <c r="AC471" s="3"/>
      <c r="AD471" s="32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4"/>
      <c r="AT471" s="3"/>
      <c r="AU471" s="3"/>
      <c r="AV471" s="3"/>
      <c r="AW471" s="3"/>
      <c r="AX471" s="4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84"/>
      <c r="BZ471" s="84"/>
      <c r="CA471" s="84"/>
      <c r="CB471" s="84"/>
      <c r="CC471" s="84"/>
      <c r="CD471" s="84"/>
      <c r="CE471" s="84"/>
      <c r="CF471" s="84"/>
      <c r="CG471" s="84"/>
      <c r="CH471" s="84"/>
      <c r="CI471" s="84"/>
      <c r="CJ471" s="84"/>
      <c r="CK471" s="84"/>
      <c r="CL471" s="84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220"/>
      <c r="CY471" s="220"/>
      <c r="CZ471" s="220"/>
      <c r="DA471" s="220"/>
      <c r="DB471" s="237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3"/>
      <c r="EE471" s="3"/>
      <c r="EF471" s="3"/>
      <c r="EG471" s="3"/>
      <c r="EH471" s="3"/>
    </row>
    <row r="472" spans="1:138" s="82" customFormat="1" x14ac:dyDescent="0.2">
      <c r="A472" s="3"/>
      <c r="B472" s="167"/>
      <c r="C472" s="3"/>
      <c r="D472" s="3"/>
      <c r="E472" s="31"/>
      <c r="F472" s="133"/>
      <c r="G472" s="3"/>
      <c r="H472" s="31"/>
      <c r="I472" s="31"/>
      <c r="J472" s="3"/>
      <c r="K472" s="3"/>
      <c r="L472" s="3"/>
      <c r="M472" s="3"/>
      <c r="N472" s="3"/>
      <c r="O472" s="3"/>
      <c r="P472" s="3"/>
      <c r="Q472" s="3"/>
      <c r="R472" s="32"/>
      <c r="S472" s="32"/>
      <c r="T472" s="3"/>
      <c r="U472" s="33"/>
      <c r="V472" s="33"/>
      <c r="W472" s="3"/>
      <c r="X472" s="3"/>
      <c r="Y472" s="3"/>
      <c r="Z472" s="3"/>
      <c r="AA472" s="3"/>
      <c r="AB472" s="3"/>
      <c r="AC472" s="3"/>
      <c r="AD472" s="32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4"/>
      <c r="AT472" s="3"/>
      <c r="AU472" s="3"/>
      <c r="AV472" s="3"/>
      <c r="AW472" s="3"/>
      <c r="AX472" s="4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84"/>
      <c r="BZ472" s="84"/>
      <c r="CA472" s="84"/>
      <c r="CB472" s="84"/>
      <c r="CC472" s="84"/>
      <c r="CD472" s="84"/>
      <c r="CE472" s="84"/>
      <c r="CF472" s="84"/>
      <c r="CG472" s="84"/>
      <c r="CH472" s="84"/>
      <c r="CI472" s="84"/>
      <c r="CJ472" s="84"/>
      <c r="CK472" s="84"/>
      <c r="CL472" s="84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220"/>
      <c r="CY472" s="220"/>
      <c r="CZ472" s="220"/>
      <c r="DA472" s="220"/>
      <c r="DB472" s="237"/>
      <c r="DC472" s="238"/>
      <c r="DD472" s="238"/>
      <c r="DE472" s="238"/>
      <c r="DF472" s="238"/>
      <c r="DG472" s="238"/>
      <c r="DH472" s="238"/>
      <c r="DI472" s="238"/>
      <c r="DJ472" s="238"/>
      <c r="DK472" s="238"/>
      <c r="DL472" s="238"/>
      <c r="DM472" s="238"/>
      <c r="DN472" s="238"/>
      <c r="DO472" s="238"/>
      <c r="DP472" s="238"/>
      <c r="DQ472" s="238"/>
      <c r="DR472" s="238"/>
      <c r="DS472" s="238"/>
      <c r="DT472" s="238"/>
      <c r="DU472" s="238"/>
      <c r="DV472" s="238"/>
      <c r="DW472" s="238"/>
      <c r="DX472" s="238"/>
      <c r="DY472" s="238"/>
      <c r="DZ472" s="238"/>
      <c r="EA472" s="238"/>
      <c r="EB472" s="238"/>
      <c r="EC472" s="238"/>
      <c r="ED472" s="3"/>
      <c r="EE472" s="3"/>
      <c r="EF472" s="3"/>
      <c r="EG472" s="3"/>
      <c r="EH472" s="3"/>
    </row>
    <row r="473" spans="1:138" s="82" customFormat="1" x14ac:dyDescent="0.2">
      <c r="A473" s="3"/>
      <c r="B473" s="167"/>
      <c r="C473" s="3"/>
      <c r="D473" s="3"/>
      <c r="E473" s="31"/>
      <c r="F473" s="133"/>
      <c r="G473" s="3"/>
      <c r="H473" s="31"/>
      <c r="I473" s="31"/>
      <c r="J473" s="3"/>
      <c r="K473" s="3"/>
      <c r="L473" s="3"/>
      <c r="M473" s="3"/>
      <c r="N473" s="3"/>
      <c r="O473" s="3"/>
      <c r="P473" s="3"/>
      <c r="Q473" s="3"/>
      <c r="R473" s="32"/>
      <c r="S473" s="32"/>
      <c r="T473" s="3"/>
      <c r="U473" s="33"/>
      <c r="V473" s="33"/>
      <c r="W473" s="3"/>
      <c r="X473" s="3"/>
      <c r="Y473" s="3"/>
      <c r="Z473" s="3"/>
      <c r="AA473" s="3"/>
      <c r="AB473" s="3"/>
      <c r="AC473" s="3"/>
      <c r="AD473" s="32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4"/>
      <c r="AT473" s="3"/>
      <c r="AU473" s="3"/>
      <c r="AV473" s="3"/>
      <c r="AW473" s="3"/>
      <c r="AX473" s="4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84"/>
      <c r="BZ473" s="84"/>
      <c r="CA473" s="84"/>
      <c r="CB473" s="84"/>
      <c r="CC473" s="84"/>
      <c r="CD473" s="84"/>
      <c r="CE473" s="84"/>
      <c r="CF473" s="84"/>
      <c r="CG473" s="84"/>
      <c r="CH473" s="84"/>
      <c r="CI473" s="84"/>
      <c r="CJ473" s="84"/>
      <c r="CK473" s="84"/>
      <c r="CL473" s="84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220"/>
      <c r="CY473" s="220"/>
      <c r="CZ473" s="220"/>
      <c r="DA473" s="220"/>
      <c r="DB473" s="237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38"/>
      <c r="DW473" s="238"/>
      <c r="DX473" s="238"/>
      <c r="DY473" s="238"/>
      <c r="DZ473" s="238"/>
      <c r="EA473" s="238"/>
      <c r="EB473" s="238"/>
      <c r="EC473" s="238"/>
      <c r="ED473" s="3"/>
      <c r="EE473" s="3"/>
      <c r="EF473" s="3"/>
      <c r="EG473" s="3"/>
      <c r="EH473" s="3"/>
    </row>
    <row r="474" spans="1:138" s="82" customFormat="1" x14ac:dyDescent="0.2">
      <c r="A474" s="3"/>
      <c r="B474" s="167"/>
      <c r="C474" s="3"/>
      <c r="D474" s="3"/>
      <c r="E474" s="31"/>
      <c r="F474" s="133"/>
      <c r="G474" s="3"/>
      <c r="H474" s="31"/>
      <c r="I474" s="31"/>
      <c r="J474" s="3"/>
      <c r="K474" s="3"/>
      <c r="L474" s="3"/>
      <c r="M474" s="3"/>
      <c r="N474" s="3"/>
      <c r="O474" s="3"/>
      <c r="P474" s="3"/>
      <c r="Q474" s="3"/>
      <c r="R474" s="32"/>
      <c r="S474" s="32"/>
      <c r="T474" s="3"/>
      <c r="U474" s="33"/>
      <c r="V474" s="33"/>
      <c r="W474" s="3"/>
      <c r="X474" s="3"/>
      <c r="Y474" s="3"/>
      <c r="Z474" s="3"/>
      <c r="AA474" s="3"/>
      <c r="AB474" s="3"/>
      <c r="AC474" s="3"/>
      <c r="AD474" s="32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4"/>
      <c r="AT474" s="3"/>
      <c r="AU474" s="3"/>
      <c r="AV474" s="3"/>
      <c r="AW474" s="3"/>
      <c r="AX474" s="4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84"/>
      <c r="BZ474" s="84"/>
      <c r="CA474" s="84"/>
      <c r="CB474" s="84"/>
      <c r="CC474" s="84"/>
      <c r="CD474" s="84"/>
      <c r="CE474" s="84"/>
      <c r="CF474" s="84"/>
      <c r="CG474" s="84"/>
      <c r="CH474" s="84"/>
      <c r="CI474" s="84"/>
      <c r="CJ474" s="84"/>
      <c r="CK474" s="84"/>
      <c r="CL474" s="84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220"/>
      <c r="CY474" s="220"/>
      <c r="CZ474" s="220"/>
      <c r="DA474" s="220"/>
      <c r="DB474" s="237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3"/>
      <c r="EE474" s="3"/>
      <c r="EF474" s="3"/>
      <c r="EG474" s="3"/>
      <c r="EH474" s="3"/>
    </row>
    <row r="475" spans="1:138" s="82" customFormat="1" x14ac:dyDescent="0.2">
      <c r="A475" s="3"/>
      <c r="B475" s="167"/>
      <c r="C475" s="3"/>
      <c r="D475" s="3"/>
      <c r="E475" s="31"/>
      <c r="F475" s="133"/>
      <c r="G475" s="3"/>
      <c r="H475" s="31"/>
      <c r="I475" s="31"/>
      <c r="J475" s="3"/>
      <c r="K475" s="3"/>
      <c r="L475" s="3"/>
      <c r="M475" s="3"/>
      <c r="N475" s="3"/>
      <c r="O475" s="3"/>
      <c r="P475" s="3"/>
      <c r="Q475" s="3"/>
      <c r="R475" s="32"/>
      <c r="S475" s="32"/>
      <c r="T475" s="3"/>
      <c r="U475" s="33"/>
      <c r="V475" s="33"/>
      <c r="W475" s="3"/>
      <c r="X475" s="3"/>
      <c r="Y475" s="3"/>
      <c r="Z475" s="3"/>
      <c r="AA475" s="3"/>
      <c r="AB475" s="3"/>
      <c r="AC475" s="3"/>
      <c r="AD475" s="32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4"/>
      <c r="AT475" s="3"/>
      <c r="AU475" s="3"/>
      <c r="AV475" s="3"/>
      <c r="AW475" s="3"/>
      <c r="AX475" s="4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84"/>
      <c r="BZ475" s="84"/>
      <c r="CA475" s="84"/>
      <c r="CB475" s="84"/>
      <c r="CC475" s="84"/>
      <c r="CD475" s="84"/>
      <c r="CE475" s="84"/>
      <c r="CF475" s="84"/>
      <c r="CG475" s="84"/>
      <c r="CH475" s="84"/>
      <c r="CI475" s="84"/>
      <c r="CJ475" s="84"/>
      <c r="CK475" s="84"/>
      <c r="CL475" s="84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220"/>
      <c r="CY475" s="220"/>
      <c r="CZ475" s="220"/>
      <c r="DA475" s="220"/>
      <c r="DB475" s="237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3"/>
      <c r="EE475" s="3"/>
      <c r="EF475" s="3"/>
      <c r="EG475" s="3"/>
      <c r="EH475" s="3"/>
    </row>
    <row r="476" spans="1:138" s="82" customFormat="1" x14ac:dyDescent="0.2">
      <c r="A476" s="3"/>
      <c r="B476" s="167"/>
      <c r="C476" s="3"/>
      <c r="D476" s="3"/>
      <c r="E476" s="31"/>
      <c r="F476" s="133"/>
      <c r="G476" s="3"/>
      <c r="H476" s="31"/>
      <c r="I476" s="31"/>
      <c r="J476" s="3"/>
      <c r="K476" s="3"/>
      <c r="L476" s="3"/>
      <c r="M476" s="3"/>
      <c r="N476" s="3"/>
      <c r="O476" s="3"/>
      <c r="P476" s="3"/>
      <c r="Q476" s="3"/>
      <c r="R476" s="32"/>
      <c r="S476" s="32"/>
      <c r="T476" s="3"/>
      <c r="U476" s="33"/>
      <c r="V476" s="33"/>
      <c r="W476" s="3"/>
      <c r="X476" s="3"/>
      <c r="Y476" s="3"/>
      <c r="Z476" s="3"/>
      <c r="AA476" s="3"/>
      <c r="AB476" s="3"/>
      <c r="AC476" s="3"/>
      <c r="AD476" s="32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4"/>
      <c r="AT476" s="3"/>
      <c r="AU476" s="3"/>
      <c r="AV476" s="3"/>
      <c r="AW476" s="3"/>
      <c r="AX476" s="4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84"/>
      <c r="BZ476" s="84"/>
      <c r="CA476" s="84"/>
      <c r="CB476" s="84"/>
      <c r="CC476" s="84"/>
      <c r="CD476" s="84"/>
      <c r="CE476" s="84"/>
      <c r="CF476" s="84"/>
      <c r="CG476" s="84"/>
      <c r="CH476" s="84"/>
      <c r="CI476" s="84"/>
      <c r="CJ476" s="84"/>
      <c r="CK476" s="84"/>
      <c r="CL476" s="84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220"/>
      <c r="CY476" s="220"/>
      <c r="CZ476" s="220"/>
      <c r="DA476" s="220"/>
      <c r="DB476" s="237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3"/>
      <c r="EE476" s="3"/>
      <c r="EF476" s="3"/>
      <c r="EG476" s="3"/>
      <c r="EH476" s="3"/>
    </row>
    <row r="477" spans="1:138" s="82" customFormat="1" x14ac:dyDescent="0.2">
      <c r="A477" s="3"/>
      <c r="B477" s="167"/>
      <c r="C477" s="3"/>
      <c r="D477" s="3"/>
      <c r="E477" s="31"/>
      <c r="F477" s="133"/>
      <c r="G477" s="3"/>
      <c r="H477" s="31"/>
      <c r="I477" s="31"/>
      <c r="J477" s="3"/>
      <c r="K477" s="3"/>
      <c r="L477" s="3"/>
      <c r="M477" s="3"/>
      <c r="N477" s="3"/>
      <c r="O477" s="3"/>
      <c r="P477" s="3"/>
      <c r="Q477" s="3"/>
      <c r="R477" s="32"/>
      <c r="S477" s="32"/>
      <c r="T477" s="3"/>
      <c r="U477" s="33"/>
      <c r="V477" s="33"/>
      <c r="W477" s="3"/>
      <c r="X477" s="3"/>
      <c r="Y477" s="3"/>
      <c r="Z477" s="3"/>
      <c r="AA477" s="3"/>
      <c r="AB477" s="3"/>
      <c r="AC477" s="3"/>
      <c r="AD477" s="32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4"/>
      <c r="AT477" s="3"/>
      <c r="AU477" s="3"/>
      <c r="AV477" s="3"/>
      <c r="AW477" s="3"/>
      <c r="AX477" s="4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84"/>
      <c r="BZ477" s="84"/>
      <c r="CA477" s="84"/>
      <c r="CB477" s="84"/>
      <c r="CC477" s="84"/>
      <c r="CD477" s="84"/>
      <c r="CE477" s="84"/>
      <c r="CF477" s="84"/>
      <c r="CG477" s="84"/>
      <c r="CH477" s="84"/>
      <c r="CI477" s="84"/>
      <c r="CJ477" s="84"/>
      <c r="CK477" s="84"/>
      <c r="CL477" s="84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220"/>
      <c r="CY477" s="220"/>
      <c r="CZ477" s="220"/>
      <c r="DA477" s="220"/>
      <c r="DB477" s="237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3"/>
      <c r="EE477" s="3"/>
      <c r="EF477" s="3"/>
      <c r="EG477" s="3"/>
      <c r="EH477" s="3"/>
    </row>
    <row r="478" spans="1:138" s="82" customFormat="1" x14ac:dyDescent="0.2">
      <c r="A478" s="3"/>
      <c r="B478" s="167"/>
      <c r="C478" s="3"/>
      <c r="D478" s="3"/>
      <c r="E478" s="31"/>
      <c r="F478" s="133"/>
      <c r="G478" s="3"/>
      <c r="H478" s="31"/>
      <c r="I478" s="31"/>
      <c r="J478" s="3"/>
      <c r="K478" s="3"/>
      <c r="L478" s="3"/>
      <c r="M478" s="3"/>
      <c r="N478" s="3"/>
      <c r="O478" s="3"/>
      <c r="P478" s="3"/>
      <c r="Q478" s="3"/>
      <c r="R478" s="32"/>
      <c r="S478" s="32"/>
      <c r="T478" s="3"/>
      <c r="U478" s="33"/>
      <c r="V478" s="33"/>
      <c r="W478" s="3"/>
      <c r="X478" s="3"/>
      <c r="Y478" s="3"/>
      <c r="Z478" s="3"/>
      <c r="AA478" s="3"/>
      <c r="AB478" s="3"/>
      <c r="AC478" s="3"/>
      <c r="AD478" s="32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4"/>
      <c r="AT478" s="3"/>
      <c r="AU478" s="3"/>
      <c r="AV478" s="3"/>
      <c r="AW478" s="3"/>
      <c r="AX478" s="4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84"/>
      <c r="BZ478" s="84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220"/>
      <c r="CY478" s="220"/>
      <c r="CZ478" s="220"/>
      <c r="DA478" s="220"/>
      <c r="DB478" s="237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3"/>
      <c r="EE478" s="3"/>
      <c r="EF478" s="3"/>
      <c r="EG478" s="3"/>
      <c r="EH478" s="3"/>
    </row>
    <row r="479" spans="1:138" s="82" customFormat="1" x14ac:dyDescent="0.2">
      <c r="A479" s="3"/>
      <c r="B479" s="167"/>
      <c r="C479" s="3"/>
      <c r="D479" s="3"/>
      <c r="E479" s="31"/>
      <c r="F479" s="133"/>
      <c r="G479" s="3"/>
      <c r="H479" s="31"/>
      <c r="I479" s="31"/>
      <c r="J479" s="3"/>
      <c r="K479" s="3"/>
      <c r="L479" s="3"/>
      <c r="M479" s="3"/>
      <c r="N479" s="3"/>
      <c r="O479" s="3"/>
      <c r="P479" s="3"/>
      <c r="Q479" s="3"/>
      <c r="R479" s="32"/>
      <c r="S479" s="32"/>
      <c r="T479" s="3"/>
      <c r="U479" s="33"/>
      <c r="V479" s="33"/>
      <c r="W479" s="3"/>
      <c r="X479" s="3"/>
      <c r="Y479" s="3"/>
      <c r="Z479" s="3"/>
      <c r="AA479" s="3"/>
      <c r="AB479" s="3"/>
      <c r="AC479" s="3"/>
      <c r="AD479" s="32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4"/>
      <c r="AT479" s="3"/>
      <c r="AU479" s="3"/>
      <c r="AV479" s="3"/>
      <c r="AW479" s="3"/>
      <c r="AX479" s="4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84"/>
      <c r="BZ479" s="84"/>
      <c r="CA479" s="84"/>
      <c r="CB479" s="84"/>
      <c r="CC479" s="84"/>
      <c r="CD479" s="84"/>
      <c r="CE479" s="84"/>
      <c r="CF479" s="84"/>
      <c r="CG479" s="84"/>
      <c r="CH479" s="84"/>
      <c r="CI479" s="84"/>
      <c r="CJ479" s="84"/>
      <c r="CK479" s="84"/>
      <c r="CL479" s="84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220"/>
      <c r="CY479" s="220"/>
      <c r="CZ479" s="220"/>
      <c r="DA479" s="220"/>
      <c r="DB479" s="237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3"/>
      <c r="EE479" s="3"/>
      <c r="EF479" s="3"/>
      <c r="EG479" s="3"/>
      <c r="EH479" s="3"/>
    </row>
    <row r="480" spans="1:138" s="82" customFormat="1" x14ac:dyDescent="0.2">
      <c r="A480" s="3"/>
      <c r="B480" s="167"/>
      <c r="C480" s="3"/>
      <c r="D480" s="3"/>
      <c r="E480" s="31"/>
      <c r="F480" s="133"/>
      <c r="G480" s="3"/>
      <c r="H480" s="31"/>
      <c r="I480" s="31"/>
      <c r="J480" s="3"/>
      <c r="K480" s="3"/>
      <c r="L480" s="3"/>
      <c r="M480" s="3"/>
      <c r="N480" s="3"/>
      <c r="O480" s="3"/>
      <c r="P480" s="3"/>
      <c r="Q480" s="3"/>
      <c r="R480" s="32"/>
      <c r="S480" s="32"/>
      <c r="T480" s="3"/>
      <c r="U480" s="33"/>
      <c r="V480" s="33"/>
      <c r="W480" s="3"/>
      <c r="X480" s="3"/>
      <c r="Y480" s="3"/>
      <c r="Z480" s="3"/>
      <c r="AA480" s="3"/>
      <c r="AB480" s="3"/>
      <c r="AC480" s="3"/>
      <c r="AD480" s="32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4"/>
      <c r="AT480" s="3"/>
      <c r="AU480" s="3"/>
      <c r="AV480" s="3"/>
      <c r="AW480" s="3"/>
      <c r="AX480" s="4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84"/>
      <c r="BZ480" s="84"/>
      <c r="CA480" s="84"/>
      <c r="CB480" s="84"/>
      <c r="CC480" s="84"/>
      <c r="CD480" s="84"/>
      <c r="CE480" s="84"/>
      <c r="CF480" s="84"/>
      <c r="CG480" s="84"/>
      <c r="CH480" s="84"/>
      <c r="CI480" s="84"/>
      <c r="CJ480" s="84"/>
      <c r="CK480" s="84"/>
      <c r="CL480" s="84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220"/>
      <c r="CY480" s="220"/>
      <c r="CZ480" s="220"/>
      <c r="DA480" s="220"/>
      <c r="DB480" s="237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3"/>
      <c r="EE480" s="3"/>
      <c r="EF480" s="3"/>
      <c r="EG480" s="3"/>
      <c r="EH480" s="3"/>
    </row>
    <row r="481" spans="1:138" s="82" customFormat="1" x14ac:dyDescent="0.2">
      <c r="A481" s="3"/>
      <c r="B481" s="167"/>
      <c r="C481" s="3"/>
      <c r="D481" s="3"/>
      <c r="E481" s="31"/>
      <c r="F481" s="133"/>
      <c r="G481" s="3"/>
      <c r="H481" s="31"/>
      <c r="I481" s="31"/>
      <c r="J481" s="3"/>
      <c r="K481" s="3"/>
      <c r="L481" s="3"/>
      <c r="M481" s="3"/>
      <c r="N481" s="3"/>
      <c r="O481" s="3"/>
      <c r="P481" s="3"/>
      <c r="Q481" s="3"/>
      <c r="R481" s="32"/>
      <c r="S481" s="32"/>
      <c r="T481" s="3"/>
      <c r="U481" s="33"/>
      <c r="V481" s="33"/>
      <c r="W481" s="3"/>
      <c r="X481" s="3"/>
      <c r="Y481" s="3"/>
      <c r="Z481" s="3"/>
      <c r="AA481" s="3"/>
      <c r="AB481" s="3"/>
      <c r="AC481" s="3"/>
      <c r="AD481" s="32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4"/>
      <c r="AT481" s="3"/>
      <c r="AU481" s="3"/>
      <c r="AV481" s="3"/>
      <c r="AW481" s="3"/>
      <c r="AX481" s="4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84"/>
      <c r="BZ481" s="84"/>
      <c r="CA481" s="84"/>
      <c r="CB481" s="84"/>
      <c r="CC481" s="84"/>
      <c r="CD481" s="84"/>
      <c r="CE481" s="84"/>
      <c r="CF481" s="84"/>
      <c r="CG481" s="84"/>
      <c r="CH481" s="84"/>
      <c r="CI481" s="84"/>
      <c r="CJ481" s="84"/>
      <c r="CK481" s="84"/>
      <c r="CL481" s="84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220"/>
      <c r="CY481" s="220"/>
      <c r="CZ481" s="220"/>
      <c r="DA481" s="220"/>
      <c r="DB481" s="237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3"/>
      <c r="EE481" s="3"/>
      <c r="EF481" s="3"/>
      <c r="EG481" s="3"/>
      <c r="EH481" s="3"/>
    </row>
    <row r="482" spans="1:138" s="82" customFormat="1" x14ac:dyDescent="0.2">
      <c r="A482" s="3"/>
      <c r="B482" s="167"/>
      <c r="C482" s="3"/>
      <c r="D482" s="3"/>
      <c r="E482" s="31"/>
      <c r="F482" s="133"/>
      <c r="G482" s="3"/>
      <c r="H482" s="31"/>
      <c r="I482" s="31"/>
      <c r="J482" s="3"/>
      <c r="K482" s="3"/>
      <c r="L482" s="3"/>
      <c r="M482" s="3"/>
      <c r="N482" s="3"/>
      <c r="O482" s="3"/>
      <c r="P482" s="3"/>
      <c r="Q482" s="3"/>
      <c r="R482" s="32"/>
      <c r="S482" s="32"/>
      <c r="T482" s="3"/>
      <c r="U482" s="33"/>
      <c r="V482" s="33"/>
      <c r="W482" s="3"/>
      <c r="X482" s="3"/>
      <c r="Y482" s="3"/>
      <c r="Z482" s="3"/>
      <c r="AA482" s="3"/>
      <c r="AB482" s="3"/>
      <c r="AC482" s="3"/>
      <c r="AD482" s="32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4"/>
      <c r="AT482" s="3"/>
      <c r="AU482" s="3"/>
      <c r="AV482" s="3"/>
      <c r="AW482" s="3"/>
      <c r="AX482" s="4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84"/>
      <c r="BZ482" s="84"/>
      <c r="CA482" s="84"/>
      <c r="CB482" s="84"/>
      <c r="CC482" s="84"/>
      <c r="CD482" s="84"/>
      <c r="CE482" s="84"/>
      <c r="CF482" s="84"/>
      <c r="CG482" s="84"/>
      <c r="CH482" s="84"/>
      <c r="CI482" s="84"/>
      <c r="CJ482" s="84"/>
      <c r="CK482" s="84"/>
      <c r="CL482" s="84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220"/>
      <c r="CY482" s="220"/>
      <c r="CZ482" s="220"/>
      <c r="DA482" s="220"/>
      <c r="DB482" s="237"/>
      <c r="DC482" s="238"/>
      <c r="DD482" s="238"/>
      <c r="DE482" s="238"/>
      <c r="DF482" s="238"/>
      <c r="DG482" s="238"/>
      <c r="DH482" s="238"/>
      <c r="DI482" s="238"/>
      <c r="DJ482" s="238"/>
      <c r="DK482" s="238"/>
      <c r="DL482" s="238"/>
      <c r="DM482" s="238"/>
      <c r="DN482" s="238"/>
      <c r="DO482" s="238"/>
      <c r="DP482" s="238"/>
      <c r="DQ482" s="238"/>
      <c r="DR482" s="238"/>
      <c r="DS482" s="238"/>
      <c r="DT482" s="238"/>
      <c r="DU482" s="238"/>
      <c r="DV482" s="238"/>
      <c r="DW482" s="238"/>
      <c r="DX482" s="238"/>
      <c r="DY482" s="238"/>
      <c r="DZ482" s="238"/>
      <c r="EA482" s="238"/>
      <c r="EB482" s="238"/>
      <c r="EC482" s="238"/>
      <c r="ED482" s="3"/>
      <c r="EE482" s="3"/>
      <c r="EF482" s="3"/>
      <c r="EG482" s="3"/>
      <c r="EH482" s="3"/>
    </row>
    <row r="483" spans="1:138" s="82" customFormat="1" x14ac:dyDescent="0.2">
      <c r="A483" s="3"/>
      <c r="B483" s="167"/>
      <c r="C483" s="3"/>
      <c r="D483" s="3"/>
      <c r="E483" s="31"/>
      <c r="F483" s="133"/>
      <c r="G483" s="3"/>
      <c r="H483" s="31"/>
      <c r="I483" s="31"/>
      <c r="J483" s="3"/>
      <c r="K483" s="3"/>
      <c r="L483" s="3"/>
      <c r="M483" s="3"/>
      <c r="N483" s="3"/>
      <c r="O483" s="3"/>
      <c r="P483" s="3"/>
      <c r="Q483" s="3"/>
      <c r="R483" s="32"/>
      <c r="S483" s="32"/>
      <c r="T483" s="3"/>
      <c r="U483" s="33"/>
      <c r="V483" s="33"/>
      <c r="W483" s="3"/>
      <c r="X483" s="3"/>
      <c r="Y483" s="3"/>
      <c r="Z483" s="3"/>
      <c r="AA483" s="3"/>
      <c r="AB483" s="3"/>
      <c r="AC483" s="3"/>
      <c r="AD483" s="32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4"/>
      <c r="AT483" s="3"/>
      <c r="AU483" s="3"/>
      <c r="AV483" s="3"/>
      <c r="AW483" s="3"/>
      <c r="AX483" s="4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84"/>
      <c r="BZ483" s="84"/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220"/>
      <c r="CY483" s="220"/>
      <c r="CZ483" s="220"/>
      <c r="DA483" s="220"/>
      <c r="DB483" s="237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38"/>
      <c r="DW483" s="238"/>
      <c r="DX483" s="238"/>
      <c r="DY483" s="238"/>
      <c r="DZ483" s="238"/>
      <c r="EA483" s="238"/>
      <c r="EB483" s="238"/>
      <c r="EC483" s="238"/>
      <c r="ED483" s="3"/>
      <c r="EE483" s="3"/>
      <c r="EF483" s="3"/>
      <c r="EG483" s="3"/>
      <c r="EH483" s="3"/>
    </row>
    <row r="484" spans="1:138" s="82" customFormat="1" x14ac:dyDescent="0.2">
      <c r="A484" s="3"/>
      <c r="B484" s="167"/>
      <c r="C484" s="3"/>
      <c r="D484" s="3"/>
      <c r="E484" s="31"/>
      <c r="F484" s="133"/>
      <c r="G484" s="3"/>
      <c r="H484" s="31"/>
      <c r="I484" s="31"/>
      <c r="J484" s="3"/>
      <c r="K484" s="3"/>
      <c r="L484" s="3"/>
      <c r="M484" s="3"/>
      <c r="N484" s="3"/>
      <c r="O484" s="3"/>
      <c r="P484" s="3"/>
      <c r="Q484" s="3"/>
      <c r="R484" s="32"/>
      <c r="S484" s="32"/>
      <c r="T484" s="3"/>
      <c r="U484" s="33"/>
      <c r="V484" s="33"/>
      <c r="W484" s="3"/>
      <c r="X484" s="3"/>
      <c r="Y484" s="3"/>
      <c r="Z484" s="3"/>
      <c r="AA484" s="3"/>
      <c r="AB484" s="3"/>
      <c r="AC484" s="3"/>
      <c r="AD484" s="32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4"/>
      <c r="AT484" s="3"/>
      <c r="AU484" s="3"/>
      <c r="AV484" s="3"/>
      <c r="AW484" s="3"/>
      <c r="AX484" s="4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84"/>
      <c r="BZ484" s="84"/>
      <c r="CA484" s="84"/>
      <c r="CB484" s="84"/>
      <c r="CC484" s="84"/>
      <c r="CD484" s="84"/>
      <c r="CE484" s="84"/>
      <c r="CF484" s="84"/>
      <c r="CG484" s="84"/>
      <c r="CH484" s="84"/>
      <c r="CI484" s="84"/>
      <c r="CJ484" s="84"/>
      <c r="CK484" s="84"/>
      <c r="CL484" s="84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220"/>
      <c r="CY484" s="220"/>
      <c r="CZ484" s="220"/>
      <c r="DA484" s="220"/>
      <c r="DB484" s="237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38"/>
      <c r="DW484" s="238"/>
      <c r="DX484" s="238"/>
      <c r="DY484" s="238"/>
      <c r="DZ484" s="238"/>
      <c r="EA484" s="238"/>
      <c r="EB484" s="238"/>
      <c r="EC484" s="238"/>
      <c r="ED484" s="3"/>
      <c r="EE484" s="3"/>
      <c r="EF484" s="3"/>
      <c r="EG484" s="3"/>
      <c r="EH484" s="3"/>
    </row>
    <row r="485" spans="1:138" s="82" customFormat="1" x14ac:dyDescent="0.2">
      <c r="A485" s="3"/>
      <c r="B485" s="167"/>
      <c r="C485" s="3"/>
      <c r="D485" s="3"/>
      <c r="E485" s="31"/>
      <c r="F485" s="133"/>
      <c r="G485" s="3"/>
      <c r="H485" s="31"/>
      <c r="I485" s="31"/>
      <c r="J485" s="3"/>
      <c r="K485" s="3"/>
      <c r="L485" s="3"/>
      <c r="M485" s="3"/>
      <c r="N485" s="3"/>
      <c r="O485" s="3"/>
      <c r="P485" s="3"/>
      <c r="Q485" s="3"/>
      <c r="R485" s="32"/>
      <c r="S485" s="32"/>
      <c r="T485" s="3"/>
      <c r="U485" s="33"/>
      <c r="V485" s="33"/>
      <c r="W485" s="3"/>
      <c r="X485" s="3"/>
      <c r="Y485" s="3"/>
      <c r="Z485" s="3"/>
      <c r="AA485" s="3"/>
      <c r="AB485" s="3"/>
      <c r="AC485" s="3"/>
      <c r="AD485" s="32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4"/>
      <c r="AT485" s="3"/>
      <c r="AU485" s="3"/>
      <c r="AV485" s="3"/>
      <c r="AW485" s="3"/>
      <c r="AX485" s="4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84"/>
      <c r="BZ485" s="84"/>
      <c r="CA485" s="84"/>
      <c r="CB485" s="84"/>
      <c r="CC485" s="84"/>
      <c r="CD485" s="84"/>
      <c r="CE485" s="84"/>
      <c r="CF485" s="84"/>
      <c r="CG485" s="84"/>
      <c r="CH485" s="84"/>
      <c r="CI485" s="84"/>
      <c r="CJ485" s="84"/>
      <c r="CK485" s="84"/>
      <c r="CL485" s="84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220"/>
      <c r="CY485" s="220"/>
      <c r="CZ485" s="220"/>
      <c r="DA485" s="220"/>
      <c r="DB485" s="237"/>
      <c r="DC485" s="238"/>
      <c r="DD485" s="238"/>
      <c r="DE485" s="238"/>
      <c r="DF485" s="238"/>
      <c r="DG485" s="238"/>
      <c r="DH485" s="238"/>
      <c r="DI485" s="238"/>
      <c r="DJ485" s="238"/>
      <c r="DK485" s="238"/>
      <c r="DL485" s="238"/>
      <c r="DM485" s="238"/>
      <c r="DN485" s="238"/>
      <c r="DO485" s="238"/>
      <c r="DP485" s="238"/>
      <c r="DQ485" s="238"/>
      <c r="DR485" s="238"/>
      <c r="DS485" s="238"/>
      <c r="DT485" s="238"/>
      <c r="DU485" s="238"/>
      <c r="DV485" s="238"/>
      <c r="DW485" s="238"/>
      <c r="DX485" s="238"/>
      <c r="DY485" s="238"/>
      <c r="DZ485" s="238"/>
      <c r="EA485" s="238"/>
      <c r="EB485" s="238"/>
      <c r="EC485" s="238"/>
      <c r="ED485" s="3"/>
      <c r="EE485" s="3"/>
      <c r="EF485" s="3"/>
      <c r="EG485" s="3"/>
      <c r="EH485" s="3"/>
    </row>
    <row r="486" spans="1:138" s="82" customFormat="1" x14ac:dyDescent="0.2">
      <c r="A486" s="3"/>
      <c r="B486" s="167"/>
      <c r="C486" s="3"/>
      <c r="D486" s="3"/>
      <c r="E486" s="31"/>
      <c r="F486" s="133"/>
      <c r="G486" s="3"/>
      <c r="H486" s="31"/>
      <c r="I486" s="31"/>
      <c r="J486" s="3"/>
      <c r="K486" s="3"/>
      <c r="L486" s="3"/>
      <c r="M486" s="3"/>
      <c r="N486" s="3"/>
      <c r="O486" s="3"/>
      <c r="P486" s="3"/>
      <c r="Q486" s="3"/>
      <c r="R486" s="32"/>
      <c r="S486" s="32"/>
      <c r="T486" s="3"/>
      <c r="U486" s="33"/>
      <c r="V486" s="33"/>
      <c r="W486" s="3"/>
      <c r="X486" s="3"/>
      <c r="Y486" s="3"/>
      <c r="Z486" s="3"/>
      <c r="AA486" s="3"/>
      <c r="AB486" s="3"/>
      <c r="AC486" s="3"/>
      <c r="AD486" s="32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4"/>
      <c r="AT486" s="3"/>
      <c r="AU486" s="3"/>
      <c r="AV486" s="3"/>
      <c r="AW486" s="3"/>
      <c r="AX486" s="4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84"/>
      <c r="BZ486" s="84"/>
      <c r="CA486" s="84"/>
      <c r="CB486" s="84"/>
      <c r="CC486" s="84"/>
      <c r="CD486" s="84"/>
      <c r="CE486" s="84"/>
      <c r="CF486" s="84"/>
      <c r="CG486" s="84"/>
      <c r="CH486" s="84"/>
      <c r="CI486" s="84"/>
      <c r="CJ486" s="84"/>
      <c r="CK486" s="84"/>
      <c r="CL486" s="84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220"/>
      <c r="CY486" s="220"/>
      <c r="CZ486" s="220"/>
      <c r="DA486" s="220"/>
      <c r="DB486" s="237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38"/>
      <c r="DW486" s="238"/>
      <c r="DX486" s="238"/>
      <c r="DY486" s="238"/>
      <c r="DZ486" s="238"/>
      <c r="EA486" s="238"/>
      <c r="EB486" s="238"/>
      <c r="EC486" s="238"/>
      <c r="ED486" s="3"/>
      <c r="EE486" s="3"/>
      <c r="EF486" s="3"/>
      <c r="EG486" s="3"/>
      <c r="EH486" s="3"/>
    </row>
    <row r="487" spans="1:138" s="82" customFormat="1" x14ac:dyDescent="0.2">
      <c r="A487" s="3"/>
      <c r="B487" s="167"/>
      <c r="C487" s="3"/>
      <c r="D487" s="3"/>
      <c r="E487" s="31"/>
      <c r="F487" s="133"/>
      <c r="G487" s="3"/>
      <c r="H487" s="31"/>
      <c r="I487" s="31"/>
      <c r="J487" s="3"/>
      <c r="K487" s="3"/>
      <c r="L487" s="3"/>
      <c r="M487" s="3"/>
      <c r="N487" s="3"/>
      <c r="O487" s="3"/>
      <c r="P487" s="3"/>
      <c r="Q487" s="3"/>
      <c r="R487" s="32"/>
      <c r="S487" s="32"/>
      <c r="T487" s="3"/>
      <c r="U487" s="33"/>
      <c r="V487" s="33"/>
      <c r="W487" s="3"/>
      <c r="X487" s="3"/>
      <c r="Y487" s="3"/>
      <c r="Z487" s="3"/>
      <c r="AA487" s="3"/>
      <c r="AB487" s="3"/>
      <c r="AC487" s="3"/>
      <c r="AD487" s="32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4"/>
      <c r="AT487" s="3"/>
      <c r="AU487" s="3"/>
      <c r="AV487" s="3"/>
      <c r="AW487" s="3"/>
      <c r="AX487" s="4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84"/>
      <c r="BZ487" s="84"/>
      <c r="CA487" s="84"/>
      <c r="CB487" s="84"/>
      <c r="CC487" s="84"/>
      <c r="CD487" s="84"/>
      <c r="CE487" s="84"/>
      <c r="CF487" s="84"/>
      <c r="CG487" s="84"/>
      <c r="CH487" s="84"/>
      <c r="CI487" s="84"/>
      <c r="CJ487" s="84"/>
      <c r="CK487" s="84"/>
      <c r="CL487" s="84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220"/>
      <c r="CY487" s="220"/>
      <c r="CZ487" s="220"/>
      <c r="DA487" s="220"/>
      <c r="DB487" s="237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38"/>
      <c r="DW487" s="238"/>
      <c r="DX487" s="238"/>
      <c r="DY487" s="238"/>
      <c r="DZ487" s="238"/>
      <c r="EA487" s="238"/>
      <c r="EB487" s="238"/>
      <c r="EC487" s="238"/>
      <c r="ED487" s="3"/>
      <c r="EE487" s="3"/>
      <c r="EF487" s="3"/>
      <c r="EG487" s="3"/>
      <c r="EH487" s="3"/>
    </row>
    <row r="488" spans="1:138" s="82" customFormat="1" x14ac:dyDescent="0.2">
      <c r="A488" s="3"/>
      <c r="B488" s="167"/>
      <c r="C488" s="3"/>
      <c r="D488" s="3"/>
      <c r="E488" s="31"/>
      <c r="F488" s="133"/>
      <c r="G488" s="3"/>
      <c r="H488" s="31"/>
      <c r="I488" s="31"/>
      <c r="J488" s="3"/>
      <c r="K488" s="3"/>
      <c r="L488" s="3"/>
      <c r="M488" s="3"/>
      <c r="N488" s="3"/>
      <c r="O488" s="3"/>
      <c r="P488" s="3"/>
      <c r="Q488" s="3"/>
      <c r="R488" s="32"/>
      <c r="S488" s="32"/>
      <c r="T488" s="3"/>
      <c r="U488" s="33"/>
      <c r="V488" s="33"/>
      <c r="W488" s="3"/>
      <c r="X488" s="3"/>
      <c r="Y488" s="3"/>
      <c r="Z488" s="3"/>
      <c r="AA488" s="3"/>
      <c r="AB488" s="3"/>
      <c r="AC488" s="3"/>
      <c r="AD488" s="32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4"/>
      <c r="AT488" s="3"/>
      <c r="AU488" s="3"/>
      <c r="AV488" s="3"/>
      <c r="AW488" s="3"/>
      <c r="AX488" s="4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84"/>
      <c r="BZ488" s="84"/>
      <c r="CA488" s="84"/>
      <c r="CB488" s="84"/>
      <c r="CC488" s="84"/>
      <c r="CD488" s="84"/>
      <c r="CE488" s="84"/>
      <c r="CF488" s="84"/>
      <c r="CG488" s="84"/>
      <c r="CH488" s="84"/>
      <c r="CI488" s="84"/>
      <c r="CJ488" s="84"/>
      <c r="CK488" s="84"/>
      <c r="CL488" s="84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220"/>
      <c r="CY488" s="220"/>
      <c r="CZ488" s="220"/>
      <c r="DA488" s="220"/>
      <c r="DB488" s="237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38"/>
      <c r="DW488" s="238"/>
      <c r="DX488" s="238"/>
      <c r="DY488" s="238"/>
      <c r="DZ488" s="238"/>
      <c r="EA488" s="238"/>
      <c r="EB488" s="238"/>
      <c r="EC488" s="238"/>
      <c r="ED488" s="3"/>
      <c r="EE488" s="3"/>
      <c r="EF488" s="3"/>
      <c r="EG488" s="3"/>
      <c r="EH488" s="3"/>
    </row>
    <row r="489" spans="1:138" s="82" customFormat="1" x14ac:dyDescent="0.2">
      <c r="A489" s="3"/>
      <c r="B489" s="167"/>
      <c r="C489" s="3"/>
      <c r="D489" s="3"/>
      <c r="E489" s="31"/>
      <c r="F489" s="133"/>
      <c r="G489" s="3"/>
      <c r="H489" s="31"/>
      <c r="I489" s="31"/>
      <c r="J489" s="3"/>
      <c r="K489" s="3"/>
      <c r="L489" s="3"/>
      <c r="M489" s="3"/>
      <c r="N489" s="3"/>
      <c r="O489" s="3"/>
      <c r="P489" s="3"/>
      <c r="Q489" s="3"/>
      <c r="R489" s="32"/>
      <c r="S489" s="32"/>
      <c r="T489" s="3"/>
      <c r="U489" s="33"/>
      <c r="V489" s="33"/>
      <c r="W489" s="3"/>
      <c r="X489" s="3"/>
      <c r="Y489" s="3"/>
      <c r="Z489" s="3"/>
      <c r="AA489" s="3"/>
      <c r="AB489" s="3"/>
      <c r="AC489" s="3"/>
      <c r="AD489" s="32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4"/>
      <c r="AT489" s="3"/>
      <c r="AU489" s="3"/>
      <c r="AV489" s="3"/>
      <c r="AW489" s="3"/>
      <c r="AX489" s="4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84"/>
      <c r="BZ489" s="84"/>
      <c r="CA489" s="84"/>
      <c r="CB489" s="84"/>
      <c r="CC489" s="84"/>
      <c r="CD489" s="84"/>
      <c r="CE489" s="84"/>
      <c r="CF489" s="84"/>
      <c r="CG489" s="84"/>
      <c r="CH489" s="84"/>
      <c r="CI489" s="84"/>
      <c r="CJ489" s="84"/>
      <c r="CK489" s="84"/>
      <c r="CL489" s="84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220"/>
      <c r="CY489" s="220"/>
      <c r="CZ489" s="220"/>
      <c r="DA489" s="220"/>
      <c r="DB489" s="237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38"/>
      <c r="DW489" s="238"/>
      <c r="DX489" s="238"/>
      <c r="DY489" s="238"/>
      <c r="DZ489" s="238"/>
      <c r="EA489" s="238"/>
      <c r="EB489" s="238"/>
      <c r="EC489" s="238"/>
      <c r="ED489" s="3"/>
      <c r="EE489" s="3"/>
      <c r="EF489" s="3"/>
      <c r="EG489" s="3"/>
      <c r="EH489" s="3"/>
    </row>
    <row r="490" spans="1:138" s="82" customFormat="1" x14ac:dyDescent="0.2">
      <c r="A490" s="3"/>
      <c r="B490" s="167"/>
      <c r="C490" s="3"/>
      <c r="D490" s="3"/>
      <c r="E490" s="31"/>
      <c r="F490" s="133"/>
      <c r="G490" s="3"/>
      <c r="H490" s="31"/>
      <c r="I490" s="31"/>
      <c r="J490" s="3"/>
      <c r="K490" s="3"/>
      <c r="L490" s="3"/>
      <c r="M490" s="3"/>
      <c r="N490" s="3"/>
      <c r="O490" s="3"/>
      <c r="P490" s="3"/>
      <c r="Q490" s="3"/>
      <c r="R490" s="32"/>
      <c r="S490" s="32"/>
      <c r="T490" s="3"/>
      <c r="U490" s="33"/>
      <c r="V490" s="33"/>
      <c r="W490" s="3"/>
      <c r="X490" s="3"/>
      <c r="Y490" s="3"/>
      <c r="Z490" s="3"/>
      <c r="AA490" s="3"/>
      <c r="AB490" s="3"/>
      <c r="AC490" s="3"/>
      <c r="AD490" s="32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4"/>
      <c r="AT490" s="3"/>
      <c r="AU490" s="3"/>
      <c r="AV490" s="3"/>
      <c r="AW490" s="3"/>
      <c r="AX490" s="4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84"/>
      <c r="BZ490" s="84"/>
      <c r="CA490" s="84"/>
      <c r="CB490" s="84"/>
      <c r="CC490" s="84"/>
      <c r="CD490" s="84"/>
      <c r="CE490" s="84"/>
      <c r="CF490" s="84"/>
      <c r="CG490" s="84"/>
      <c r="CH490" s="84"/>
      <c r="CI490" s="84"/>
      <c r="CJ490" s="84"/>
      <c r="CK490" s="84"/>
      <c r="CL490" s="84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220"/>
      <c r="CY490" s="220"/>
      <c r="CZ490" s="220"/>
      <c r="DA490" s="220"/>
      <c r="DB490" s="237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38"/>
      <c r="DW490" s="238"/>
      <c r="DX490" s="238"/>
      <c r="DY490" s="238"/>
      <c r="DZ490" s="238"/>
      <c r="EA490" s="238"/>
      <c r="EB490" s="238"/>
      <c r="EC490" s="238"/>
      <c r="ED490" s="3"/>
      <c r="EE490" s="3"/>
      <c r="EF490" s="3"/>
      <c r="EG490" s="3"/>
      <c r="EH490" s="3"/>
    </row>
    <row r="491" spans="1:138" s="82" customFormat="1" x14ac:dyDescent="0.2">
      <c r="A491" s="3"/>
      <c r="B491" s="167"/>
      <c r="C491" s="3"/>
      <c r="D491" s="3"/>
      <c r="E491" s="31"/>
      <c r="F491" s="133"/>
      <c r="G491" s="3"/>
      <c r="H491" s="31"/>
      <c r="I491" s="31"/>
      <c r="J491" s="3"/>
      <c r="K491" s="3"/>
      <c r="L491" s="3"/>
      <c r="M491" s="3"/>
      <c r="N491" s="3"/>
      <c r="O491" s="3"/>
      <c r="P491" s="3"/>
      <c r="Q491" s="3"/>
      <c r="R491" s="32"/>
      <c r="S491" s="32"/>
      <c r="T491" s="3"/>
      <c r="U491" s="33"/>
      <c r="V491" s="33"/>
      <c r="W491" s="3"/>
      <c r="X491" s="3"/>
      <c r="Y491" s="3"/>
      <c r="Z491" s="3"/>
      <c r="AA491" s="3"/>
      <c r="AB491" s="3"/>
      <c r="AC491" s="3"/>
      <c r="AD491" s="32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4"/>
      <c r="AT491" s="3"/>
      <c r="AU491" s="3"/>
      <c r="AV491" s="3"/>
      <c r="AW491" s="3"/>
      <c r="AX491" s="4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84"/>
      <c r="BZ491" s="84"/>
      <c r="CA491" s="84"/>
      <c r="CB491" s="84"/>
      <c r="CC491" s="84"/>
      <c r="CD491" s="84"/>
      <c r="CE491" s="84"/>
      <c r="CF491" s="84"/>
      <c r="CG491" s="84"/>
      <c r="CH491" s="84"/>
      <c r="CI491" s="84"/>
      <c r="CJ491" s="84"/>
      <c r="CK491" s="84"/>
      <c r="CL491" s="84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220"/>
      <c r="CY491" s="220"/>
      <c r="CZ491" s="220"/>
      <c r="DA491" s="220"/>
      <c r="DB491" s="237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38"/>
      <c r="DW491" s="238"/>
      <c r="DX491" s="238"/>
      <c r="DY491" s="238"/>
      <c r="DZ491" s="238"/>
      <c r="EA491" s="238"/>
      <c r="EB491" s="238"/>
      <c r="EC491" s="238"/>
      <c r="ED491" s="3"/>
      <c r="EE491" s="3"/>
      <c r="EF491" s="3"/>
      <c r="EG491" s="3"/>
      <c r="EH491" s="3"/>
    </row>
    <row r="492" spans="1:138" s="82" customFormat="1" x14ac:dyDescent="0.2">
      <c r="A492" s="3"/>
      <c r="B492" s="167"/>
      <c r="C492" s="3"/>
      <c r="D492" s="3"/>
      <c r="E492" s="31"/>
      <c r="F492" s="133"/>
      <c r="G492" s="3"/>
      <c r="H492" s="31"/>
      <c r="I492" s="31"/>
      <c r="J492" s="3"/>
      <c r="K492" s="3"/>
      <c r="L492" s="3"/>
      <c r="M492" s="3"/>
      <c r="N492" s="3"/>
      <c r="O492" s="3"/>
      <c r="P492" s="3"/>
      <c r="Q492" s="3"/>
      <c r="R492" s="32"/>
      <c r="S492" s="32"/>
      <c r="T492" s="3"/>
      <c r="U492" s="33"/>
      <c r="V492" s="33"/>
      <c r="W492" s="3"/>
      <c r="X492" s="3"/>
      <c r="Y492" s="3"/>
      <c r="Z492" s="3"/>
      <c r="AA492" s="3"/>
      <c r="AB492" s="3"/>
      <c r="AC492" s="3"/>
      <c r="AD492" s="32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4"/>
      <c r="AT492" s="3"/>
      <c r="AU492" s="3"/>
      <c r="AV492" s="3"/>
      <c r="AW492" s="3"/>
      <c r="AX492" s="4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220"/>
      <c r="CY492" s="220"/>
      <c r="CZ492" s="220"/>
      <c r="DA492" s="220"/>
      <c r="DB492" s="237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38"/>
      <c r="DW492" s="238"/>
      <c r="DX492" s="238"/>
      <c r="DY492" s="238"/>
      <c r="DZ492" s="238"/>
      <c r="EA492" s="238"/>
      <c r="EB492" s="238"/>
      <c r="EC492" s="238"/>
      <c r="ED492" s="3"/>
      <c r="EE492" s="3"/>
      <c r="EF492" s="3"/>
      <c r="EG492" s="3"/>
      <c r="EH492" s="3"/>
    </row>
    <row r="493" spans="1:138" s="82" customFormat="1" x14ac:dyDescent="0.2">
      <c r="A493" s="3"/>
      <c r="B493" s="167"/>
      <c r="C493" s="3"/>
      <c r="D493" s="3"/>
      <c r="E493" s="31"/>
      <c r="F493" s="133"/>
      <c r="G493" s="3"/>
      <c r="H493" s="31"/>
      <c r="I493" s="31"/>
      <c r="J493" s="3"/>
      <c r="K493" s="3"/>
      <c r="L493" s="3"/>
      <c r="M493" s="3"/>
      <c r="N493" s="3"/>
      <c r="O493" s="3"/>
      <c r="P493" s="3"/>
      <c r="Q493" s="3"/>
      <c r="R493" s="32"/>
      <c r="S493" s="32"/>
      <c r="T493" s="3"/>
      <c r="U493" s="33"/>
      <c r="V493" s="33"/>
      <c r="W493" s="3"/>
      <c r="X493" s="3"/>
      <c r="Y493" s="3"/>
      <c r="Z493" s="3"/>
      <c r="AA493" s="3"/>
      <c r="AB493" s="3"/>
      <c r="AC493" s="3"/>
      <c r="AD493" s="32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4"/>
      <c r="AT493" s="3"/>
      <c r="AU493" s="3"/>
      <c r="AV493" s="3"/>
      <c r="AW493" s="3"/>
      <c r="AX493" s="4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84"/>
      <c r="BZ493" s="84"/>
      <c r="CA493" s="84"/>
      <c r="CB493" s="84"/>
      <c r="CC493" s="84"/>
      <c r="CD493" s="84"/>
      <c r="CE493" s="84"/>
      <c r="CF493" s="84"/>
      <c r="CG493" s="84"/>
      <c r="CH493" s="84"/>
      <c r="CI493" s="84"/>
      <c r="CJ493" s="84"/>
      <c r="CK493" s="84"/>
      <c r="CL493" s="84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220"/>
      <c r="CY493" s="220"/>
      <c r="CZ493" s="220"/>
      <c r="DA493" s="220"/>
      <c r="DB493" s="237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38"/>
      <c r="DW493" s="238"/>
      <c r="DX493" s="238"/>
      <c r="DY493" s="238"/>
      <c r="DZ493" s="238"/>
      <c r="EA493" s="238"/>
      <c r="EB493" s="238"/>
      <c r="EC493" s="238"/>
      <c r="ED493" s="3"/>
      <c r="EE493" s="3"/>
      <c r="EF493" s="3"/>
      <c r="EG493" s="3"/>
      <c r="EH493" s="3"/>
    </row>
    <row r="494" spans="1:138" s="82" customFormat="1" x14ac:dyDescent="0.2">
      <c r="A494" s="3"/>
      <c r="B494" s="167"/>
      <c r="C494" s="3"/>
      <c r="D494" s="3"/>
      <c r="E494" s="31"/>
      <c r="F494" s="133"/>
      <c r="G494" s="3"/>
      <c r="H494" s="31"/>
      <c r="I494" s="31"/>
      <c r="J494" s="3"/>
      <c r="K494" s="3"/>
      <c r="L494" s="3"/>
      <c r="M494" s="3"/>
      <c r="N494" s="3"/>
      <c r="O494" s="3"/>
      <c r="P494" s="3"/>
      <c r="Q494" s="3"/>
      <c r="R494" s="32"/>
      <c r="S494" s="32"/>
      <c r="T494" s="3"/>
      <c r="U494" s="33"/>
      <c r="V494" s="33"/>
      <c r="W494" s="3"/>
      <c r="X494" s="3"/>
      <c r="Y494" s="3"/>
      <c r="Z494" s="3"/>
      <c r="AA494" s="3"/>
      <c r="AB494" s="3"/>
      <c r="AC494" s="3"/>
      <c r="AD494" s="32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4"/>
      <c r="AT494" s="3"/>
      <c r="AU494" s="3"/>
      <c r="AV494" s="3"/>
      <c r="AW494" s="3"/>
      <c r="AX494" s="4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84"/>
      <c r="BZ494" s="84"/>
      <c r="CA494" s="84"/>
      <c r="CB494" s="84"/>
      <c r="CC494" s="84"/>
      <c r="CD494" s="84"/>
      <c r="CE494" s="84"/>
      <c r="CF494" s="84"/>
      <c r="CG494" s="84"/>
      <c r="CH494" s="84"/>
      <c r="CI494" s="84"/>
      <c r="CJ494" s="84"/>
      <c r="CK494" s="84"/>
      <c r="CL494" s="84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220"/>
      <c r="CY494" s="220"/>
      <c r="CZ494" s="220"/>
      <c r="DA494" s="220"/>
      <c r="DB494" s="237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38"/>
      <c r="DW494" s="238"/>
      <c r="DX494" s="238"/>
      <c r="DY494" s="238"/>
      <c r="DZ494" s="238"/>
      <c r="EA494" s="238"/>
      <c r="EB494" s="238"/>
      <c r="EC494" s="238"/>
      <c r="ED494" s="3"/>
      <c r="EE494" s="3"/>
      <c r="EF494" s="3"/>
      <c r="EG494" s="3"/>
      <c r="EH494" s="3"/>
    </row>
    <row r="495" spans="1:138" s="82" customFormat="1" x14ac:dyDescent="0.2">
      <c r="A495" s="3"/>
      <c r="B495" s="167"/>
      <c r="C495" s="3"/>
      <c r="D495" s="3"/>
      <c r="E495" s="31"/>
      <c r="F495" s="133"/>
      <c r="G495" s="3"/>
      <c r="H495" s="31"/>
      <c r="I495" s="31"/>
      <c r="J495" s="3"/>
      <c r="K495" s="3"/>
      <c r="L495" s="3"/>
      <c r="M495" s="3"/>
      <c r="N495" s="3"/>
      <c r="O495" s="3"/>
      <c r="P495" s="3"/>
      <c r="Q495" s="3"/>
      <c r="R495" s="32"/>
      <c r="S495" s="32"/>
      <c r="T495" s="3"/>
      <c r="U495" s="33"/>
      <c r="V495" s="33"/>
      <c r="W495" s="3"/>
      <c r="X495" s="3"/>
      <c r="Y495" s="3"/>
      <c r="Z495" s="3"/>
      <c r="AA495" s="3"/>
      <c r="AB495" s="3"/>
      <c r="AC495" s="3"/>
      <c r="AD495" s="32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4"/>
      <c r="AT495" s="3"/>
      <c r="AU495" s="3"/>
      <c r="AV495" s="3"/>
      <c r="AW495" s="3"/>
      <c r="AX495" s="4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84"/>
      <c r="BZ495" s="84"/>
      <c r="CA495" s="84"/>
      <c r="CB495" s="84"/>
      <c r="CC495" s="84"/>
      <c r="CD495" s="84"/>
      <c r="CE495" s="84"/>
      <c r="CF495" s="84"/>
      <c r="CG495" s="84"/>
      <c r="CH495" s="84"/>
      <c r="CI495" s="84"/>
      <c r="CJ495" s="84"/>
      <c r="CK495" s="84"/>
      <c r="CL495" s="84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220"/>
      <c r="CY495" s="220"/>
      <c r="CZ495" s="220"/>
      <c r="DA495" s="220"/>
      <c r="DB495" s="237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38"/>
      <c r="DW495" s="238"/>
      <c r="DX495" s="238"/>
      <c r="DY495" s="238"/>
      <c r="DZ495" s="238"/>
      <c r="EA495" s="238"/>
      <c r="EB495" s="238"/>
      <c r="EC495" s="238"/>
      <c r="ED495" s="3"/>
      <c r="EE495" s="3"/>
      <c r="EF495" s="3"/>
      <c r="EG495" s="3"/>
      <c r="EH495" s="3"/>
    </row>
    <row r="496" spans="1:138" s="82" customFormat="1" x14ac:dyDescent="0.2">
      <c r="A496" s="3"/>
      <c r="B496" s="167"/>
      <c r="C496" s="3"/>
      <c r="D496" s="3"/>
      <c r="E496" s="31"/>
      <c r="F496" s="133"/>
      <c r="G496" s="3"/>
      <c r="H496" s="31"/>
      <c r="I496" s="31"/>
      <c r="J496" s="3"/>
      <c r="K496" s="3"/>
      <c r="L496" s="3"/>
      <c r="M496" s="3"/>
      <c r="N496" s="3"/>
      <c r="O496" s="3"/>
      <c r="P496" s="3"/>
      <c r="Q496" s="3"/>
      <c r="R496" s="32"/>
      <c r="S496" s="32"/>
      <c r="T496" s="3"/>
      <c r="U496" s="33"/>
      <c r="V496" s="33"/>
      <c r="W496" s="3"/>
      <c r="X496" s="3"/>
      <c r="Y496" s="3"/>
      <c r="Z496" s="3"/>
      <c r="AA496" s="3"/>
      <c r="AB496" s="3"/>
      <c r="AC496" s="3"/>
      <c r="AD496" s="32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4"/>
      <c r="AT496" s="3"/>
      <c r="AU496" s="3"/>
      <c r="AV496" s="3"/>
      <c r="AW496" s="3"/>
      <c r="AX496" s="4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84"/>
      <c r="BZ496" s="84"/>
      <c r="CA496" s="84"/>
      <c r="CB496" s="84"/>
      <c r="CC496" s="84"/>
      <c r="CD496" s="84"/>
      <c r="CE496" s="84"/>
      <c r="CF496" s="84"/>
      <c r="CG496" s="84"/>
      <c r="CH496" s="84"/>
      <c r="CI496" s="84"/>
      <c r="CJ496" s="84"/>
      <c r="CK496" s="84"/>
      <c r="CL496" s="84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220"/>
      <c r="CY496" s="220"/>
      <c r="CZ496" s="220"/>
      <c r="DA496" s="220"/>
      <c r="DB496" s="237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38"/>
      <c r="DW496" s="238"/>
      <c r="DX496" s="238"/>
      <c r="DY496" s="238"/>
      <c r="DZ496" s="238"/>
      <c r="EA496" s="238"/>
      <c r="EB496" s="238"/>
      <c r="EC496" s="238"/>
      <c r="ED496" s="3"/>
      <c r="EE496" s="3"/>
      <c r="EF496" s="3"/>
      <c r="EG496" s="3"/>
      <c r="EH496" s="3"/>
    </row>
    <row r="497" spans="1:138" s="82" customFormat="1" x14ac:dyDescent="0.2">
      <c r="A497" s="3"/>
      <c r="B497" s="167"/>
      <c r="C497" s="3"/>
      <c r="D497" s="3"/>
      <c r="E497" s="31"/>
      <c r="F497" s="133"/>
      <c r="G497" s="3"/>
      <c r="H497" s="31"/>
      <c r="I497" s="31"/>
      <c r="J497" s="3"/>
      <c r="K497" s="3"/>
      <c r="L497" s="3"/>
      <c r="M497" s="3"/>
      <c r="N497" s="3"/>
      <c r="O497" s="3"/>
      <c r="P497" s="3"/>
      <c r="Q497" s="3"/>
      <c r="R497" s="32"/>
      <c r="S497" s="32"/>
      <c r="T497" s="3"/>
      <c r="U497" s="33"/>
      <c r="V497" s="33"/>
      <c r="W497" s="3"/>
      <c r="X497" s="3"/>
      <c r="Y497" s="3"/>
      <c r="Z497" s="3"/>
      <c r="AA497" s="3"/>
      <c r="AB497" s="3"/>
      <c r="AC497" s="3"/>
      <c r="AD497" s="32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4"/>
      <c r="AT497" s="3"/>
      <c r="AU497" s="3"/>
      <c r="AV497" s="3"/>
      <c r="AW497" s="3"/>
      <c r="AX497" s="4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84"/>
      <c r="BZ497" s="84"/>
      <c r="CA497" s="84"/>
      <c r="CB497" s="84"/>
      <c r="CC497" s="84"/>
      <c r="CD497" s="84"/>
      <c r="CE497" s="84"/>
      <c r="CF497" s="84"/>
      <c r="CG497" s="84"/>
      <c r="CH497" s="84"/>
      <c r="CI497" s="84"/>
      <c r="CJ497" s="84"/>
      <c r="CK497" s="84"/>
      <c r="CL497" s="84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220"/>
      <c r="CY497" s="220"/>
      <c r="CZ497" s="220"/>
      <c r="DA497" s="220"/>
      <c r="DB497" s="237"/>
      <c r="DC497" s="238"/>
      <c r="DD497" s="238"/>
      <c r="DE497" s="238"/>
      <c r="DF497" s="238"/>
      <c r="DG497" s="238"/>
      <c r="DH497" s="238"/>
      <c r="DI497" s="238"/>
      <c r="DJ497" s="238"/>
      <c r="DK497" s="238"/>
      <c r="DL497" s="238"/>
      <c r="DM497" s="238"/>
      <c r="DN497" s="238"/>
      <c r="DO497" s="238"/>
      <c r="DP497" s="238"/>
      <c r="DQ497" s="238"/>
      <c r="DR497" s="238"/>
      <c r="DS497" s="238"/>
      <c r="DT497" s="238"/>
      <c r="DU497" s="238"/>
      <c r="DV497" s="238"/>
      <c r="DW497" s="238"/>
      <c r="DX497" s="238"/>
      <c r="DY497" s="238"/>
      <c r="DZ497" s="238"/>
      <c r="EA497" s="238"/>
      <c r="EB497" s="238"/>
      <c r="EC497" s="238"/>
      <c r="ED497" s="3"/>
      <c r="EE497" s="3"/>
      <c r="EF497" s="3"/>
      <c r="EG497" s="3"/>
      <c r="EH497" s="3"/>
    </row>
    <row r="498" spans="1:138" s="82" customFormat="1" x14ac:dyDescent="0.2">
      <c r="A498" s="3"/>
      <c r="B498" s="167"/>
      <c r="C498" s="3"/>
      <c r="D498" s="3"/>
      <c r="E498" s="31"/>
      <c r="F498" s="133"/>
      <c r="G498" s="3"/>
      <c r="H498" s="31"/>
      <c r="I498" s="31"/>
      <c r="J498" s="3"/>
      <c r="K498" s="3"/>
      <c r="L498" s="3"/>
      <c r="M498" s="3"/>
      <c r="N498" s="3"/>
      <c r="O498" s="3"/>
      <c r="P498" s="3"/>
      <c r="Q498" s="3"/>
      <c r="R498" s="32"/>
      <c r="S498" s="32"/>
      <c r="T498" s="3"/>
      <c r="U498" s="33"/>
      <c r="V498" s="33"/>
      <c r="W498" s="3"/>
      <c r="X498" s="3"/>
      <c r="Y498" s="3"/>
      <c r="Z498" s="3"/>
      <c r="AA498" s="3"/>
      <c r="AB498" s="3"/>
      <c r="AC498" s="3"/>
      <c r="AD498" s="32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4"/>
      <c r="AT498" s="3"/>
      <c r="AU498" s="3"/>
      <c r="AV498" s="3"/>
      <c r="AW498" s="3"/>
      <c r="AX498" s="4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220"/>
      <c r="CY498" s="220"/>
      <c r="CZ498" s="220"/>
      <c r="DA498" s="220"/>
      <c r="DB498" s="237"/>
      <c r="DC498" s="238"/>
      <c r="DD498" s="238"/>
      <c r="DE498" s="238"/>
      <c r="DF498" s="238"/>
      <c r="DG498" s="238"/>
      <c r="DH498" s="238"/>
      <c r="DI498" s="238"/>
      <c r="DJ498" s="238"/>
      <c r="DK498" s="238"/>
      <c r="DL498" s="238"/>
      <c r="DM498" s="238"/>
      <c r="DN498" s="238"/>
      <c r="DO498" s="238"/>
      <c r="DP498" s="238"/>
      <c r="DQ498" s="238"/>
      <c r="DR498" s="238"/>
      <c r="DS498" s="238"/>
      <c r="DT498" s="238"/>
      <c r="DU498" s="238"/>
      <c r="DV498" s="238"/>
      <c r="DW498" s="238"/>
      <c r="DX498" s="238"/>
      <c r="DY498" s="238"/>
      <c r="DZ498" s="238"/>
      <c r="EA498" s="238"/>
      <c r="EB498" s="238"/>
      <c r="EC498" s="238"/>
      <c r="ED498" s="3"/>
      <c r="EE498" s="3"/>
      <c r="EF498" s="3"/>
      <c r="EG498" s="3"/>
      <c r="EH498" s="3"/>
    </row>
    <row r="499" spans="1:138" s="82" customFormat="1" x14ac:dyDescent="0.2">
      <c r="A499" s="3"/>
      <c r="B499" s="167"/>
      <c r="C499" s="3"/>
      <c r="D499" s="3"/>
      <c r="E499" s="31"/>
      <c r="F499" s="133"/>
      <c r="G499" s="3"/>
      <c r="H499" s="31"/>
      <c r="I499" s="31"/>
      <c r="J499" s="3"/>
      <c r="K499" s="3"/>
      <c r="L499" s="3"/>
      <c r="M499" s="3"/>
      <c r="N499" s="3"/>
      <c r="O499" s="3"/>
      <c r="P499" s="3"/>
      <c r="Q499" s="3"/>
      <c r="R499" s="32"/>
      <c r="S499" s="32"/>
      <c r="T499" s="3"/>
      <c r="U499" s="33"/>
      <c r="V499" s="33"/>
      <c r="W499" s="3"/>
      <c r="X499" s="3"/>
      <c r="Y499" s="3"/>
      <c r="Z499" s="3"/>
      <c r="AA499" s="3"/>
      <c r="AB499" s="3"/>
      <c r="AC499" s="3"/>
      <c r="AD499" s="32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4"/>
      <c r="AT499" s="3"/>
      <c r="AU499" s="3"/>
      <c r="AV499" s="3"/>
      <c r="AW499" s="3"/>
      <c r="AX499" s="4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84"/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220"/>
      <c r="CY499" s="220"/>
      <c r="CZ499" s="220"/>
      <c r="DA499" s="220"/>
      <c r="DB499" s="237"/>
      <c r="DC499" s="238"/>
      <c r="DD499" s="238"/>
      <c r="DE499" s="238"/>
      <c r="DF499" s="238"/>
      <c r="DG499" s="238"/>
      <c r="DH499" s="238"/>
      <c r="DI499" s="238"/>
      <c r="DJ499" s="238"/>
      <c r="DK499" s="238"/>
      <c r="DL499" s="238"/>
      <c r="DM499" s="238"/>
      <c r="DN499" s="238"/>
      <c r="DO499" s="238"/>
      <c r="DP499" s="238"/>
      <c r="DQ499" s="238"/>
      <c r="DR499" s="238"/>
      <c r="DS499" s="238"/>
      <c r="DT499" s="238"/>
      <c r="DU499" s="238"/>
      <c r="DV499" s="238"/>
      <c r="DW499" s="238"/>
      <c r="DX499" s="238"/>
      <c r="DY499" s="238"/>
      <c r="DZ499" s="238"/>
      <c r="EA499" s="238"/>
      <c r="EB499" s="238"/>
      <c r="EC499" s="238"/>
      <c r="ED499" s="3"/>
      <c r="EE499" s="3"/>
      <c r="EF499" s="3"/>
      <c r="EG499" s="3"/>
      <c r="EH499" s="3"/>
    </row>
    <row r="500" spans="1:138" s="82" customFormat="1" x14ac:dyDescent="0.2">
      <c r="A500" s="3"/>
      <c r="B500" s="167"/>
      <c r="C500" s="3"/>
      <c r="D500" s="3"/>
      <c r="E500" s="31"/>
      <c r="F500" s="133"/>
      <c r="G500" s="3"/>
      <c r="H500" s="31"/>
      <c r="I500" s="31"/>
      <c r="J500" s="3"/>
      <c r="K500" s="3"/>
      <c r="L500" s="3"/>
      <c r="M500" s="3"/>
      <c r="N500" s="3"/>
      <c r="O500" s="3"/>
      <c r="P500" s="3"/>
      <c r="Q500" s="3"/>
      <c r="R500" s="32"/>
      <c r="S500" s="32"/>
      <c r="T500" s="3"/>
      <c r="U500" s="33"/>
      <c r="V500" s="33"/>
      <c r="W500" s="3"/>
      <c r="X500" s="3"/>
      <c r="Y500" s="3"/>
      <c r="Z500" s="3"/>
      <c r="AA500" s="3"/>
      <c r="AB500" s="3"/>
      <c r="AC500" s="3"/>
      <c r="AD500" s="32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4"/>
      <c r="AT500" s="3"/>
      <c r="AU500" s="3"/>
      <c r="AV500" s="3"/>
      <c r="AW500" s="3"/>
      <c r="AX500" s="4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220"/>
      <c r="CY500" s="220"/>
      <c r="CZ500" s="220"/>
      <c r="DA500" s="220"/>
      <c r="DB500" s="237"/>
      <c r="DC500" s="238"/>
      <c r="DD500" s="238"/>
      <c r="DE500" s="238"/>
      <c r="DF500" s="238"/>
      <c r="DG500" s="238"/>
      <c r="DH500" s="238"/>
      <c r="DI500" s="238"/>
      <c r="DJ500" s="238"/>
      <c r="DK500" s="238"/>
      <c r="DL500" s="238"/>
      <c r="DM500" s="238"/>
      <c r="DN500" s="238"/>
      <c r="DO500" s="238"/>
      <c r="DP500" s="238"/>
      <c r="DQ500" s="238"/>
      <c r="DR500" s="238"/>
      <c r="DS500" s="238"/>
      <c r="DT500" s="238"/>
      <c r="DU500" s="238"/>
      <c r="DV500" s="238"/>
      <c r="DW500" s="238"/>
      <c r="DX500" s="238"/>
      <c r="DY500" s="238"/>
      <c r="DZ500" s="238"/>
      <c r="EA500" s="238"/>
      <c r="EB500" s="238"/>
      <c r="EC500" s="238"/>
      <c r="ED500" s="3"/>
      <c r="EE500" s="3"/>
      <c r="EF500" s="3"/>
      <c r="EG500" s="3"/>
      <c r="EH500" s="3"/>
    </row>
    <row r="501" spans="1:138" s="82" customFormat="1" x14ac:dyDescent="0.2">
      <c r="A501" s="3"/>
      <c r="B501" s="167"/>
      <c r="C501" s="3"/>
      <c r="D501" s="3"/>
      <c r="E501" s="31"/>
      <c r="F501" s="133"/>
      <c r="G501" s="3"/>
      <c r="H501" s="31"/>
      <c r="I501" s="31"/>
      <c r="J501" s="3"/>
      <c r="K501" s="3"/>
      <c r="L501" s="3"/>
      <c r="M501" s="3"/>
      <c r="N501" s="3"/>
      <c r="O501" s="3"/>
      <c r="P501" s="3"/>
      <c r="Q501" s="3"/>
      <c r="R501" s="32"/>
      <c r="S501" s="32"/>
      <c r="T501" s="3"/>
      <c r="U501" s="33"/>
      <c r="V501" s="33"/>
      <c r="W501" s="3"/>
      <c r="X501" s="3"/>
      <c r="Y501" s="3"/>
      <c r="Z501" s="3"/>
      <c r="AA501" s="3"/>
      <c r="AB501" s="3"/>
      <c r="AC501" s="3"/>
      <c r="AD501" s="32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4"/>
      <c r="AT501" s="3"/>
      <c r="AU501" s="3"/>
      <c r="AV501" s="3"/>
      <c r="AW501" s="3"/>
      <c r="AX501" s="4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84"/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220"/>
      <c r="CY501" s="220"/>
      <c r="CZ501" s="220"/>
      <c r="DA501" s="220"/>
      <c r="DB501" s="237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3"/>
      <c r="EE501" s="3"/>
      <c r="EF501" s="3"/>
      <c r="EG501" s="3"/>
      <c r="EH501" s="3"/>
    </row>
    <row r="502" spans="1:138" s="82" customFormat="1" x14ac:dyDescent="0.2">
      <c r="A502" s="3"/>
      <c r="B502" s="167"/>
      <c r="C502" s="3"/>
      <c r="D502" s="3"/>
      <c r="E502" s="31"/>
      <c r="F502" s="133"/>
      <c r="G502" s="3"/>
      <c r="H502" s="31"/>
      <c r="I502" s="31"/>
      <c r="J502" s="3"/>
      <c r="K502" s="3"/>
      <c r="L502" s="3"/>
      <c r="M502" s="3"/>
      <c r="N502" s="3"/>
      <c r="O502" s="3"/>
      <c r="P502" s="3"/>
      <c r="Q502" s="3"/>
      <c r="R502" s="32"/>
      <c r="S502" s="32"/>
      <c r="T502" s="3"/>
      <c r="U502" s="33"/>
      <c r="V502" s="33"/>
      <c r="W502" s="3"/>
      <c r="X502" s="3"/>
      <c r="Y502" s="3"/>
      <c r="Z502" s="3"/>
      <c r="AA502" s="3"/>
      <c r="AB502" s="3"/>
      <c r="AC502" s="3"/>
      <c r="AD502" s="32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4"/>
      <c r="AT502" s="3"/>
      <c r="AU502" s="3"/>
      <c r="AV502" s="3"/>
      <c r="AW502" s="3"/>
      <c r="AX502" s="4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220"/>
      <c r="CY502" s="220"/>
      <c r="CZ502" s="220"/>
      <c r="DA502" s="220"/>
      <c r="DB502" s="237"/>
      <c r="DC502" s="238"/>
      <c r="DD502" s="238"/>
      <c r="DE502" s="238"/>
      <c r="DF502" s="238"/>
      <c r="DG502" s="238"/>
      <c r="DH502" s="238"/>
      <c r="DI502" s="238"/>
      <c r="DJ502" s="238"/>
      <c r="DK502" s="238"/>
      <c r="DL502" s="238"/>
      <c r="DM502" s="238"/>
      <c r="DN502" s="238"/>
      <c r="DO502" s="238"/>
      <c r="DP502" s="238"/>
      <c r="DQ502" s="238"/>
      <c r="DR502" s="238"/>
      <c r="DS502" s="238"/>
      <c r="DT502" s="238"/>
      <c r="DU502" s="238"/>
      <c r="DV502" s="238"/>
      <c r="DW502" s="238"/>
      <c r="DX502" s="238"/>
      <c r="DY502" s="238"/>
      <c r="DZ502" s="238"/>
      <c r="EA502" s="238"/>
      <c r="EB502" s="238"/>
      <c r="EC502" s="238"/>
      <c r="ED502" s="3"/>
      <c r="EE502" s="3"/>
      <c r="EF502" s="3"/>
      <c r="EG502" s="3"/>
      <c r="EH502" s="3"/>
    </row>
    <row r="503" spans="1:138" s="82" customFormat="1" x14ac:dyDescent="0.2">
      <c r="A503" s="3"/>
      <c r="B503" s="167"/>
      <c r="C503" s="3"/>
      <c r="D503" s="3"/>
      <c r="E503" s="31"/>
      <c r="F503" s="133"/>
      <c r="G503" s="3"/>
      <c r="H503" s="31"/>
      <c r="I503" s="31"/>
      <c r="J503" s="3"/>
      <c r="K503" s="3"/>
      <c r="L503" s="3"/>
      <c r="M503" s="3"/>
      <c r="N503" s="3"/>
      <c r="O503" s="3"/>
      <c r="P503" s="3"/>
      <c r="Q503" s="3"/>
      <c r="R503" s="32"/>
      <c r="S503" s="32"/>
      <c r="T503" s="3"/>
      <c r="U503" s="33"/>
      <c r="V503" s="33"/>
      <c r="W503" s="3"/>
      <c r="X503" s="3"/>
      <c r="Y503" s="3"/>
      <c r="Z503" s="3"/>
      <c r="AA503" s="3"/>
      <c r="AB503" s="3"/>
      <c r="AC503" s="3"/>
      <c r="AD503" s="32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4"/>
      <c r="AT503" s="3"/>
      <c r="AU503" s="3"/>
      <c r="AV503" s="3"/>
      <c r="AW503" s="3"/>
      <c r="AX503" s="4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220"/>
      <c r="CY503" s="220"/>
      <c r="CZ503" s="220"/>
      <c r="DA503" s="220"/>
      <c r="DB503" s="237"/>
      <c r="DC503" s="238"/>
      <c r="DD503" s="238"/>
      <c r="DE503" s="238"/>
      <c r="DF503" s="238"/>
      <c r="DG503" s="238"/>
      <c r="DH503" s="238"/>
      <c r="DI503" s="238"/>
      <c r="DJ503" s="238"/>
      <c r="DK503" s="238"/>
      <c r="DL503" s="238"/>
      <c r="DM503" s="238"/>
      <c r="DN503" s="238"/>
      <c r="DO503" s="238"/>
      <c r="DP503" s="238"/>
      <c r="DQ503" s="238"/>
      <c r="DR503" s="238"/>
      <c r="DS503" s="238"/>
      <c r="DT503" s="238"/>
      <c r="DU503" s="238"/>
      <c r="DV503" s="238"/>
      <c r="DW503" s="238"/>
      <c r="DX503" s="238"/>
      <c r="DY503" s="238"/>
      <c r="DZ503" s="238"/>
      <c r="EA503" s="238"/>
      <c r="EB503" s="238"/>
      <c r="EC503" s="238"/>
      <c r="ED503" s="3"/>
      <c r="EE503" s="3"/>
      <c r="EF503" s="3"/>
      <c r="EG503" s="3"/>
      <c r="EH503" s="3"/>
    </row>
    <row r="504" spans="1:138" s="82" customFormat="1" x14ac:dyDescent="0.2">
      <c r="A504" s="3"/>
      <c r="B504" s="167"/>
      <c r="C504" s="3"/>
      <c r="D504" s="3"/>
      <c r="E504" s="31"/>
      <c r="F504" s="133"/>
      <c r="G504" s="3"/>
      <c r="H504" s="31"/>
      <c r="I504" s="31"/>
      <c r="J504" s="3"/>
      <c r="K504" s="3"/>
      <c r="L504" s="3"/>
      <c r="M504" s="3"/>
      <c r="N504" s="3"/>
      <c r="O504" s="3"/>
      <c r="P504" s="3"/>
      <c r="Q504" s="3"/>
      <c r="R504" s="32"/>
      <c r="S504" s="32"/>
      <c r="T504" s="3"/>
      <c r="U504" s="33"/>
      <c r="V504" s="33"/>
      <c r="W504" s="3"/>
      <c r="X504" s="3"/>
      <c r="Y504" s="3"/>
      <c r="Z504" s="3"/>
      <c r="AA504" s="3"/>
      <c r="AB504" s="3"/>
      <c r="AC504" s="3"/>
      <c r="AD504" s="32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4"/>
      <c r="AT504" s="3"/>
      <c r="AU504" s="3"/>
      <c r="AV504" s="3"/>
      <c r="AW504" s="3"/>
      <c r="AX504" s="4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84"/>
      <c r="BZ504" s="84"/>
      <c r="CA504" s="84"/>
      <c r="CB504" s="84"/>
      <c r="CC504" s="84"/>
      <c r="CD504" s="84"/>
      <c r="CE504" s="84"/>
      <c r="CF504" s="84"/>
      <c r="CG504" s="84"/>
      <c r="CH504" s="84"/>
      <c r="CI504" s="84"/>
      <c r="CJ504" s="84"/>
      <c r="CK504" s="84"/>
      <c r="CL504" s="84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220"/>
      <c r="CY504" s="220"/>
      <c r="CZ504" s="220"/>
      <c r="DA504" s="220"/>
      <c r="DB504" s="237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38"/>
      <c r="DW504" s="238"/>
      <c r="DX504" s="238"/>
      <c r="DY504" s="238"/>
      <c r="DZ504" s="238"/>
      <c r="EA504" s="238"/>
      <c r="EB504" s="238"/>
      <c r="EC504" s="238"/>
      <c r="ED504" s="3"/>
      <c r="EE504" s="3"/>
      <c r="EF504" s="3"/>
      <c r="EG504" s="3"/>
      <c r="EH504" s="3"/>
    </row>
    <row r="505" spans="1:138" s="82" customFormat="1" x14ac:dyDescent="0.2">
      <c r="A505" s="3"/>
      <c r="B505" s="167"/>
      <c r="C505" s="3"/>
      <c r="D505" s="3"/>
      <c r="E505" s="31"/>
      <c r="F505" s="133"/>
      <c r="G505" s="3"/>
      <c r="H505" s="31"/>
      <c r="I505" s="31"/>
      <c r="J505" s="3"/>
      <c r="K505" s="3"/>
      <c r="L505" s="3"/>
      <c r="M505" s="3"/>
      <c r="N505" s="3"/>
      <c r="O505" s="3"/>
      <c r="P505" s="3"/>
      <c r="Q505" s="3"/>
      <c r="R505" s="32"/>
      <c r="S505" s="32"/>
      <c r="T505" s="3"/>
      <c r="U505" s="33"/>
      <c r="V505" s="33"/>
      <c r="W505" s="3"/>
      <c r="X505" s="3"/>
      <c r="Y505" s="3"/>
      <c r="Z505" s="3"/>
      <c r="AA505" s="3"/>
      <c r="AB505" s="3"/>
      <c r="AC505" s="3"/>
      <c r="AD505" s="32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4"/>
      <c r="AT505" s="3"/>
      <c r="AU505" s="3"/>
      <c r="AV505" s="3"/>
      <c r="AW505" s="3"/>
      <c r="AX505" s="4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84"/>
      <c r="BZ505" s="84"/>
      <c r="CA505" s="84"/>
      <c r="CB505" s="84"/>
      <c r="CC505" s="84"/>
      <c r="CD505" s="84"/>
      <c r="CE505" s="84"/>
      <c r="CF505" s="84"/>
      <c r="CG505" s="84"/>
      <c r="CH505" s="84"/>
      <c r="CI505" s="84"/>
      <c r="CJ505" s="84"/>
      <c r="CK505" s="84"/>
      <c r="CL505" s="84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220"/>
      <c r="CY505" s="220"/>
      <c r="CZ505" s="220"/>
      <c r="DA505" s="220"/>
      <c r="DB505" s="237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3"/>
      <c r="EE505" s="3"/>
      <c r="EF505" s="3"/>
      <c r="EG505" s="3"/>
      <c r="EH505" s="3"/>
    </row>
    <row r="506" spans="1:138" s="82" customFormat="1" x14ac:dyDescent="0.2">
      <c r="A506" s="3"/>
      <c r="B506" s="167"/>
      <c r="C506" s="3"/>
      <c r="D506" s="3"/>
      <c r="E506" s="31"/>
      <c r="F506" s="133"/>
      <c r="G506" s="3"/>
      <c r="H506" s="31"/>
      <c r="I506" s="31"/>
      <c r="J506" s="3"/>
      <c r="K506" s="3"/>
      <c r="L506" s="3"/>
      <c r="M506" s="3"/>
      <c r="N506" s="3"/>
      <c r="O506" s="3"/>
      <c r="P506" s="3"/>
      <c r="Q506" s="3"/>
      <c r="R506" s="32"/>
      <c r="S506" s="32"/>
      <c r="T506" s="3"/>
      <c r="U506" s="33"/>
      <c r="V506" s="33"/>
      <c r="W506" s="3"/>
      <c r="X506" s="3"/>
      <c r="Y506" s="3"/>
      <c r="Z506" s="3"/>
      <c r="AA506" s="3"/>
      <c r="AB506" s="3"/>
      <c r="AC506" s="3"/>
      <c r="AD506" s="32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4"/>
      <c r="AT506" s="3"/>
      <c r="AU506" s="3"/>
      <c r="AV506" s="3"/>
      <c r="AW506" s="3"/>
      <c r="AX506" s="4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84"/>
      <c r="BZ506" s="84"/>
      <c r="CA506" s="84"/>
      <c r="CB506" s="84"/>
      <c r="CC506" s="84"/>
      <c r="CD506" s="84"/>
      <c r="CE506" s="84"/>
      <c r="CF506" s="84"/>
      <c r="CG506" s="84"/>
      <c r="CH506" s="84"/>
      <c r="CI506" s="84"/>
      <c r="CJ506" s="84"/>
      <c r="CK506" s="84"/>
      <c r="CL506" s="84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220"/>
      <c r="CY506" s="220"/>
      <c r="CZ506" s="220"/>
      <c r="DA506" s="220"/>
      <c r="DB506" s="237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38"/>
      <c r="DW506" s="238"/>
      <c r="DX506" s="238"/>
      <c r="DY506" s="238"/>
      <c r="DZ506" s="238"/>
      <c r="EA506" s="238"/>
      <c r="EB506" s="238"/>
      <c r="EC506" s="238"/>
      <c r="ED506" s="3"/>
      <c r="EE506" s="3"/>
      <c r="EF506" s="3"/>
      <c r="EG506" s="3"/>
      <c r="EH506" s="3"/>
    </row>
    <row r="507" spans="1:138" s="82" customFormat="1" x14ac:dyDescent="0.2">
      <c r="A507" s="3"/>
      <c r="B507" s="167"/>
      <c r="C507" s="3"/>
      <c r="D507" s="3"/>
      <c r="E507" s="31"/>
      <c r="F507" s="133"/>
      <c r="G507" s="3"/>
      <c r="H507" s="31"/>
      <c r="I507" s="31"/>
      <c r="J507" s="3"/>
      <c r="K507" s="3"/>
      <c r="L507" s="3"/>
      <c r="M507" s="3"/>
      <c r="N507" s="3"/>
      <c r="O507" s="3"/>
      <c r="P507" s="3"/>
      <c r="Q507" s="3"/>
      <c r="R507" s="32"/>
      <c r="S507" s="32"/>
      <c r="T507" s="3"/>
      <c r="U507" s="33"/>
      <c r="V507" s="33"/>
      <c r="W507" s="3"/>
      <c r="X507" s="3"/>
      <c r="Y507" s="3"/>
      <c r="Z507" s="3"/>
      <c r="AA507" s="3"/>
      <c r="AB507" s="3"/>
      <c r="AC507" s="3"/>
      <c r="AD507" s="32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4"/>
      <c r="AT507" s="3"/>
      <c r="AU507" s="3"/>
      <c r="AV507" s="3"/>
      <c r="AW507" s="3"/>
      <c r="AX507" s="4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84"/>
      <c r="BZ507" s="84"/>
      <c r="CA507" s="84"/>
      <c r="CB507" s="84"/>
      <c r="CC507" s="84"/>
      <c r="CD507" s="84"/>
      <c r="CE507" s="84"/>
      <c r="CF507" s="84"/>
      <c r="CG507" s="84"/>
      <c r="CH507" s="84"/>
      <c r="CI507" s="84"/>
      <c r="CJ507" s="84"/>
      <c r="CK507" s="84"/>
      <c r="CL507" s="84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220"/>
      <c r="CY507" s="220"/>
      <c r="CZ507" s="220"/>
      <c r="DA507" s="220"/>
      <c r="DB507" s="237"/>
      <c r="DC507" s="238"/>
      <c r="DD507" s="238"/>
      <c r="DE507" s="238"/>
      <c r="DF507" s="238"/>
      <c r="DG507" s="238"/>
      <c r="DH507" s="238"/>
      <c r="DI507" s="238"/>
      <c r="DJ507" s="238"/>
      <c r="DK507" s="238"/>
      <c r="DL507" s="238"/>
      <c r="DM507" s="238"/>
      <c r="DN507" s="238"/>
      <c r="DO507" s="238"/>
      <c r="DP507" s="238"/>
      <c r="DQ507" s="238"/>
      <c r="DR507" s="238"/>
      <c r="DS507" s="238"/>
      <c r="DT507" s="238"/>
      <c r="DU507" s="238"/>
      <c r="DV507" s="238"/>
      <c r="DW507" s="238"/>
      <c r="DX507" s="238"/>
      <c r="DY507" s="238"/>
      <c r="DZ507" s="238"/>
      <c r="EA507" s="238"/>
      <c r="EB507" s="238"/>
      <c r="EC507" s="238"/>
      <c r="ED507" s="3"/>
      <c r="EE507" s="3"/>
      <c r="EF507" s="3"/>
      <c r="EG507" s="3"/>
      <c r="EH507" s="3"/>
    </row>
    <row r="508" spans="1:138" s="82" customFormat="1" x14ac:dyDescent="0.2">
      <c r="A508" s="3"/>
      <c r="B508" s="167"/>
      <c r="C508" s="3"/>
      <c r="D508" s="3"/>
      <c r="E508" s="31"/>
      <c r="F508" s="133"/>
      <c r="G508" s="3"/>
      <c r="H508" s="31"/>
      <c r="I508" s="31"/>
      <c r="J508" s="3"/>
      <c r="K508" s="3"/>
      <c r="L508" s="3"/>
      <c r="M508" s="3"/>
      <c r="N508" s="3"/>
      <c r="O508" s="3"/>
      <c r="P508" s="3"/>
      <c r="Q508" s="3"/>
      <c r="R508" s="32"/>
      <c r="S508" s="32"/>
      <c r="T508" s="3"/>
      <c r="U508" s="33"/>
      <c r="V508" s="33"/>
      <c r="W508" s="3"/>
      <c r="X508" s="3"/>
      <c r="Y508" s="3"/>
      <c r="Z508" s="3"/>
      <c r="AA508" s="3"/>
      <c r="AB508" s="3"/>
      <c r="AC508" s="3"/>
      <c r="AD508" s="32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4"/>
      <c r="AT508" s="3"/>
      <c r="AU508" s="3"/>
      <c r="AV508" s="3"/>
      <c r="AW508" s="3"/>
      <c r="AX508" s="4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220"/>
      <c r="CY508" s="220"/>
      <c r="CZ508" s="220"/>
      <c r="DA508" s="220"/>
      <c r="DB508" s="237"/>
      <c r="DC508" s="238"/>
      <c r="DD508" s="238"/>
      <c r="DE508" s="238"/>
      <c r="DF508" s="238"/>
      <c r="DG508" s="238"/>
      <c r="DH508" s="238"/>
      <c r="DI508" s="238"/>
      <c r="DJ508" s="238"/>
      <c r="DK508" s="238"/>
      <c r="DL508" s="238"/>
      <c r="DM508" s="238"/>
      <c r="DN508" s="238"/>
      <c r="DO508" s="238"/>
      <c r="DP508" s="238"/>
      <c r="DQ508" s="238"/>
      <c r="DR508" s="238"/>
      <c r="DS508" s="238"/>
      <c r="DT508" s="238"/>
      <c r="DU508" s="238"/>
      <c r="DV508" s="238"/>
      <c r="DW508" s="238"/>
      <c r="DX508" s="238"/>
      <c r="DY508" s="238"/>
      <c r="DZ508" s="238"/>
      <c r="EA508" s="238"/>
      <c r="EB508" s="238"/>
      <c r="EC508" s="238"/>
      <c r="ED508" s="3"/>
      <c r="EE508" s="3"/>
      <c r="EF508" s="3"/>
      <c r="EG508" s="3"/>
      <c r="EH508" s="3"/>
    </row>
    <row r="509" spans="1:138" s="82" customFormat="1" x14ac:dyDescent="0.2">
      <c r="A509" s="3"/>
      <c r="B509" s="167"/>
      <c r="C509" s="3"/>
      <c r="D509" s="3"/>
      <c r="E509" s="31"/>
      <c r="F509" s="133"/>
      <c r="G509" s="3"/>
      <c r="H509" s="31"/>
      <c r="I509" s="31"/>
      <c r="J509" s="3"/>
      <c r="K509" s="3"/>
      <c r="L509" s="3"/>
      <c r="M509" s="3"/>
      <c r="N509" s="3"/>
      <c r="O509" s="3"/>
      <c r="P509" s="3"/>
      <c r="Q509" s="3"/>
      <c r="R509" s="32"/>
      <c r="S509" s="32"/>
      <c r="T509" s="3"/>
      <c r="U509" s="33"/>
      <c r="V509" s="33"/>
      <c r="W509" s="3"/>
      <c r="X509" s="3"/>
      <c r="Y509" s="3"/>
      <c r="Z509" s="3"/>
      <c r="AA509" s="3"/>
      <c r="AB509" s="3"/>
      <c r="AC509" s="3"/>
      <c r="AD509" s="32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4"/>
      <c r="AT509" s="3"/>
      <c r="AU509" s="3"/>
      <c r="AV509" s="3"/>
      <c r="AW509" s="3"/>
      <c r="AX509" s="4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220"/>
      <c r="CY509" s="220"/>
      <c r="CZ509" s="220"/>
      <c r="DA509" s="220"/>
      <c r="DB509" s="237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38"/>
      <c r="DW509" s="238"/>
      <c r="DX509" s="238"/>
      <c r="DY509" s="238"/>
      <c r="DZ509" s="238"/>
      <c r="EA509" s="238"/>
      <c r="EB509" s="238"/>
      <c r="EC509" s="238"/>
      <c r="ED509" s="3"/>
      <c r="EE509" s="3"/>
      <c r="EF509" s="3"/>
      <c r="EG509" s="3"/>
      <c r="EH509" s="3"/>
    </row>
    <row r="510" spans="1:138" s="82" customFormat="1" x14ac:dyDescent="0.2">
      <c r="A510" s="3"/>
      <c r="B510" s="167"/>
      <c r="C510" s="3"/>
      <c r="D510" s="3"/>
      <c r="E510" s="31"/>
      <c r="F510" s="133"/>
      <c r="G510" s="3"/>
      <c r="H510" s="31"/>
      <c r="I510" s="31"/>
      <c r="J510" s="3"/>
      <c r="K510" s="3"/>
      <c r="L510" s="3"/>
      <c r="M510" s="3"/>
      <c r="N510" s="3"/>
      <c r="O510" s="3"/>
      <c r="P510" s="3"/>
      <c r="Q510" s="3"/>
      <c r="R510" s="32"/>
      <c r="S510" s="32"/>
      <c r="T510" s="3"/>
      <c r="U510" s="33"/>
      <c r="V510" s="33"/>
      <c r="W510" s="3"/>
      <c r="X510" s="3"/>
      <c r="Y510" s="3"/>
      <c r="Z510" s="3"/>
      <c r="AA510" s="3"/>
      <c r="AB510" s="3"/>
      <c r="AC510" s="3"/>
      <c r="AD510" s="32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4"/>
      <c r="AT510" s="3"/>
      <c r="AU510" s="3"/>
      <c r="AV510" s="3"/>
      <c r="AW510" s="3"/>
      <c r="AX510" s="4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220"/>
      <c r="CY510" s="220"/>
      <c r="CZ510" s="220"/>
      <c r="DA510" s="220"/>
      <c r="DB510" s="237"/>
      <c r="DC510" s="238"/>
      <c r="DD510" s="238"/>
      <c r="DE510" s="238"/>
      <c r="DF510" s="238"/>
      <c r="DG510" s="238"/>
      <c r="DH510" s="238"/>
      <c r="DI510" s="238"/>
      <c r="DJ510" s="238"/>
      <c r="DK510" s="238"/>
      <c r="DL510" s="238"/>
      <c r="DM510" s="238"/>
      <c r="DN510" s="238"/>
      <c r="DO510" s="238"/>
      <c r="DP510" s="238"/>
      <c r="DQ510" s="238"/>
      <c r="DR510" s="238"/>
      <c r="DS510" s="238"/>
      <c r="DT510" s="238"/>
      <c r="DU510" s="238"/>
      <c r="DV510" s="238"/>
      <c r="DW510" s="238"/>
      <c r="DX510" s="238"/>
      <c r="DY510" s="238"/>
      <c r="DZ510" s="238"/>
      <c r="EA510" s="238"/>
      <c r="EB510" s="238"/>
      <c r="EC510" s="238"/>
      <c r="ED510" s="3"/>
      <c r="EE510" s="3"/>
      <c r="EF510" s="3"/>
      <c r="EG510" s="3"/>
      <c r="EH510" s="3"/>
    </row>
    <row r="511" spans="1:138" s="82" customFormat="1" x14ac:dyDescent="0.2">
      <c r="A511" s="3"/>
      <c r="B511" s="167"/>
      <c r="C511" s="3"/>
      <c r="D511" s="3"/>
      <c r="E511" s="31"/>
      <c r="F511" s="133"/>
      <c r="G511" s="3"/>
      <c r="H511" s="31"/>
      <c r="I511" s="31"/>
      <c r="J511" s="3"/>
      <c r="K511" s="3"/>
      <c r="L511" s="3"/>
      <c r="M511" s="3"/>
      <c r="N511" s="3"/>
      <c r="O511" s="3"/>
      <c r="P511" s="3"/>
      <c r="Q511" s="3"/>
      <c r="R511" s="32"/>
      <c r="S511" s="32"/>
      <c r="T511" s="3"/>
      <c r="U511" s="33"/>
      <c r="V511" s="33"/>
      <c r="W511" s="3"/>
      <c r="X511" s="3"/>
      <c r="Y511" s="3"/>
      <c r="Z511" s="3"/>
      <c r="AA511" s="3"/>
      <c r="AB511" s="3"/>
      <c r="AC511" s="3"/>
      <c r="AD511" s="32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4"/>
      <c r="AT511" s="3"/>
      <c r="AU511" s="3"/>
      <c r="AV511" s="3"/>
      <c r="AW511" s="3"/>
      <c r="AX511" s="4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84"/>
      <c r="BZ511" s="84"/>
      <c r="CA511" s="84"/>
      <c r="CB511" s="84"/>
      <c r="CC511" s="84"/>
      <c r="CD511" s="84"/>
      <c r="CE511" s="84"/>
      <c r="CF511" s="84"/>
      <c r="CG511" s="84"/>
      <c r="CH511" s="84"/>
      <c r="CI511" s="84"/>
      <c r="CJ511" s="84"/>
      <c r="CK511" s="84"/>
      <c r="CL511" s="84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220"/>
      <c r="CY511" s="220"/>
      <c r="CZ511" s="220"/>
      <c r="DA511" s="220"/>
      <c r="DB511" s="237"/>
      <c r="DC511" s="238"/>
      <c r="DD511" s="238"/>
      <c r="DE511" s="238"/>
      <c r="DF511" s="238"/>
      <c r="DG511" s="238"/>
      <c r="DH511" s="238"/>
      <c r="DI511" s="238"/>
      <c r="DJ511" s="238"/>
      <c r="DK511" s="238"/>
      <c r="DL511" s="238"/>
      <c r="DM511" s="238"/>
      <c r="DN511" s="238"/>
      <c r="DO511" s="238"/>
      <c r="DP511" s="238"/>
      <c r="DQ511" s="238"/>
      <c r="DR511" s="238"/>
      <c r="DS511" s="238"/>
      <c r="DT511" s="238"/>
      <c r="DU511" s="238"/>
      <c r="DV511" s="238"/>
      <c r="DW511" s="238"/>
      <c r="DX511" s="238"/>
      <c r="DY511" s="238"/>
      <c r="DZ511" s="238"/>
      <c r="EA511" s="238"/>
      <c r="EB511" s="238"/>
      <c r="EC511" s="238"/>
      <c r="ED511" s="3"/>
      <c r="EE511" s="3"/>
      <c r="EF511" s="3"/>
      <c r="EG511" s="3"/>
      <c r="EH511" s="3"/>
    </row>
    <row r="512" spans="1:138" s="82" customFormat="1" x14ac:dyDescent="0.2">
      <c r="A512" s="3"/>
      <c r="B512" s="167"/>
      <c r="C512" s="3"/>
      <c r="D512" s="3"/>
      <c r="E512" s="31"/>
      <c r="F512" s="133"/>
      <c r="G512" s="3"/>
      <c r="H512" s="31"/>
      <c r="I512" s="31"/>
      <c r="J512" s="3"/>
      <c r="K512" s="3"/>
      <c r="L512" s="3"/>
      <c r="M512" s="3"/>
      <c r="N512" s="3"/>
      <c r="O512" s="3"/>
      <c r="P512" s="3"/>
      <c r="Q512" s="3"/>
      <c r="R512" s="32"/>
      <c r="S512" s="32"/>
      <c r="T512" s="3"/>
      <c r="U512" s="33"/>
      <c r="V512" s="33"/>
      <c r="W512" s="3"/>
      <c r="X512" s="3"/>
      <c r="Y512" s="3"/>
      <c r="Z512" s="3"/>
      <c r="AA512" s="3"/>
      <c r="AB512" s="3"/>
      <c r="AC512" s="3"/>
      <c r="AD512" s="32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4"/>
      <c r="AT512" s="3"/>
      <c r="AU512" s="3"/>
      <c r="AV512" s="3"/>
      <c r="AW512" s="3"/>
      <c r="AX512" s="4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220"/>
      <c r="CY512" s="220"/>
      <c r="CZ512" s="220"/>
      <c r="DA512" s="220"/>
      <c r="DB512" s="237"/>
      <c r="DC512" s="238"/>
      <c r="DD512" s="238"/>
      <c r="DE512" s="238"/>
      <c r="DF512" s="238"/>
      <c r="DG512" s="238"/>
      <c r="DH512" s="238"/>
      <c r="DI512" s="238"/>
      <c r="DJ512" s="238"/>
      <c r="DK512" s="238"/>
      <c r="DL512" s="238"/>
      <c r="DM512" s="238"/>
      <c r="DN512" s="238"/>
      <c r="DO512" s="238"/>
      <c r="DP512" s="238"/>
      <c r="DQ512" s="238"/>
      <c r="DR512" s="238"/>
      <c r="DS512" s="238"/>
      <c r="DT512" s="238"/>
      <c r="DU512" s="238"/>
      <c r="DV512" s="238"/>
      <c r="DW512" s="238"/>
      <c r="DX512" s="238"/>
      <c r="DY512" s="238"/>
      <c r="DZ512" s="238"/>
      <c r="EA512" s="238"/>
      <c r="EB512" s="238"/>
      <c r="EC512" s="238"/>
      <c r="ED512" s="3"/>
      <c r="EE512" s="3"/>
      <c r="EF512" s="3"/>
      <c r="EG512" s="3"/>
      <c r="EH512" s="3"/>
    </row>
    <row r="513" spans="1:138" s="82" customFormat="1" x14ac:dyDescent="0.2">
      <c r="A513" s="3"/>
      <c r="B513" s="167"/>
      <c r="C513" s="3"/>
      <c r="D513" s="3"/>
      <c r="E513" s="31"/>
      <c r="F513" s="133"/>
      <c r="G513" s="3"/>
      <c r="H513" s="31"/>
      <c r="I513" s="31"/>
      <c r="J513" s="3"/>
      <c r="K513" s="3"/>
      <c r="L513" s="3"/>
      <c r="M513" s="3"/>
      <c r="N513" s="3"/>
      <c r="O513" s="3"/>
      <c r="P513" s="3"/>
      <c r="Q513" s="3"/>
      <c r="R513" s="32"/>
      <c r="S513" s="32"/>
      <c r="T513" s="3"/>
      <c r="U513" s="33"/>
      <c r="V513" s="33"/>
      <c r="W513" s="3"/>
      <c r="X513" s="3"/>
      <c r="Y513" s="3"/>
      <c r="Z513" s="3"/>
      <c r="AA513" s="3"/>
      <c r="AB513" s="3"/>
      <c r="AC513" s="3"/>
      <c r="AD513" s="32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4"/>
      <c r="AT513" s="3"/>
      <c r="AU513" s="3"/>
      <c r="AV513" s="3"/>
      <c r="AW513" s="3"/>
      <c r="AX513" s="4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220"/>
      <c r="CY513" s="220"/>
      <c r="CZ513" s="220"/>
      <c r="DA513" s="220"/>
      <c r="DB513" s="237"/>
      <c r="DC513" s="238"/>
      <c r="DD513" s="238"/>
      <c r="DE513" s="238"/>
      <c r="DF513" s="238"/>
      <c r="DG513" s="238"/>
      <c r="DH513" s="238"/>
      <c r="DI513" s="238"/>
      <c r="DJ513" s="238"/>
      <c r="DK513" s="238"/>
      <c r="DL513" s="238"/>
      <c r="DM513" s="238"/>
      <c r="DN513" s="238"/>
      <c r="DO513" s="238"/>
      <c r="DP513" s="238"/>
      <c r="DQ513" s="238"/>
      <c r="DR513" s="238"/>
      <c r="DS513" s="238"/>
      <c r="DT513" s="238"/>
      <c r="DU513" s="238"/>
      <c r="DV513" s="238"/>
      <c r="DW513" s="238"/>
      <c r="DX513" s="238"/>
      <c r="DY513" s="238"/>
      <c r="DZ513" s="238"/>
      <c r="EA513" s="238"/>
      <c r="EB513" s="238"/>
      <c r="EC513" s="238"/>
      <c r="ED513" s="3"/>
      <c r="EE513" s="3"/>
      <c r="EF513" s="3"/>
      <c r="EG513" s="3"/>
      <c r="EH513" s="3"/>
    </row>
    <row r="514" spans="1:138" s="82" customFormat="1" x14ac:dyDescent="0.2">
      <c r="A514" s="3"/>
      <c r="B514" s="167"/>
      <c r="C514" s="3"/>
      <c r="D514" s="3"/>
      <c r="E514" s="31"/>
      <c r="F514" s="133"/>
      <c r="G514" s="3"/>
      <c r="H514" s="31"/>
      <c r="I514" s="31"/>
      <c r="J514" s="3"/>
      <c r="K514" s="3"/>
      <c r="L514" s="3"/>
      <c r="M514" s="3"/>
      <c r="N514" s="3"/>
      <c r="O514" s="3"/>
      <c r="P514" s="3"/>
      <c r="Q514" s="3"/>
      <c r="R514" s="32"/>
      <c r="S514" s="32"/>
      <c r="T514" s="3"/>
      <c r="U514" s="33"/>
      <c r="V514" s="33"/>
      <c r="W514" s="3"/>
      <c r="X514" s="3"/>
      <c r="Y514" s="3"/>
      <c r="Z514" s="3"/>
      <c r="AA514" s="3"/>
      <c r="AB514" s="3"/>
      <c r="AC514" s="3"/>
      <c r="AD514" s="32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4"/>
      <c r="AT514" s="3"/>
      <c r="AU514" s="3"/>
      <c r="AV514" s="3"/>
      <c r="AW514" s="3"/>
      <c r="AX514" s="4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84"/>
      <c r="BZ514" s="84"/>
      <c r="CA514" s="84"/>
      <c r="CB514" s="84"/>
      <c r="CC514" s="84"/>
      <c r="CD514" s="84"/>
      <c r="CE514" s="84"/>
      <c r="CF514" s="84"/>
      <c r="CG514" s="84"/>
      <c r="CH514" s="84"/>
      <c r="CI514" s="84"/>
      <c r="CJ514" s="84"/>
      <c r="CK514" s="84"/>
      <c r="CL514" s="84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220"/>
      <c r="CY514" s="220"/>
      <c r="CZ514" s="220"/>
      <c r="DA514" s="220"/>
      <c r="DB514" s="237"/>
      <c r="DC514" s="238"/>
      <c r="DD514" s="238"/>
      <c r="DE514" s="238"/>
      <c r="DF514" s="238"/>
      <c r="DG514" s="238"/>
      <c r="DH514" s="238"/>
      <c r="DI514" s="238"/>
      <c r="DJ514" s="238"/>
      <c r="DK514" s="238"/>
      <c r="DL514" s="238"/>
      <c r="DM514" s="238"/>
      <c r="DN514" s="238"/>
      <c r="DO514" s="238"/>
      <c r="DP514" s="238"/>
      <c r="DQ514" s="238"/>
      <c r="DR514" s="238"/>
      <c r="DS514" s="238"/>
      <c r="DT514" s="238"/>
      <c r="DU514" s="238"/>
      <c r="DV514" s="238"/>
      <c r="DW514" s="238"/>
      <c r="DX514" s="238"/>
      <c r="DY514" s="238"/>
      <c r="DZ514" s="238"/>
      <c r="EA514" s="238"/>
      <c r="EB514" s="238"/>
      <c r="EC514" s="238"/>
      <c r="ED514" s="3"/>
      <c r="EE514" s="3"/>
      <c r="EF514" s="3"/>
      <c r="EG514" s="3"/>
      <c r="EH514" s="3"/>
    </row>
    <row r="515" spans="1:138" s="82" customFormat="1" x14ac:dyDescent="0.2">
      <c r="A515" s="3"/>
      <c r="B515" s="167"/>
      <c r="C515" s="3"/>
      <c r="D515" s="3"/>
      <c r="E515" s="31"/>
      <c r="F515" s="133"/>
      <c r="G515" s="3"/>
      <c r="H515" s="31"/>
      <c r="I515" s="31"/>
      <c r="J515" s="3"/>
      <c r="K515" s="3"/>
      <c r="L515" s="3"/>
      <c r="M515" s="3"/>
      <c r="N515" s="3"/>
      <c r="O515" s="3"/>
      <c r="P515" s="3"/>
      <c r="Q515" s="3"/>
      <c r="R515" s="32"/>
      <c r="S515" s="32"/>
      <c r="T515" s="3"/>
      <c r="U515" s="33"/>
      <c r="V515" s="33"/>
      <c r="W515" s="3"/>
      <c r="X515" s="3"/>
      <c r="Y515" s="3"/>
      <c r="Z515" s="3"/>
      <c r="AA515" s="3"/>
      <c r="AB515" s="3"/>
      <c r="AC515" s="3"/>
      <c r="AD515" s="32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4"/>
      <c r="AT515" s="3"/>
      <c r="AU515" s="3"/>
      <c r="AV515" s="3"/>
      <c r="AW515" s="3"/>
      <c r="AX515" s="4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220"/>
      <c r="CY515" s="220"/>
      <c r="CZ515" s="220"/>
      <c r="DA515" s="220"/>
      <c r="DB515" s="237"/>
      <c r="DC515" s="238"/>
      <c r="DD515" s="238"/>
      <c r="DE515" s="238"/>
      <c r="DF515" s="238"/>
      <c r="DG515" s="238"/>
      <c r="DH515" s="238"/>
      <c r="DI515" s="238"/>
      <c r="DJ515" s="238"/>
      <c r="DK515" s="238"/>
      <c r="DL515" s="238"/>
      <c r="DM515" s="238"/>
      <c r="DN515" s="238"/>
      <c r="DO515" s="238"/>
      <c r="DP515" s="238"/>
      <c r="DQ515" s="238"/>
      <c r="DR515" s="238"/>
      <c r="DS515" s="238"/>
      <c r="DT515" s="238"/>
      <c r="DU515" s="238"/>
      <c r="DV515" s="238"/>
      <c r="DW515" s="238"/>
      <c r="DX515" s="238"/>
      <c r="DY515" s="238"/>
      <c r="DZ515" s="238"/>
      <c r="EA515" s="238"/>
      <c r="EB515" s="238"/>
      <c r="EC515" s="238"/>
      <c r="ED515" s="3"/>
      <c r="EE515" s="3"/>
      <c r="EF515" s="3"/>
      <c r="EG515" s="3"/>
      <c r="EH515" s="3"/>
    </row>
    <row r="516" spans="1:138" s="82" customFormat="1" x14ac:dyDescent="0.2">
      <c r="A516" s="3"/>
      <c r="B516" s="167"/>
      <c r="C516" s="3"/>
      <c r="D516" s="3"/>
      <c r="E516" s="31"/>
      <c r="F516" s="133"/>
      <c r="G516" s="3"/>
      <c r="H516" s="31"/>
      <c r="I516" s="31"/>
      <c r="J516" s="3"/>
      <c r="K516" s="3"/>
      <c r="L516" s="3"/>
      <c r="M516" s="3"/>
      <c r="N516" s="3"/>
      <c r="O516" s="3"/>
      <c r="P516" s="3"/>
      <c r="Q516" s="3"/>
      <c r="R516" s="32"/>
      <c r="S516" s="32"/>
      <c r="T516" s="3"/>
      <c r="U516" s="33"/>
      <c r="V516" s="33"/>
      <c r="W516" s="3"/>
      <c r="X516" s="3"/>
      <c r="Y516" s="3"/>
      <c r="Z516" s="3"/>
      <c r="AA516" s="3"/>
      <c r="AB516" s="3"/>
      <c r="AC516" s="3"/>
      <c r="AD516" s="32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4"/>
      <c r="AT516" s="3"/>
      <c r="AU516" s="3"/>
      <c r="AV516" s="3"/>
      <c r="AW516" s="3"/>
      <c r="AX516" s="4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84"/>
      <c r="BZ516" s="84"/>
      <c r="CA516" s="84"/>
      <c r="CB516" s="84"/>
      <c r="CC516" s="84"/>
      <c r="CD516" s="84"/>
      <c r="CE516" s="84"/>
      <c r="CF516" s="84"/>
      <c r="CG516" s="84"/>
      <c r="CH516" s="84"/>
      <c r="CI516" s="84"/>
      <c r="CJ516" s="84"/>
      <c r="CK516" s="84"/>
      <c r="CL516" s="84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220"/>
      <c r="CY516" s="220"/>
      <c r="CZ516" s="220"/>
      <c r="DA516" s="220"/>
      <c r="DB516" s="237"/>
      <c r="DC516" s="238"/>
      <c r="DD516" s="238"/>
      <c r="DE516" s="238"/>
      <c r="DF516" s="238"/>
      <c r="DG516" s="238"/>
      <c r="DH516" s="238"/>
      <c r="DI516" s="238"/>
      <c r="DJ516" s="238"/>
      <c r="DK516" s="238"/>
      <c r="DL516" s="238"/>
      <c r="DM516" s="238"/>
      <c r="DN516" s="238"/>
      <c r="DO516" s="238"/>
      <c r="DP516" s="238"/>
      <c r="DQ516" s="238"/>
      <c r="DR516" s="238"/>
      <c r="DS516" s="238"/>
      <c r="DT516" s="238"/>
      <c r="DU516" s="238"/>
      <c r="DV516" s="238"/>
      <c r="DW516" s="238"/>
      <c r="DX516" s="238"/>
      <c r="DY516" s="238"/>
      <c r="DZ516" s="238"/>
      <c r="EA516" s="238"/>
      <c r="EB516" s="238"/>
      <c r="EC516" s="238"/>
      <c r="ED516" s="3"/>
      <c r="EE516" s="3"/>
      <c r="EF516" s="3"/>
      <c r="EG516" s="3"/>
      <c r="EH516" s="3"/>
    </row>
    <row r="517" spans="1:138" s="82" customFormat="1" x14ac:dyDescent="0.2">
      <c r="A517" s="3"/>
      <c r="B517" s="167"/>
      <c r="C517" s="3"/>
      <c r="D517" s="3"/>
      <c r="E517" s="31"/>
      <c r="F517" s="133"/>
      <c r="G517" s="3"/>
      <c r="H517" s="31"/>
      <c r="I517" s="31"/>
      <c r="J517" s="3"/>
      <c r="K517" s="3"/>
      <c r="L517" s="3"/>
      <c r="M517" s="3"/>
      <c r="N517" s="3"/>
      <c r="O517" s="3"/>
      <c r="P517" s="3"/>
      <c r="Q517" s="3"/>
      <c r="R517" s="32"/>
      <c r="S517" s="32"/>
      <c r="T517" s="3"/>
      <c r="U517" s="33"/>
      <c r="V517" s="33"/>
      <c r="W517" s="3"/>
      <c r="X517" s="3"/>
      <c r="Y517" s="3"/>
      <c r="Z517" s="3"/>
      <c r="AA517" s="3"/>
      <c r="AB517" s="3"/>
      <c r="AC517" s="3"/>
      <c r="AD517" s="32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4"/>
      <c r="AT517" s="3"/>
      <c r="AU517" s="3"/>
      <c r="AV517" s="3"/>
      <c r="AW517" s="3"/>
      <c r="AX517" s="4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220"/>
      <c r="CY517" s="220"/>
      <c r="CZ517" s="220"/>
      <c r="DA517" s="220"/>
      <c r="DB517" s="237"/>
      <c r="DC517" s="238"/>
      <c r="DD517" s="238"/>
      <c r="DE517" s="238"/>
      <c r="DF517" s="238"/>
      <c r="DG517" s="238"/>
      <c r="DH517" s="238"/>
      <c r="DI517" s="238"/>
      <c r="DJ517" s="238"/>
      <c r="DK517" s="238"/>
      <c r="DL517" s="238"/>
      <c r="DM517" s="238"/>
      <c r="DN517" s="238"/>
      <c r="DO517" s="238"/>
      <c r="DP517" s="238"/>
      <c r="DQ517" s="238"/>
      <c r="DR517" s="238"/>
      <c r="DS517" s="238"/>
      <c r="DT517" s="238"/>
      <c r="DU517" s="238"/>
      <c r="DV517" s="238"/>
      <c r="DW517" s="238"/>
      <c r="DX517" s="238"/>
      <c r="DY517" s="238"/>
      <c r="DZ517" s="238"/>
      <c r="EA517" s="238"/>
      <c r="EB517" s="238"/>
      <c r="EC517" s="238"/>
      <c r="ED517" s="3"/>
      <c r="EE517" s="3"/>
      <c r="EF517" s="3"/>
      <c r="EG517" s="3"/>
      <c r="EH517" s="3"/>
    </row>
    <row r="518" spans="1:138" s="82" customFormat="1" x14ac:dyDescent="0.2">
      <c r="A518" s="3"/>
      <c r="B518" s="167"/>
      <c r="C518" s="3"/>
      <c r="D518" s="3"/>
      <c r="E518" s="31"/>
      <c r="F518" s="133"/>
      <c r="G518" s="3"/>
      <c r="H518" s="31"/>
      <c r="I518" s="31"/>
      <c r="J518" s="3"/>
      <c r="K518" s="3"/>
      <c r="L518" s="3"/>
      <c r="M518" s="3"/>
      <c r="N518" s="3"/>
      <c r="O518" s="3"/>
      <c r="P518" s="3"/>
      <c r="Q518" s="3"/>
      <c r="R518" s="32"/>
      <c r="S518" s="32"/>
      <c r="T518" s="3"/>
      <c r="U518" s="33"/>
      <c r="V518" s="33"/>
      <c r="W518" s="3"/>
      <c r="X518" s="3"/>
      <c r="Y518" s="3"/>
      <c r="Z518" s="3"/>
      <c r="AA518" s="3"/>
      <c r="AB518" s="3"/>
      <c r="AC518" s="3"/>
      <c r="AD518" s="32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4"/>
      <c r="AT518" s="3"/>
      <c r="AU518" s="3"/>
      <c r="AV518" s="3"/>
      <c r="AW518" s="3"/>
      <c r="AX518" s="4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84"/>
      <c r="BZ518" s="84"/>
      <c r="CA518" s="84"/>
      <c r="CB518" s="84"/>
      <c r="CC518" s="84"/>
      <c r="CD518" s="84"/>
      <c r="CE518" s="84"/>
      <c r="CF518" s="84"/>
      <c r="CG518" s="84"/>
      <c r="CH518" s="84"/>
      <c r="CI518" s="84"/>
      <c r="CJ518" s="84"/>
      <c r="CK518" s="84"/>
      <c r="CL518" s="84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220"/>
      <c r="CY518" s="220"/>
      <c r="CZ518" s="220"/>
      <c r="DA518" s="220"/>
      <c r="DB518" s="237"/>
      <c r="DC518" s="238"/>
      <c r="DD518" s="238"/>
      <c r="DE518" s="238"/>
      <c r="DF518" s="238"/>
      <c r="DG518" s="238"/>
      <c r="DH518" s="238"/>
      <c r="DI518" s="238"/>
      <c r="DJ518" s="238"/>
      <c r="DK518" s="238"/>
      <c r="DL518" s="238"/>
      <c r="DM518" s="238"/>
      <c r="DN518" s="238"/>
      <c r="DO518" s="238"/>
      <c r="DP518" s="238"/>
      <c r="DQ518" s="238"/>
      <c r="DR518" s="238"/>
      <c r="DS518" s="238"/>
      <c r="DT518" s="238"/>
      <c r="DU518" s="238"/>
      <c r="DV518" s="238"/>
      <c r="DW518" s="238"/>
      <c r="DX518" s="238"/>
      <c r="DY518" s="238"/>
      <c r="DZ518" s="238"/>
      <c r="EA518" s="238"/>
      <c r="EB518" s="238"/>
      <c r="EC518" s="238"/>
      <c r="ED518" s="3"/>
      <c r="EE518" s="3"/>
      <c r="EF518" s="3"/>
      <c r="EG518" s="3"/>
      <c r="EH518" s="3"/>
    </row>
    <row r="519" spans="1:138" s="82" customFormat="1" x14ac:dyDescent="0.2">
      <c r="A519" s="3"/>
      <c r="B519" s="167"/>
      <c r="C519" s="3"/>
      <c r="D519" s="3"/>
      <c r="E519" s="31"/>
      <c r="F519" s="133"/>
      <c r="G519" s="3"/>
      <c r="H519" s="31"/>
      <c r="I519" s="31"/>
      <c r="J519" s="3"/>
      <c r="K519" s="3"/>
      <c r="L519" s="3"/>
      <c r="M519" s="3"/>
      <c r="N519" s="3"/>
      <c r="O519" s="3"/>
      <c r="P519" s="3"/>
      <c r="Q519" s="3"/>
      <c r="R519" s="32"/>
      <c r="S519" s="32"/>
      <c r="T519" s="3"/>
      <c r="U519" s="33"/>
      <c r="V519" s="33"/>
      <c r="W519" s="3"/>
      <c r="X519" s="3"/>
      <c r="Y519" s="3"/>
      <c r="Z519" s="3"/>
      <c r="AA519" s="3"/>
      <c r="AB519" s="3"/>
      <c r="AC519" s="3"/>
      <c r="AD519" s="32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4"/>
      <c r="AT519" s="3"/>
      <c r="AU519" s="3"/>
      <c r="AV519" s="3"/>
      <c r="AW519" s="3"/>
      <c r="AX519" s="4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84"/>
      <c r="BZ519" s="84"/>
      <c r="CA519" s="84"/>
      <c r="CB519" s="84"/>
      <c r="CC519" s="84"/>
      <c r="CD519" s="84"/>
      <c r="CE519" s="84"/>
      <c r="CF519" s="84"/>
      <c r="CG519" s="84"/>
      <c r="CH519" s="84"/>
      <c r="CI519" s="84"/>
      <c r="CJ519" s="84"/>
      <c r="CK519" s="84"/>
      <c r="CL519" s="84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220"/>
      <c r="CY519" s="220"/>
      <c r="CZ519" s="220"/>
      <c r="DA519" s="220"/>
      <c r="DB519" s="237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38"/>
      <c r="DW519" s="238"/>
      <c r="DX519" s="238"/>
      <c r="DY519" s="238"/>
      <c r="DZ519" s="238"/>
      <c r="EA519" s="238"/>
      <c r="EB519" s="238"/>
      <c r="EC519" s="238"/>
      <c r="ED519" s="3"/>
      <c r="EE519" s="3"/>
      <c r="EF519" s="3"/>
      <c r="EG519" s="3"/>
      <c r="EH519" s="3"/>
    </row>
    <row r="520" spans="1:138" s="82" customFormat="1" x14ac:dyDescent="0.2">
      <c r="A520" s="3"/>
      <c r="B520" s="167"/>
      <c r="C520" s="3"/>
      <c r="D520" s="3"/>
      <c r="E520" s="31"/>
      <c r="F520" s="133"/>
      <c r="G520" s="3"/>
      <c r="H520" s="31"/>
      <c r="I520" s="31"/>
      <c r="J520" s="3"/>
      <c r="K520" s="3"/>
      <c r="L520" s="3"/>
      <c r="M520" s="3"/>
      <c r="N520" s="3"/>
      <c r="O520" s="3"/>
      <c r="P520" s="3"/>
      <c r="Q520" s="3"/>
      <c r="R520" s="32"/>
      <c r="S520" s="32"/>
      <c r="T520" s="3"/>
      <c r="U520" s="33"/>
      <c r="V520" s="33"/>
      <c r="W520" s="3"/>
      <c r="X520" s="3"/>
      <c r="Y520" s="3"/>
      <c r="Z520" s="3"/>
      <c r="AA520" s="3"/>
      <c r="AB520" s="3"/>
      <c r="AC520" s="3"/>
      <c r="AD520" s="32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4"/>
      <c r="AT520" s="3"/>
      <c r="AU520" s="3"/>
      <c r="AV520" s="3"/>
      <c r="AW520" s="3"/>
      <c r="AX520" s="4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220"/>
      <c r="CY520" s="220"/>
      <c r="CZ520" s="220"/>
      <c r="DA520" s="220"/>
      <c r="DB520" s="237"/>
      <c r="DC520" s="238"/>
      <c r="DD520" s="238"/>
      <c r="DE520" s="238"/>
      <c r="DF520" s="238"/>
      <c r="DG520" s="238"/>
      <c r="DH520" s="238"/>
      <c r="DI520" s="238"/>
      <c r="DJ520" s="238"/>
      <c r="DK520" s="238"/>
      <c r="DL520" s="238"/>
      <c r="DM520" s="238"/>
      <c r="DN520" s="238"/>
      <c r="DO520" s="238"/>
      <c r="DP520" s="238"/>
      <c r="DQ520" s="238"/>
      <c r="DR520" s="238"/>
      <c r="DS520" s="238"/>
      <c r="DT520" s="238"/>
      <c r="DU520" s="238"/>
      <c r="DV520" s="238"/>
      <c r="DW520" s="238"/>
      <c r="DX520" s="238"/>
      <c r="DY520" s="238"/>
      <c r="DZ520" s="238"/>
      <c r="EA520" s="238"/>
      <c r="EB520" s="238"/>
      <c r="EC520" s="238"/>
      <c r="ED520" s="3"/>
      <c r="EE520" s="3"/>
      <c r="EF520" s="3"/>
      <c r="EG520" s="3"/>
      <c r="EH520" s="3"/>
    </row>
    <row r="521" spans="1:138" s="82" customFormat="1" x14ac:dyDescent="0.2">
      <c r="A521" s="3"/>
      <c r="B521" s="167"/>
      <c r="C521" s="3"/>
      <c r="D521" s="3"/>
      <c r="E521" s="31"/>
      <c r="F521" s="133"/>
      <c r="G521" s="3"/>
      <c r="H521" s="31"/>
      <c r="I521" s="31"/>
      <c r="J521" s="3"/>
      <c r="K521" s="3"/>
      <c r="L521" s="3"/>
      <c r="M521" s="3"/>
      <c r="N521" s="3"/>
      <c r="O521" s="3"/>
      <c r="P521" s="3"/>
      <c r="Q521" s="3"/>
      <c r="R521" s="32"/>
      <c r="S521" s="32"/>
      <c r="T521" s="3"/>
      <c r="U521" s="33"/>
      <c r="V521" s="33"/>
      <c r="W521" s="3"/>
      <c r="X521" s="3"/>
      <c r="Y521" s="3"/>
      <c r="Z521" s="3"/>
      <c r="AA521" s="3"/>
      <c r="AB521" s="3"/>
      <c r="AC521" s="3"/>
      <c r="AD521" s="32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4"/>
      <c r="AT521" s="3"/>
      <c r="AU521" s="3"/>
      <c r="AV521" s="3"/>
      <c r="AW521" s="3"/>
      <c r="AX521" s="4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84"/>
      <c r="BZ521" s="84"/>
      <c r="CA521" s="84"/>
      <c r="CB521" s="84"/>
      <c r="CC521" s="84"/>
      <c r="CD521" s="84"/>
      <c r="CE521" s="84"/>
      <c r="CF521" s="84"/>
      <c r="CG521" s="84"/>
      <c r="CH521" s="84"/>
      <c r="CI521" s="84"/>
      <c r="CJ521" s="84"/>
      <c r="CK521" s="84"/>
      <c r="CL521" s="84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220"/>
      <c r="CY521" s="220"/>
      <c r="CZ521" s="220"/>
      <c r="DA521" s="220"/>
      <c r="DB521" s="237"/>
      <c r="DC521" s="238"/>
      <c r="DD521" s="238"/>
      <c r="DE521" s="238"/>
      <c r="DF521" s="238"/>
      <c r="DG521" s="238"/>
      <c r="DH521" s="238"/>
      <c r="DI521" s="238"/>
      <c r="DJ521" s="238"/>
      <c r="DK521" s="238"/>
      <c r="DL521" s="238"/>
      <c r="DM521" s="238"/>
      <c r="DN521" s="238"/>
      <c r="DO521" s="238"/>
      <c r="DP521" s="238"/>
      <c r="DQ521" s="238"/>
      <c r="DR521" s="238"/>
      <c r="DS521" s="238"/>
      <c r="DT521" s="238"/>
      <c r="DU521" s="238"/>
      <c r="DV521" s="238"/>
      <c r="DW521" s="238"/>
      <c r="DX521" s="238"/>
      <c r="DY521" s="238"/>
      <c r="DZ521" s="238"/>
      <c r="EA521" s="238"/>
      <c r="EB521" s="238"/>
      <c r="EC521" s="238"/>
      <c r="ED521" s="3"/>
      <c r="EE521" s="3"/>
      <c r="EF521" s="3"/>
      <c r="EG521" s="3"/>
      <c r="EH521" s="3"/>
    </row>
    <row r="522" spans="1:138" s="82" customFormat="1" x14ac:dyDescent="0.2">
      <c r="A522" s="3"/>
      <c r="B522" s="167"/>
      <c r="C522" s="3"/>
      <c r="D522" s="3"/>
      <c r="E522" s="31"/>
      <c r="F522" s="133"/>
      <c r="G522" s="3"/>
      <c r="H522" s="31"/>
      <c r="I522" s="31"/>
      <c r="J522" s="3"/>
      <c r="K522" s="3"/>
      <c r="L522" s="3"/>
      <c r="M522" s="3"/>
      <c r="N522" s="3"/>
      <c r="O522" s="3"/>
      <c r="P522" s="3"/>
      <c r="Q522" s="3"/>
      <c r="R522" s="32"/>
      <c r="S522" s="32"/>
      <c r="T522" s="3"/>
      <c r="U522" s="33"/>
      <c r="V522" s="33"/>
      <c r="W522" s="3"/>
      <c r="X522" s="3"/>
      <c r="Y522" s="3"/>
      <c r="Z522" s="3"/>
      <c r="AA522" s="3"/>
      <c r="AB522" s="3"/>
      <c r="AC522" s="3"/>
      <c r="AD522" s="32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4"/>
      <c r="AT522" s="3"/>
      <c r="AU522" s="3"/>
      <c r="AV522" s="3"/>
      <c r="AW522" s="3"/>
      <c r="AX522" s="4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84"/>
      <c r="BZ522" s="84"/>
      <c r="CA522" s="84"/>
      <c r="CB522" s="84"/>
      <c r="CC522" s="84"/>
      <c r="CD522" s="84"/>
      <c r="CE522" s="84"/>
      <c r="CF522" s="84"/>
      <c r="CG522" s="84"/>
      <c r="CH522" s="84"/>
      <c r="CI522" s="84"/>
      <c r="CJ522" s="84"/>
      <c r="CK522" s="84"/>
      <c r="CL522" s="84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220"/>
      <c r="CY522" s="220"/>
      <c r="CZ522" s="220"/>
      <c r="DA522" s="220"/>
      <c r="DB522" s="237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3"/>
      <c r="EE522" s="3"/>
      <c r="EF522" s="3"/>
      <c r="EG522" s="3"/>
      <c r="EH522" s="3"/>
    </row>
    <row r="523" spans="1:138" s="82" customFormat="1" x14ac:dyDescent="0.2">
      <c r="A523" s="3"/>
      <c r="B523" s="167"/>
      <c r="C523" s="3"/>
      <c r="D523" s="3"/>
      <c r="E523" s="31"/>
      <c r="F523" s="133"/>
      <c r="G523" s="3"/>
      <c r="H523" s="31"/>
      <c r="I523" s="31"/>
      <c r="J523" s="3"/>
      <c r="K523" s="3"/>
      <c r="L523" s="3"/>
      <c r="M523" s="3"/>
      <c r="N523" s="3"/>
      <c r="O523" s="3"/>
      <c r="P523" s="3"/>
      <c r="Q523" s="3"/>
      <c r="R523" s="32"/>
      <c r="S523" s="32"/>
      <c r="T523" s="3"/>
      <c r="U523" s="33"/>
      <c r="V523" s="33"/>
      <c r="W523" s="3"/>
      <c r="X523" s="3"/>
      <c r="Y523" s="3"/>
      <c r="Z523" s="3"/>
      <c r="AA523" s="3"/>
      <c r="AB523" s="3"/>
      <c r="AC523" s="3"/>
      <c r="AD523" s="32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4"/>
      <c r="AT523" s="3"/>
      <c r="AU523" s="3"/>
      <c r="AV523" s="3"/>
      <c r="AW523" s="3"/>
      <c r="AX523" s="4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84"/>
      <c r="BZ523" s="84"/>
      <c r="CA523" s="84"/>
      <c r="CB523" s="84"/>
      <c r="CC523" s="84"/>
      <c r="CD523" s="84"/>
      <c r="CE523" s="84"/>
      <c r="CF523" s="84"/>
      <c r="CG523" s="84"/>
      <c r="CH523" s="84"/>
      <c r="CI523" s="84"/>
      <c r="CJ523" s="84"/>
      <c r="CK523" s="84"/>
      <c r="CL523" s="84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220"/>
      <c r="CY523" s="220"/>
      <c r="CZ523" s="220"/>
      <c r="DA523" s="220"/>
      <c r="DB523" s="237"/>
      <c r="DC523" s="238"/>
      <c r="DD523" s="238"/>
      <c r="DE523" s="238"/>
      <c r="DF523" s="238"/>
      <c r="DG523" s="238"/>
      <c r="DH523" s="238"/>
      <c r="DI523" s="238"/>
      <c r="DJ523" s="238"/>
      <c r="DK523" s="238"/>
      <c r="DL523" s="238"/>
      <c r="DM523" s="238"/>
      <c r="DN523" s="238"/>
      <c r="DO523" s="238"/>
      <c r="DP523" s="238"/>
      <c r="DQ523" s="238"/>
      <c r="DR523" s="238"/>
      <c r="DS523" s="238"/>
      <c r="DT523" s="238"/>
      <c r="DU523" s="238"/>
      <c r="DV523" s="238"/>
      <c r="DW523" s="238"/>
      <c r="DX523" s="238"/>
      <c r="DY523" s="238"/>
      <c r="DZ523" s="238"/>
      <c r="EA523" s="238"/>
      <c r="EB523" s="238"/>
      <c r="EC523" s="238"/>
      <c r="ED523" s="3"/>
      <c r="EE523" s="3"/>
      <c r="EF523" s="3"/>
      <c r="EG523" s="3"/>
      <c r="EH523" s="3"/>
    </row>
    <row r="524" spans="1:138" s="82" customFormat="1" x14ac:dyDescent="0.2">
      <c r="A524" s="3"/>
      <c r="B524" s="167"/>
      <c r="C524" s="3"/>
      <c r="D524" s="3"/>
      <c r="E524" s="31"/>
      <c r="F524" s="133"/>
      <c r="G524" s="3"/>
      <c r="H524" s="31"/>
      <c r="I524" s="31"/>
      <c r="J524" s="3"/>
      <c r="K524" s="3"/>
      <c r="L524" s="3"/>
      <c r="M524" s="3"/>
      <c r="N524" s="3"/>
      <c r="O524" s="3"/>
      <c r="P524" s="3"/>
      <c r="Q524" s="3"/>
      <c r="R524" s="32"/>
      <c r="S524" s="32"/>
      <c r="T524" s="3"/>
      <c r="U524" s="33"/>
      <c r="V524" s="33"/>
      <c r="W524" s="3"/>
      <c r="X524" s="3"/>
      <c r="Y524" s="3"/>
      <c r="Z524" s="3"/>
      <c r="AA524" s="3"/>
      <c r="AB524" s="3"/>
      <c r="AC524" s="3"/>
      <c r="AD524" s="32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4"/>
      <c r="AT524" s="3"/>
      <c r="AU524" s="3"/>
      <c r="AV524" s="3"/>
      <c r="AW524" s="3"/>
      <c r="AX524" s="4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84"/>
      <c r="BZ524" s="84"/>
      <c r="CA524" s="84"/>
      <c r="CB524" s="84"/>
      <c r="CC524" s="84"/>
      <c r="CD524" s="84"/>
      <c r="CE524" s="84"/>
      <c r="CF524" s="84"/>
      <c r="CG524" s="84"/>
      <c r="CH524" s="84"/>
      <c r="CI524" s="84"/>
      <c r="CJ524" s="84"/>
      <c r="CK524" s="84"/>
      <c r="CL524" s="84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220"/>
      <c r="CY524" s="220"/>
      <c r="CZ524" s="220"/>
      <c r="DA524" s="220"/>
      <c r="DB524" s="237"/>
      <c r="DC524" s="238"/>
      <c r="DD524" s="238"/>
      <c r="DE524" s="238"/>
      <c r="DF524" s="238"/>
      <c r="DG524" s="238"/>
      <c r="DH524" s="238"/>
      <c r="DI524" s="238"/>
      <c r="DJ524" s="238"/>
      <c r="DK524" s="238"/>
      <c r="DL524" s="238"/>
      <c r="DM524" s="238"/>
      <c r="DN524" s="238"/>
      <c r="DO524" s="238"/>
      <c r="DP524" s="238"/>
      <c r="DQ524" s="238"/>
      <c r="DR524" s="238"/>
      <c r="DS524" s="238"/>
      <c r="DT524" s="238"/>
      <c r="DU524" s="238"/>
      <c r="DV524" s="238"/>
      <c r="DW524" s="238"/>
      <c r="DX524" s="238"/>
      <c r="DY524" s="238"/>
      <c r="DZ524" s="238"/>
      <c r="EA524" s="238"/>
      <c r="EB524" s="238"/>
      <c r="EC524" s="238"/>
      <c r="ED524" s="3"/>
      <c r="EE524" s="3"/>
      <c r="EF524" s="3"/>
      <c r="EG524" s="3"/>
      <c r="EH524" s="3"/>
    </row>
    <row r="525" spans="1:138" s="82" customFormat="1" x14ac:dyDescent="0.2">
      <c r="A525" s="3"/>
      <c r="B525" s="167"/>
      <c r="C525" s="3"/>
      <c r="D525" s="3"/>
      <c r="E525" s="31"/>
      <c r="F525" s="133"/>
      <c r="G525" s="3"/>
      <c r="H525" s="31"/>
      <c r="I525" s="31"/>
      <c r="J525" s="3"/>
      <c r="K525" s="3"/>
      <c r="L525" s="3"/>
      <c r="M525" s="3"/>
      <c r="N525" s="3"/>
      <c r="O525" s="3"/>
      <c r="P525" s="3"/>
      <c r="Q525" s="3"/>
      <c r="R525" s="32"/>
      <c r="S525" s="32"/>
      <c r="T525" s="3"/>
      <c r="U525" s="33"/>
      <c r="V525" s="33"/>
      <c r="W525" s="3"/>
      <c r="X525" s="3"/>
      <c r="Y525" s="3"/>
      <c r="Z525" s="3"/>
      <c r="AA525" s="3"/>
      <c r="AB525" s="3"/>
      <c r="AC525" s="3"/>
      <c r="AD525" s="32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4"/>
      <c r="AT525" s="3"/>
      <c r="AU525" s="3"/>
      <c r="AV525" s="3"/>
      <c r="AW525" s="3"/>
      <c r="AX525" s="4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84"/>
      <c r="BZ525" s="84"/>
      <c r="CA525" s="84"/>
      <c r="CB525" s="84"/>
      <c r="CC525" s="84"/>
      <c r="CD525" s="84"/>
      <c r="CE525" s="84"/>
      <c r="CF525" s="84"/>
      <c r="CG525" s="84"/>
      <c r="CH525" s="84"/>
      <c r="CI525" s="84"/>
      <c r="CJ525" s="84"/>
      <c r="CK525" s="84"/>
      <c r="CL525" s="84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220"/>
      <c r="CY525" s="220"/>
      <c r="CZ525" s="220"/>
      <c r="DA525" s="220"/>
      <c r="DB525" s="237"/>
      <c r="DC525" s="238"/>
      <c r="DD525" s="238"/>
      <c r="DE525" s="238"/>
      <c r="DF525" s="238"/>
      <c r="DG525" s="238"/>
      <c r="DH525" s="238"/>
      <c r="DI525" s="238"/>
      <c r="DJ525" s="238"/>
      <c r="DK525" s="238"/>
      <c r="DL525" s="238"/>
      <c r="DM525" s="238"/>
      <c r="DN525" s="238"/>
      <c r="DO525" s="238"/>
      <c r="DP525" s="238"/>
      <c r="DQ525" s="238"/>
      <c r="DR525" s="238"/>
      <c r="DS525" s="238"/>
      <c r="DT525" s="238"/>
      <c r="DU525" s="238"/>
      <c r="DV525" s="238"/>
      <c r="DW525" s="238"/>
      <c r="DX525" s="238"/>
      <c r="DY525" s="238"/>
      <c r="DZ525" s="238"/>
      <c r="EA525" s="238"/>
      <c r="EB525" s="238"/>
      <c r="EC525" s="238"/>
      <c r="ED525" s="3"/>
      <c r="EE525" s="3"/>
      <c r="EF525" s="3"/>
      <c r="EG525" s="3"/>
      <c r="EH525" s="3"/>
    </row>
    <row r="526" spans="1:138" s="82" customFormat="1" x14ac:dyDescent="0.2">
      <c r="A526" s="3"/>
      <c r="B526" s="167"/>
      <c r="C526" s="3"/>
      <c r="D526" s="3"/>
      <c r="E526" s="31"/>
      <c r="F526" s="133"/>
      <c r="G526" s="3"/>
      <c r="H526" s="31"/>
      <c r="I526" s="31"/>
      <c r="J526" s="3"/>
      <c r="K526" s="3"/>
      <c r="L526" s="3"/>
      <c r="M526" s="3"/>
      <c r="N526" s="3"/>
      <c r="O526" s="3"/>
      <c r="P526" s="3"/>
      <c r="Q526" s="3"/>
      <c r="R526" s="32"/>
      <c r="S526" s="32"/>
      <c r="T526" s="3"/>
      <c r="U526" s="33"/>
      <c r="V526" s="33"/>
      <c r="W526" s="3"/>
      <c r="X526" s="3"/>
      <c r="Y526" s="3"/>
      <c r="Z526" s="3"/>
      <c r="AA526" s="3"/>
      <c r="AB526" s="3"/>
      <c r="AC526" s="3"/>
      <c r="AD526" s="32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4"/>
      <c r="AT526" s="3"/>
      <c r="AU526" s="3"/>
      <c r="AV526" s="3"/>
      <c r="AW526" s="3"/>
      <c r="AX526" s="4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84"/>
      <c r="BZ526" s="84"/>
      <c r="CA526" s="84"/>
      <c r="CB526" s="84"/>
      <c r="CC526" s="84"/>
      <c r="CD526" s="84"/>
      <c r="CE526" s="84"/>
      <c r="CF526" s="84"/>
      <c r="CG526" s="84"/>
      <c r="CH526" s="84"/>
      <c r="CI526" s="84"/>
      <c r="CJ526" s="84"/>
      <c r="CK526" s="84"/>
      <c r="CL526" s="84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220"/>
      <c r="CY526" s="220"/>
      <c r="CZ526" s="220"/>
      <c r="DA526" s="220"/>
      <c r="DB526" s="237"/>
      <c r="DC526" s="238"/>
      <c r="DD526" s="238"/>
      <c r="DE526" s="238"/>
      <c r="DF526" s="238"/>
      <c r="DG526" s="238"/>
      <c r="DH526" s="238"/>
      <c r="DI526" s="238"/>
      <c r="DJ526" s="238"/>
      <c r="DK526" s="238"/>
      <c r="DL526" s="238"/>
      <c r="DM526" s="238"/>
      <c r="DN526" s="238"/>
      <c r="DO526" s="238"/>
      <c r="DP526" s="238"/>
      <c r="DQ526" s="238"/>
      <c r="DR526" s="238"/>
      <c r="DS526" s="238"/>
      <c r="DT526" s="238"/>
      <c r="DU526" s="238"/>
      <c r="DV526" s="238"/>
      <c r="DW526" s="238"/>
      <c r="DX526" s="238"/>
      <c r="DY526" s="238"/>
      <c r="DZ526" s="238"/>
      <c r="EA526" s="238"/>
      <c r="EB526" s="238"/>
      <c r="EC526" s="238"/>
      <c r="ED526" s="3"/>
      <c r="EE526" s="3"/>
      <c r="EF526" s="3"/>
      <c r="EG526" s="3"/>
      <c r="EH526" s="3"/>
    </row>
    <row r="527" spans="1:138" s="82" customFormat="1" x14ac:dyDescent="0.2">
      <c r="A527" s="3"/>
      <c r="B527" s="167"/>
      <c r="C527" s="3"/>
      <c r="D527" s="3"/>
      <c r="E527" s="31"/>
      <c r="F527" s="133"/>
      <c r="G527" s="3"/>
      <c r="H527" s="31"/>
      <c r="I527" s="31"/>
      <c r="J527" s="3"/>
      <c r="K527" s="3"/>
      <c r="L527" s="3"/>
      <c r="M527" s="3"/>
      <c r="N527" s="3"/>
      <c r="O527" s="3"/>
      <c r="P527" s="3"/>
      <c r="Q527" s="3"/>
      <c r="R527" s="32"/>
      <c r="S527" s="32"/>
      <c r="T527" s="3"/>
      <c r="U527" s="33"/>
      <c r="V527" s="33"/>
      <c r="W527" s="3"/>
      <c r="X527" s="3"/>
      <c r="Y527" s="3"/>
      <c r="Z527" s="3"/>
      <c r="AA527" s="3"/>
      <c r="AB527" s="3"/>
      <c r="AC527" s="3"/>
      <c r="AD527" s="32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4"/>
      <c r="AT527" s="3"/>
      <c r="AU527" s="3"/>
      <c r="AV527" s="3"/>
      <c r="AW527" s="3"/>
      <c r="AX527" s="4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84"/>
      <c r="BZ527" s="84"/>
      <c r="CA527" s="84"/>
      <c r="CB527" s="84"/>
      <c r="CC527" s="84"/>
      <c r="CD527" s="84"/>
      <c r="CE527" s="84"/>
      <c r="CF527" s="84"/>
      <c r="CG527" s="84"/>
      <c r="CH527" s="84"/>
      <c r="CI527" s="84"/>
      <c r="CJ527" s="84"/>
      <c r="CK527" s="84"/>
      <c r="CL527" s="84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220"/>
      <c r="CY527" s="220"/>
      <c r="CZ527" s="220"/>
      <c r="DA527" s="220"/>
      <c r="DB527" s="237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3"/>
      <c r="EE527" s="3"/>
      <c r="EF527" s="3"/>
      <c r="EG527" s="3"/>
      <c r="EH527" s="3"/>
    </row>
    <row r="528" spans="1:138" s="82" customFormat="1" x14ac:dyDescent="0.2">
      <c r="A528" s="3"/>
      <c r="B528" s="167"/>
      <c r="C528" s="3"/>
      <c r="D528" s="3"/>
      <c r="E528" s="31"/>
      <c r="F528" s="133"/>
      <c r="G528" s="3"/>
      <c r="H528" s="31"/>
      <c r="I528" s="31"/>
      <c r="J528" s="3"/>
      <c r="K528" s="3"/>
      <c r="L528" s="3"/>
      <c r="M528" s="3"/>
      <c r="N528" s="3"/>
      <c r="O528" s="3"/>
      <c r="P528" s="3"/>
      <c r="Q528" s="3"/>
      <c r="R528" s="32"/>
      <c r="S528" s="32"/>
      <c r="T528" s="3"/>
      <c r="U528" s="33"/>
      <c r="V528" s="33"/>
      <c r="W528" s="3"/>
      <c r="X528" s="3"/>
      <c r="Y528" s="3"/>
      <c r="Z528" s="3"/>
      <c r="AA528" s="3"/>
      <c r="AB528" s="3"/>
      <c r="AC528" s="3"/>
      <c r="AD528" s="32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4"/>
      <c r="AT528" s="3"/>
      <c r="AU528" s="3"/>
      <c r="AV528" s="3"/>
      <c r="AW528" s="3"/>
      <c r="AX528" s="4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84"/>
      <c r="BZ528" s="84"/>
      <c r="CA528" s="84"/>
      <c r="CB528" s="84"/>
      <c r="CC528" s="84"/>
      <c r="CD528" s="84"/>
      <c r="CE528" s="84"/>
      <c r="CF528" s="84"/>
      <c r="CG528" s="84"/>
      <c r="CH528" s="84"/>
      <c r="CI528" s="84"/>
      <c r="CJ528" s="84"/>
      <c r="CK528" s="84"/>
      <c r="CL528" s="84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220"/>
      <c r="CY528" s="220"/>
      <c r="CZ528" s="220"/>
      <c r="DA528" s="220"/>
      <c r="DB528" s="237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38"/>
      <c r="DW528" s="238"/>
      <c r="DX528" s="238"/>
      <c r="DY528" s="238"/>
      <c r="DZ528" s="238"/>
      <c r="EA528" s="238"/>
      <c r="EB528" s="238"/>
      <c r="EC528" s="238"/>
      <c r="ED528" s="3"/>
      <c r="EE528" s="3"/>
      <c r="EF528" s="3"/>
      <c r="EG528" s="3"/>
      <c r="EH528" s="3"/>
    </row>
    <row r="529" spans="5:40" x14ac:dyDescent="0.2">
      <c r="E529" s="31"/>
      <c r="F529" s="133"/>
      <c r="H529" s="31"/>
      <c r="I529" s="31"/>
      <c r="R529" s="32"/>
      <c r="S529" s="32"/>
      <c r="U529" s="33"/>
      <c r="V529" s="33"/>
      <c r="AD529" s="32"/>
    </row>
    <row r="530" spans="5:40" x14ac:dyDescent="0.2">
      <c r="E530" s="31"/>
      <c r="F530" s="133"/>
      <c r="H530" s="31"/>
      <c r="I530" s="31"/>
      <c r="R530" s="32"/>
      <c r="S530" s="32"/>
      <c r="U530" s="33"/>
      <c r="V530" s="33"/>
      <c r="AD530" s="32"/>
    </row>
    <row r="531" spans="5:40" x14ac:dyDescent="0.2">
      <c r="E531" s="31"/>
      <c r="F531" s="133"/>
      <c r="H531" s="31"/>
      <c r="I531" s="31"/>
      <c r="R531" s="32"/>
      <c r="S531" s="32"/>
      <c r="U531" s="33"/>
      <c r="V531" s="33"/>
      <c r="AD531" s="32"/>
    </row>
    <row r="532" spans="5:40" x14ac:dyDescent="0.2">
      <c r="E532" s="31"/>
      <c r="F532" s="133"/>
      <c r="H532" s="31"/>
      <c r="I532" s="31"/>
      <c r="R532" s="32"/>
      <c r="S532" s="32"/>
      <c r="U532" s="33"/>
      <c r="V532" s="33"/>
      <c r="AD532" s="32"/>
    </row>
    <row r="533" spans="5:40" x14ac:dyDescent="0.2">
      <c r="E533" s="31"/>
      <c r="F533" s="133"/>
      <c r="H533" s="31"/>
      <c r="I533" s="31"/>
      <c r="R533" s="32"/>
      <c r="S533" s="32"/>
      <c r="U533" s="33"/>
      <c r="V533" s="33"/>
      <c r="AD533" s="32"/>
    </row>
    <row r="534" spans="5:40" x14ac:dyDescent="0.2">
      <c r="E534" s="31"/>
      <c r="F534" s="133"/>
      <c r="H534" s="31"/>
      <c r="I534" s="31"/>
      <c r="R534" s="32"/>
      <c r="S534" s="32"/>
      <c r="U534" s="33"/>
      <c r="V534" s="33"/>
      <c r="AD534" s="32"/>
    </row>
    <row r="535" spans="5:40" x14ac:dyDescent="0.2">
      <c r="E535" s="31"/>
      <c r="F535" s="133"/>
      <c r="H535" s="31"/>
      <c r="I535" s="31"/>
      <c r="R535" s="32"/>
      <c r="S535" s="32"/>
      <c r="U535" s="33"/>
      <c r="V535" s="33"/>
      <c r="AD535" s="32"/>
    </row>
    <row r="536" spans="5:40" x14ac:dyDescent="0.2">
      <c r="E536" s="31"/>
      <c r="F536" s="133"/>
      <c r="H536" s="31"/>
      <c r="I536" s="31"/>
      <c r="R536" s="32"/>
      <c r="S536" s="32"/>
      <c r="U536" s="33"/>
      <c r="V536" s="33"/>
      <c r="AD536" s="32"/>
    </row>
    <row r="537" spans="5:40" x14ac:dyDescent="0.2">
      <c r="E537" s="31"/>
      <c r="F537" s="133"/>
      <c r="G537" s="32"/>
      <c r="H537" s="31"/>
      <c r="I537" s="31"/>
      <c r="J537" s="32"/>
      <c r="K537" s="32"/>
      <c r="N537" s="32"/>
      <c r="O537" s="32"/>
      <c r="P537" s="32"/>
      <c r="Q537" s="32"/>
      <c r="R537" s="32"/>
      <c r="S537" s="32"/>
      <c r="T537" s="32"/>
      <c r="U537" s="32"/>
      <c r="V537" s="32"/>
      <c r="AD537" s="32"/>
      <c r="AE537" s="119"/>
      <c r="AF537" s="32"/>
      <c r="AG537" s="32"/>
      <c r="AH537" s="32"/>
      <c r="AJ537" s="32"/>
      <c r="AK537" s="32"/>
      <c r="AL537" s="32"/>
      <c r="AM537" s="32"/>
      <c r="AN537" s="32"/>
    </row>
    <row r="538" spans="5:40" x14ac:dyDescent="0.2">
      <c r="E538" s="31"/>
      <c r="F538" s="133"/>
      <c r="H538" s="31"/>
      <c r="I538" s="31"/>
      <c r="R538" s="32"/>
      <c r="S538" s="32"/>
      <c r="U538" s="33"/>
      <c r="V538" s="33"/>
      <c r="AD538" s="32"/>
    </row>
    <row r="539" spans="5:40" x14ac:dyDescent="0.2">
      <c r="E539" s="31"/>
      <c r="F539" s="133"/>
      <c r="H539" s="31"/>
      <c r="I539" s="31"/>
      <c r="R539" s="32"/>
      <c r="S539" s="32"/>
      <c r="U539" s="33"/>
      <c r="V539" s="33"/>
      <c r="AD539" s="32"/>
    </row>
    <row r="540" spans="5:40" x14ac:dyDescent="0.2">
      <c r="E540" s="31"/>
      <c r="F540" s="133"/>
      <c r="H540" s="31"/>
      <c r="I540" s="31"/>
      <c r="R540" s="32"/>
      <c r="S540" s="32"/>
      <c r="U540" s="33"/>
      <c r="V540" s="33"/>
      <c r="AD540" s="32"/>
    </row>
    <row r="541" spans="5:40" x14ac:dyDescent="0.2">
      <c r="E541" s="31"/>
      <c r="F541" s="133"/>
      <c r="H541" s="31"/>
      <c r="I541" s="31"/>
      <c r="R541" s="32"/>
      <c r="S541" s="32"/>
      <c r="U541" s="33"/>
      <c r="V541" s="33"/>
      <c r="AD541" s="32"/>
    </row>
    <row r="542" spans="5:40" x14ac:dyDescent="0.2">
      <c r="E542" s="31"/>
      <c r="F542" s="133"/>
      <c r="H542" s="31"/>
      <c r="I542" s="31"/>
      <c r="R542" s="32"/>
      <c r="S542" s="32"/>
      <c r="U542" s="33"/>
      <c r="V542" s="33"/>
      <c r="AD542" s="32"/>
    </row>
    <row r="543" spans="5:40" x14ac:dyDescent="0.2">
      <c r="E543" s="31"/>
      <c r="F543" s="133"/>
      <c r="H543" s="31"/>
      <c r="I543" s="31"/>
      <c r="R543" s="32"/>
      <c r="S543" s="32"/>
      <c r="U543" s="33"/>
      <c r="V543" s="33"/>
      <c r="AD543" s="32"/>
    </row>
    <row r="544" spans="5:40" x14ac:dyDescent="0.2">
      <c r="E544" s="31"/>
      <c r="F544" s="133"/>
      <c r="H544" s="31"/>
      <c r="I544" s="31"/>
      <c r="R544" s="32"/>
      <c r="S544" s="32"/>
      <c r="U544" s="33"/>
      <c r="V544" s="33"/>
      <c r="AD544" s="32"/>
    </row>
    <row r="545" spans="1:138" s="82" customFormat="1" x14ac:dyDescent="0.2">
      <c r="A545" s="3"/>
      <c r="B545" s="167"/>
      <c r="C545" s="3"/>
      <c r="D545" s="3"/>
      <c r="E545" s="31"/>
      <c r="F545" s="133"/>
      <c r="G545" s="3"/>
      <c r="H545" s="31"/>
      <c r="I545" s="31"/>
      <c r="J545" s="3"/>
      <c r="K545" s="3"/>
      <c r="L545" s="3"/>
      <c r="M545" s="3"/>
      <c r="N545" s="3"/>
      <c r="O545" s="3"/>
      <c r="P545" s="3"/>
      <c r="Q545" s="3"/>
      <c r="R545" s="32"/>
      <c r="S545" s="32"/>
      <c r="T545" s="3"/>
      <c r="U545" s="33"/>
      <c r="V545" s="33"/>
      <c r="W545" s="3"/>
      <c r="X545" s="3"/>
      <c r="Y545" s="3"/>
      <c r="Z545" s="3"/>
      <c r="AA545" s="3"/>
      <c r="AB545" s="3"/>
      <c r="AC545" s="3"/>
      <c r="AD545" s="32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4"/>
      <c r="AT545" s="3"/>
      <c r="AU545" s="3"/>
      <c r="AV545" s="3"/>
      <c r="AW545" s="3"/>
      <c r="AX545" s="4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84"/>
      <c r="BZ545" s="84"/>
      <c r="CA545" s="84"/>
      <c r="CB545" s="84"/>
      <c r="CC545" s="84"/>
      <c r="CD545" s="84"/>
      <c r="CE545" s="84"/>
      <c r="CF545" s="84"/>
      <c r="CG545" s="84"/>
      <c r="CH545" s="84"/>
      <c r="CI545" s="84"/>
      <c r="CJ545" s="84"/>
      <c r="CK545" s="84"/>
      <c r="CL545" s="84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220"/>
      <c r="CY545" s="220"/>
      <c r="CZ545" s="220"/>
      <c r="DA545" s="220"/>
      <c r="DB545" s="237"/>
      <c r="DC545" s="238"/>
      <c r="DD545" s="238"/>
      <c r="DE545" s="238"/>
      <c r="DF545" s="238"/>
      <c r="DG545" s="238"/>
      <c r="DH545" s="238"/>
      <c r="DI545" s="238"/>
      <c r="DJ545" s="238"/>
      <c r="DK545" s="238"/>
      <c r="DL545" s="238"/>
      <c r="DM545" s="238"/>
      <c r="DN545" s="238"/>
      <c r="DO545" s="238"/>
      <c r="DP545" s="238"/>
      <c r="DQ545" s="238"/>
      <c r="DR545" s="238"/>
      <c r="DS545" s="238"/>
      <c r="DT545" s="238"/>
      <c r="DU545" s="238"/>
      <c r="DV545" s="238"/>
      <c r="DW545" s="238"/>
      <c r="DX545" s="238"/>
      <c r="DY545" s="238"/>
      <c r="DZ545" s="238"/>
      <c r="EA545" s="238"/>
      <c r="EB545" s="238"/>
      <c r="EC545" s="238"/>
      <c r="ED545" s="3"/>
      <c r="EE545" s="3"/>
      <c r="EF545" s="3"/>
      <c r="EG545" s="3"/>
      <c r="EH545" s="3"/>
    </row>
    <row r="546" spans="1:138" s="82" customFormat="1" x14ac:dyDescent="0.2">
      <c r="A546" s="3"/>
      <c r="B546" s="167"/>
      <c r="C546" s="3"/>
      <c r="D546" s="3"/>
      <c r="E546" s="31"/>
      <c r="F546" s="133"/>
      <c r="G546" s="3"/>
      <c r="H546" s="31"/>
      <c r="I546" s="31"/>
      <c r="J546" s="3"/>
      <c r="K546" s="3"/>
      <c r="L546" s="3"/>
      <c r="M546" s="3"/>
      <c r="N546" s="3"/>
      <c r="O546" s="3"/>
      <c r="P546" s="3"/>
      <c r="Q546" s="3"/>
      <c r="R546" s="32"/>
      <c r="S546" s="32"/>
      <c r="T546" s="3"/>
      <c r="U546" s="33"/>
      <c r="V546" s="33"/>
      <c r="W546" s="3"/>
      <c r="X546" s="3"/>
      <c r="Y546" s="3"/>
      <c r="Z546" s="3"/>
      <c r="AA546" s="3"/>
      <c r="AB546" s="3"/>
      <c r="AC546" s="3"/>
      <c r="AD546" s="32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4"/>
      <c r="AT546" s="3"/>
      <c r="AU546" s="3"/>
      <c r="AV546" s="3"/>
      <c r="AW546" s="3"/>
      <c r="AX546" s="4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220"/>
      <c r="CY546" s="220"/>
      <c r="CZ546" s="220"/>
      <c r="DA546" s="220"/>
      <c r="DB546" s="237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238"/>
      <c r="EC546" s="238"/>
      <c r="ED546" s="3"/>
      <c r="EE546" s="3"/>
      <c r="EF546" s="3"/>
      <c r="EG546" s="3"/>
      <c r="EH546" s="3"/>
    </row>
    <row r="547" spans="1:138" s="82" customFormat="1" x14ac:dyDescent="0.2">
      <c r="A547" s="3"/>
      <c r="B547" s="167"/>
      <c r="C547" s="3"/>
      <c r="D547" s="3"/>
      <c r="E547" s="31"/>
      <c r="F547" s="133"/>
      <c r="G547" s="3"/>
      <c r="H547" s="31"/>
      <c r="I547" s="31"/>
      <c r="J547" s="3"/>
      <c r="K547" s="3"/>
      <c r="L547" s="3"/>
      <c r="M547" s="3"/>
      <c r="N547" s="3"/>
      <c r="O547" s="3"/>
      <c r="P547" s="3"/>
      <c r="Q547" s="3"/>
      <c r="R547" s="32"/>
      <c r="S547" s="32"/>
      <c r="T547" s="3"/>
      <c r="U547" s="33"/>
      <c r="V547" s="33"/>
      <c r="W547" s="3"/>
      <c r="X547" s="3"/>
      <c r="Y547" s="3"/>
      <c r="Z547" s="3"/>
      <c r="AA547" s="3"/>
      <c r="AB547" s="3"/>
      <c r="AC547" s="3"/>
      <c r="AD547" s="32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4"/>
      <c r="AT547" s="3"/>
      <c r="AU547" s="3"/>
      <c r="AV547" s="3"/>
      <c r="AW547" s="3"/>
      <c r="AX547" s="4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84"/>
      <c r="BZ547" s="84"/>
      <c r="CA547" s="84"/>
      <c r="CB547" s="84"/>
      <c r="CC547" s="84"/>
      <c r="CD547" s="84"/>
      <c r="CE547" s="84"/>
      <c r="CF547" s="84"/>
      <c r="CG547" s="84"/>
      <c r="CH547" s="84"/>
      <c r="CI547" s="84"/>
      <c r="CJ547" s="84"/>
      <c r="CK547" s="84"/>
      <c r="CL547" s="84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220"/>
      <c r="CY547" s="220"/>
      <c r="CZ547" s="220"/>
      <c r="DA547" s="220"/>
      <c r="DB547" s="237"/>
      <c r="DC547" s="238"/>
      <c r="DD547" s="238"/>
      <c r="DE547" s="238"/>
      <c r="DF547" s="238"/>
      <c r="DG547" s="238"/>
      <c r="DH547" s="238"/>
      <c r="DI547" s="238"/>
      <c r="DJ547" s="238"/>
      <c r="DK547" s="238"/>
      <c r="DL547" s="238"/>
      <c r="DM547" s="238"/>
      <c r="DN547" s="238"/>
      <c r="DO547" s="238"/>
      <c r="DP547" s="238"/>
      <c r="DQ547" s="238"/>
      <c r="DR547" s="238"/>
      <c r="DS547" s="238"/>
      <c r="DT547" s="238"/>
      <c r="DU547" s="238"/>
      <c r="DV547" s="238"/>
      <c r="DW547" s="238"/>
      <c r="DX547" s="238"/>
      <c r="DY547" s="238"/>
      <c r="DZ547" s="238"/>
      <c r="EA547" s="238"/>
      <c r="EB547" s="238"/>
      <c r="EC547" s="238"/>
      <c r="ED547" s="3"/>
      <c r="EE547" s="3"/>
      <c r="EF547" s="3"/>
      <c r="EG547" s="3"/>
      <c r="EH547" s="3"/>
    </row>
    <row r="548" spans="1:138" s="82" customFormat="1" x14ac:dyDescent="0.2">
      <c r="A548" s="3"/>
      <c r="B548" s="167"/>
      <c r="C548" s="3"/>
      <c r="D548" s="3"/>
      <c r="E548" s="31"/>
      <c r="F548" s="133"/>
      <c r="G548" s="3"/>
      <c r="H548" s="31"/>
      <c r="I548" s="31"/>
      <c r="J548" s="3"/>
      <c r="K548" s="3"/>
      <c r="L548" s="3"/>
      <c r="M548" s="3"/>
      <c r="N548" s="3"/>
      <c r="O548" s="3"/>
      <c r="P548" s="3"/>
      <c r="Q548" s="3"/>
      <c r="R548" s="32"/>
      <c r="S548" s="32"/>
      <c r="T548" s="3"/>
      <c r="U548" s="33"/>
      <c r="V548" s="33"/>
      <c r="W548" s="3"/>
      <c r="X548" s="3"/>
      <c r="Y548" s="3"/>
      <c r="Z548" s="3"/>
      <c r="AA548" s="3"/>
      <c r="AB548" s="3"/>
      <c r="AC548" s="3"/>
      <c r="AD548" s="32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4"/>
      <c r="AT548" s="3"/>
      <c r="AU548" s="3"/>
      <c r="AV548" s="3"/>
      <c r="AW548" s="3"/>
      <c r="AX548" s="4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84"/>
      <c r="BZ548" s="84"/>
      <c r="CA548" s="84"/>
      <c r="CB548" s="84"/>
      <c r="CC548" s="84"/>
      <c r="CD548" s="84"/>
      <c r="CE548" s="84"/>
      <c r="CF548" s="84"/>
      <c r="CG548" s="84"/>
      <c r="CH548" s="84"/>
      <c r="CI548" s="84"/>
      <c r="CJ548" s="84"/>
      <c r="CK548" s="84"/>
      <c r="CL548" s="84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220"/>
      <c r="CY548" s="220"/>
      <c r="CZ548" s="220"/>
      <c r="DA548" s="220"/>
      <c r="DB548" s="237"/>
      <c r="DC548" s="238"/>
      <c r="DD548" s="238"/>
      <c r="DE548" s="238"/>
      <c r="DF548" s="238"/>
      <c r="DG548" s="238"/>
      <c r="DH548" s="238"/>
      <c r="DI548" s="238"/>
      <c r="DJ548" s="238"/>
      <c r="DK548" s="238"/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38"/>
      <c r="DW548" s="238"/>
      <c r="DX548" s="238"/>
      <c r="DY548" s="238"/>
      <c r="DZ548" s="238"/>
      <c r="EA548" s="238"/>
      <c r="EB548" s="238"/>
      <c r="EC548" s="238"/>
      <c r="ED548" s="3"/>
      <c r="EE548" s="3"/>
      <c r="EF548" s="3"/>
      <c r="EG548" s="3"/>
      <c r="EH548" s="3"/>
    </row>
    <row r="549" spans="1:138" s="82" customFormat="1" x14ac:dyDescent="0.2">
      <c r="A549" s="3"/>
      <c r="B549" s="167"/>
      <c r="C549" s="3"/>
      <c r="D549" s="3"/>
      <c r="E549" s="31"/>
      <c r="F549" s="133"/>
      <c r="G549" s="3"/>
      <c r="H549" s="31"/>
      <c r="I549" s="31"/>
      <c r="J549" s="3"/>
      <c r="K549" s="3"/>
      <c r="L549" s="3"/>
      <c r="M549" s="3"/>
      <c r="N549" s="3"/>
      <c r="O549" s="3"/>
      <c r="P549" s="3"/>
      <c r="Q549" s="3"/>
      <c r="R549" s="32"/>
      <c r="S549" s="32"/>
      <c r="T549" s="3"/>
      <c r="U549" s="33"/>
      <c r="V549" s="33"/>
      <c r="W549" s="3"/>
      <c r="X549" s="3"/>
      <c r="Y549" s="3"/>
      <c r="Z549" s="3"/>
      <c r="AA549" s="3"/>
      <c r="AB549" s="3"/>
      <c r="AC549" s="3"/>
      <c r="AD549" s="32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4"/>
      <c r="AT549" s="3"/>
      <c r="AU549" s="3"/>
      <c r="AV549" s="3"/>
      <c r="AW549" s="3"/>
      <c r="AX549" s="4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84"/>
      <c r="BZ549" s="84"/>
      <c r="CA549" s="84"/>
      <c r="CB549" s="84"/>
      <c r="CC549" s="84"/>
      <c r="CD549" s="84"/>
      <c r="CE549" s="84"/>
      <c r="CF549" s="84"/>
      <c r="CG549" s="84"/>
      <c r="CH549" s="84"/>
      <c r="CI549" s="84"/>
      <c r="CJ549" s="84"/>
      <c r="CK549" s="84"/>
      <c r="CL549" s="84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220"/>
      <c r="CY549" s="220"/>
      <c r="CZ549" s="220"/>
      <c r="DA549" s="220"/>
      <c r="DB549" s="237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238"/>
      <c r="EC549" s="238"/>
      <c r="ED549" s="3"/>
      <c r="EE549" s="3"/>
      <c r="EF549" s="3"/>
      <c r="EG549" s="3"/>
      <c r="EH549" s="3"/>
    </row>
    <row r="550" spans="1:138" s="82" customFormat="1" x14ac:dyDescent="0.2">
      <c r="A550" s="3"/>
      <c r="B550" s="167"/>
      <c r="C550" s="3"/>
      <c r="D550" s="3"/>
      <c r="E550" s="31"/>
      <c r="F550" s="133"/>
      <c r="G550" s="3"/>
      <c r="H550" s="31"/>
      <c r="I550" s="31"/>
      <c r="J550" s="3"/>
      <c r="K550" s="3"/>
      <c r="L550" s="3"/>
      <c r="M550" s="3"/>
      <c r="N550" s="3"/>
      <c r="O550" s="3"/>
      <c r="P550" s="3"/>
      <c r="Q550" s="3"/>
      <c r="R550" s="32"/>
      <c r="S550" s="32"/>
      <c r="T550" s="3"/>
      <c r="U550" s="33"/>
      <c r="V550" s="33"/>
      <c r="W550" s="3"/>
      <c r="X550" s="3"/>
      <c r="Y550" s="3"/>
      <c r="Z550" s="3"/>
      <c r="AA550" s="3"/>
      <c r="AB550" s="3"/>
      <c r="AC550" s="3"/>
      <c r="AD550" s="32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4"/>
      <c r="AT550" s="3"/>
      <c r="AU550" s="3"/>
      <c r="AV550" s="3"/>
      <c r="AW550" s="3"/>
      <c r="AX550" s="4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84"/>
      <c r="BZ550" s="84"/>
      <c r="CA550" s="84"/>
      <c r="CB550" s="84"/>
      <c r="CC550" s="84"/>
      <c r="CD550" s="84"/>
      <c r="CE550" s="84"/>
      <c r="CF550" s="84"/>
      <c r="CG550" s="84"/>
      <c r="CH550" s="84"/>
      <c r="CI550" s="84"/>
      <c r="CJ550" s="84"/>
      <c r="CK550" s="84"/>
      <c r="CL550" s="84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220"/>
      <c r="CY550" s="220"/>
      <c r="CZ550" s="220"/>
      <c r="DA550" s="220"/>
      <c r="DB550" s="237"/>
      <c r="DC550" s="238"/>
      <c r="DD550" s="238"/>
      <c r="DE550" s="238"/>
      <c r="DF550" s="238"/>
      <c r="DG550" s="238"/>
      <c r="DH550" s="238"/>
      <c r="DI550" s="238"/>
      <c r="DJ550" s="238"/>
      <c r="DK550" s="238"/>
      <c r="DL550" s="238"/>
      <c r="DM550" s="238"/>
      <c r="DN550" s="238"/>
      <c r="DO550" s="238"/>
      <c r="DP550" s="238"/>
      <c r="DQ550" s="238"/>
      <c r="DR550" s="238"/>
      <c r="DS550" s="238"/>
      <c r="DT550" s="238"/>
      <c r="DU550" s="238"/>
      <c r="DV550" s="238"/>
      <c r="DW550" s="238"/>
      <c r="DX550" s="238"/>
      <c r="DY550" s="238"/>
      <c r="DZ550" s="238"/>
      <c r="EA550" s="238"/>
      <c r="EB550" s="238"/>
      <c r="EC550" s="238"/>
      <c r="ED550" s="3"/>
      <c r="EE550" s="3"/>
      <c r="EF550" s="3"/>
      <c r="EG550" s="3"/>
      <c r="EH550" s="3"/>
    </row>
    <row r="551" spans="1:138" s="82" customFormat="1" x14ac:dyDescent="0.2">
      <c r="A551" s="3"/>
      <c r="B551" s="167"/>
      <c r="C551" s="3"/>
      <c r="D551" s="3"/>
      <c r="E551" s="31"/>
      <c r="F551" s="133"/>
      <c r="G551" s="3"/>
      <c r="H551" s="31"/>
      <c r="I551" s="31"/>
      <c r="J551" s="3"/>
      <c r="K551" s="3"/>
      <c r="L551" s="3"/>
      <c r="M551" s="3"/>
      <c r="N551" s="3"/>
      <c r="O551" s="3"/>
      <c r="P551" s="3"/>
      <c r="Q551" s="3"/>
      <c r="R551" s="32"/>
      <c r="S551" s="32"/>
      <c r="T551" s="3"/>
      <c r="U551" s="33"/>
      <c r="V551" s="33"/>
      <c r="W551" s="3"/>
      <c r="X551" s="3"/>
      <c r="Y551" s="3"/>
      <c r="Z551" s="3"/>
      <c r="AA551" s="3"/>
      <c r="AB551" s="3"/>
      <c r="AC551" s="3"/>
      <c r="AD551" s="32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4"/>
      <c r="AT551" s="3"/>
      <c r="AU551" s="3"/>
      <c r="AV551" s="3"/>
      <c r="AW551" s="3"/>
      <c r="AX551" s="4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84"/>
      <c r="BZ551" s="84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220"/>
      <c r="CY551" s="220"/>
      <c r="CZ551" s="220"/>
      <c r="DA551" s="220"/>
      <c r="DB551" s="237"/>
      <c r="DC551" s="238"/>
      <c r="DD551" s="238"/>
      <c r="DE551" s="238"/>
      <c r="DF551" s="238"/>
      <c r="DG551" s="238"/>
      <c r="DH551" s="238"/>
      <c r="DI551" s="238"/>
      <c r="DJ551" s="238"/>
      <c r="DK551" s="238"/>
      <c r="DL551" s="238"/>
      <c r="DM551" s="238"/>
      <c r="DN551" s="238"/>
      <c r="DO551" s="238"/>
      <c r="DP551" s="238"/>
      <c r="DQ551" s="238"/>
      <c r="DR551" s="238"/>
      <c r="DS551" s="238"/>
      <c r="DT551" s="238"/>
      <c r="DU551" s="238"/>
      <c r="DV551" s="238"/>
      <c r="DW551" s="238"/>
      <c r="DX551" s="238"/>
      <c r="DY551" s="238"/>
      <c r="DZ551" s="238"/>
      <c r="EA551" s="238"/>
      <c r="EB551" s="238"/>
      <c r="EC551" s="238"/>
      <c r="ED551" s="3"/>
      <c r="EE551" s="3"/>
      <c r="EF551" s="3"/>
      <c r="EG551" s="3"/>
      <c r="EH551" s="3"/>
    </row>
    <row r="552" spans="1:138" s="82" customFormat="1" x14ac:dyDescent="0.2">
      <c r="A552" s="3"/>
      <c r="B552" s="167"/>
      <c r="C552" s="3"/>
      <c r="D552" s="3"/>
      <c r="E552" s="31"/>
      <c r="F552" s="133"/>
      <c r="G552" s="3"/>
      <c r="H552" s="31"/>
      <c r="I552" s="31"/>
      <c r="J552" s="3"/>
      <c r="K552" s="3"/>
      <c r="L552" s="3"/>
      <c r="M552" s="3"/>
      <c r="N552" s="3"/>
      <c r="O552" s="3"/>
      <c r="P552" s="3"/>
      <c r="Q552" s="3"/>
      <c r="R552" s="32"/>
      <c r="S552" s="32"/>
      <c r="T552" s="3"/>
      <c r="U552" s="33"/>
      <c r="V552" s="33"/>
      <c r="W552" s="3"/>
      <c r="X552" s="3"/>
      <c r="Y552" s="3"/>
      <c r="Z552" s="3"/>
      <c r="AA552" s="3"/>
      <c r="AB552" s="3"/>
      <c r="AC552" s="3"/>
      <c r="AD552" s="32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4"/>
      <c r="AT552" s="3"/>
      <c r="AU552" s="3"/>
      <c r="AV552" s="3"/>
      <c r="AW552" s="3"/>
      <c r="AX552" s="4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84"/>
      <c r="BZ552" s="84"/>
      <c r="CA552" s="84"/>
      <c r="CB552" s="84"/>
      <c r="CC552" s="84"/>
      <c r="CD552" s="84"/>
      <c r="CE552" s="84"/>
      <c r="CF552" s="84"/>
      <c r="CG552" s="84"/>
      <c r="CH552" s="84"/>
      <c r="CI552" s="84"/>
      <c r="CJ552" s="84"/>
      <c r="CK552" s="84"/>
      <c r="CL552" s="84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220"/>
      <c r="CY552" s="220"/>
      <c r="CZ552" s="220"/>
      <c r="DA552" s="220"/>
      <c r="DB552" s="237"/>
      <c r="DC552" s="238"/>
      <c r="DD552" s="238"/>
      <c r="DE552" s="238"/>
      <c r="DF552" s="238"/>
      <c r="DG552" s="238"/>
      <c r="DH552" s="238"/>
      <c r="DI552" s="238"/>
      <c r="DJ552" s="238"/>
      <c r="DK552" s="238"/>
      <c r="DL552" s="238"/>
      <c r="DM552" s="238"/>
      <c r="DN552" s="238"/>
      <c r="DO552" s="238"/>
      <c r="DP552" s="238"/>
      <c r="DQ552" s="238"/>
      <c r="DR552" s="238"/>
      <c r="DS552" s="238"/>
      <c r="DT552" s="238"/>
      <c r="DU552" s="238"/>
      <c r="DV552" s="238"/>
      <c r="DW552" s="238"/>
      <c r="DX552" s="238"/>
      <c r="DY552" s="238"/>
      <c r="DZ552" s="238"/>
      <c r="EA552" s="238"/>
      <c r="EB552" s="238"/>
      <c r="EC552" s="238"/>
      <c r="ED552" s="3"/>
      <c r="EE552" s="3"/>
      <c r="EF552" s="3"/>
      <c r="EG552" s="3"/>
      <c r="EH552" s="3"/>
    </row>
    <row r="553" spans="1:138" s="82" customFormat="1" x14ac:dyDescent="0.2">
      <c r="A553" s="3"/>
      <c r="B553" s="167"/>
      <c r="C553" s="3"/>
      <c r="D553" s="3"/>
      <c r="E553" s="31"/>
      <c r="F553" s="133"/>
      <c r="G553" s="3"/>
      <c r="H553" s="31"/>
      <c r="I553" s="31"/>
      <c r="J553" s="3"/>
      <c r="K553" s="3"/>
      <c r="L553" s="3"/>
      <c r="M553" s="3"/>
      <c r="N553" s="3"/>
      <c r="O553" s="3"/>
      <c r="P553" s="3"/>
      <c r="Q553" s="3"/>
      <c r="R553" s="32"/>
      <c r="S553" s="32"/>
      <c r="T553" s="3"/>
      <c r="U553" s="33"/>
      <c r="V553" s="33"/>
      <c r="W553" s="3"/>
      <c r="X553" s="3"/>
      <c r="Y553" s="3"/>
      <c r="Z553" s="3"/>
      <c r="AA553" s="3"/>
      <c r="AB553" s="3"/>
      <c r="AC553" s="3"/>
      <c r="AD553" s="32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4"/>
      <c r="AT553" s="3"/>
      <c r="AU553" s="3"/>
      <c r="AV553" s="3"/>
      <c r="AW553" s="3"/>
      <c r="AX553" s="4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84"/>
      <c r="BZ553" s="84"/>
      <c r="CA553" s="84"/>
      <c r="CB553" s="84"/>
      <c r="CC553" s="84"/>
      <c r="CD553" s="84"/>
      <c r="CE553" s="84"/>
      <c r="CF553" s="84"/>
      <c r="CG553" s="84"/>
      <c r="CH553" s="84"/>
      <c r="CI553" s="84"/>
      <c r="CJ553" s="84"/>
      <c r="CK553" s="84"/>
      <c r="CL553" s="84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220"/>
      <c r="CY553" s="220"/>
      <c r="CZ553" s="220"/>
      <c r="DA553" s="220"/>
      <c r="DB553" s="237"/>
      <c r="DC553" s="238"/>
      <c r="DD553" s="238"/>
      <c r="DE553" s="238"/>
      <c r="DF553" s="238"/>
      <c r="DG553" s="238"/>
      <c r="DH553" s="238"/>
      <c r="DI553" s="238"/>
      <c r="DJ553" s="238"/>
      <c r="DK553" s="238"/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38"/>
      <c r="DW553" s="238"/>
      <c r="DX553" s="238"/>
      <c r="DY553" s="238"/>
      <c r="DZ553" s="238"/>
      <c r="EA553" s="238"/>
      <c r="EB553" s="238"/>
      <c r="EC553" s="238"/>
      <c r="ED553" s="3"/>
      <c r="EE553" s="3"/>
      <c r="EF553" s="3"/>
      <c r="EG553" s="3"/>
      <c r="EH553" s="3"/>
    </row>
    <row r="554" spans="1:138" s="82" customFormat="1" x14ac:dyDescent="0.2">
      <c r="A554" s="3"/>
      <c r="B554" s="167"/>
      <c r="C554" s="3"/>
      <c r="D554" s="3"/>
      <c r="E554" s="31"/>
      <c r="F554" s="133"/>
      <c r="G554" s="3"/>
      <c r="H554" s="31"/>
      <c r="I554" s="31"/>
      <c r="J554" s="3"/>
      <c r="K554" s="3"/>
      <c r="L554" s="3"/>
      <c r="M554" s="3"/>
      <c r="N554" s="3"/>
      <c r="O554" s="3"/>
      <c r="P554" s="3"/>
      <c r="Q554" s="3"/>
      <c r="R554" s="32"/>
      <c r="S554" s="32"/>
      <c r="T554" s="3"/>
      <c r="U554" s="33"/>
      <c r="V554" s="33"/>
      <c r="W554" s="3"/>
      <c r="X554" s="3"/>
      <c r="Y554" s="3"/>
      <c r="Z554" s="3"/>
      <c r="AA554" s="3"/>
      <c r="AB554" s="3"/>
      <c r="AC554" s="3"/>
      <c r="AD554" s="32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4"/>
      <c r="AT554" s="3"/>
      <c r="AU554" s="3"/>
      <c r="AV554" s="3"/>
      <c r="AW554" s="3"/>
      <c r="AX554" s="4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220"/>
      <c r="CY554" s="220"/>
      <c r="CZ554" s="220"/>
      <c r="DA554" s="220"/>
      <c r="DB554" s="237"/>
      <c r="DC554" s="238"/>
      <c r="DD554" s="238"/>
      <c r="DE554" s="238"/>
      <c r="DF554" s="238"/>
      <c r="DG554" s="238"/>
      <c r="DH554" s="238"/>
      <c r="DI554" s="238"/>
      <c r="DJ554" s="238"/>
      <c r="DK554" s="238"/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38"/>
      <c r="DW554" s="238"/>
      <c r="DX554" s="238"/>
      <c r="DY554" s="238"/>
      <c r="DZ554" s="238"/>
      <c r="EA554" s="238"/>
      <c r="EB554" s="238"/>
      <c r="EC554" s="238"/>
      <c r="ED554" s="3"/>
      <c r="EE554" s="3"/>
      <c r="EF554" s="3"/>
      <c r="EG554" s="3"/>
      <c r="EH554" s="3"/>
    </row>
    <row r="555" spans="1:138" s="82" customFormat="1" x14ac:dyDescent="0.2">
      <c r="A555" s="3"/>
      <c r="B555" s="167"/>
      <c r="C555" s="3"/>
      <c r="D555" s="3"/>
      <c r="E555" s="31"/>
      <c r="F555" s="133"/>
      <c r="G555" s="3"/>
      <c r="H555" s="31"/>
      <c r="I555" s="31"/>
      <c r="J555" s="3"/>
      <c r="K555" s="3"/>
      <c r="L555" s="3"/>
      <c r="M555" s="3"/>
      <c r="N555" s="3"/>
      <c r="O555" s="3"/>
      <c r="P555" s="3"/>
      <c r="Q555" s="3"/>
      <c r="R555" s="32"/>
      <c r="S555" s="32"/>
      <c r="T555" s="3"/>
      <c r="U555" s="33"/>
      <c r="V555" s="33"/>
      <c r="W555" s="3"/>
      <c r="X555" s="3"/>
      <c r="Y555" s="3"/>
      <c r="Z555" s="3"/>
      <c r="AA555" s="3"/>
      <c r="AB555" s="3"/>
      <c r="AC555" s="3"/>
      <c r="AD555" s="32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4"/>
      <c r="AT555" s="3"/>
      <c r="AU555" s="3"/>
      <c r="AV555" s="3"/>
      <c r="AW555" s="3"/>
      <c r="AX555" s="4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84"/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220"/>
      <c r="CY555" s="220"/>
      <c r="CZ555" s="220"/>
      <c r="DA555" s="220"/>
      <c r="DB555" s="237"/>
      <c r="DC555" s="238"/>
      <c r="DD555" s="238"/>
      <c r="DE555" s="238"/>
      <c r="DF555" s="238"/>
      <c r="DG555" s="238"/>
      <c r="DH555" s="238"/>
      <c r="DI555" s="238"/>
      <c r="DJ555" s="238"/>
      <c r="DK555" s="238"/>
      <c r="DL555" s="238"/>
      <c r="DM555" s="238"/>
      <c r="DN555" s="238"/>
      <c r="DO555" s="238"/>
      <c r="DP555" s="238"/>
      <c r="DQ555" s="238"/>
      <c r="DR555" s="238"/>
      <c r="DS555" s="238"/>
      <c r="DT555" s="238"/>
      <c r="DU555" s="238"/>
      <c r="DV555" s="238"/>
      <c r="DW555" s="238"/>
      <c r="DX555" s="238"/>
      <c r="DY555" s="238"/>
      <c r="DZ555" s="238"/>
      <c r="EA555" s="238"/>
      <c r="EB555" s="238"/>
      <c r="EC555" s="238"/>
      <c r="ED555" s="3"/>
      <c r="EE555" s="3"/>
      <c r="EF555" s="3"/>
      <c r="EG555" s="3"/>
      <c r="EH555" s="3"/>
    </row>
    <row r="556" spans="1:138" s="82" customFormat="1" x14ac:dyDescent="0.2">
      <c r="A556" s="3"/>
      <c r="B556" s="167"/>
      <c r="C556" s="3"/>
      <c r="D556" s="3"/>
      <c r="E556" s="31"/>
      <c r="F556" s="133"/>
      <c r="G556" s="3"/>
      <c r="H556" s="31"/>
      <c r="I556" s="31"/>
      <c r="J556" s="3"/>
      <c r="K556" s="3"/>
      <c r="L556" s="3"/>
      <c r="M556" s="3"/>
      <c r="N556" s="3"/>
      <c r="O556" s="3"/>
      <c r="P556" s="3"/>
      <c r="Q556" s="3"/>
      <c r="R556" s="32"/>
      <c r="S556" s="32"/>
      <c r="T556" s="3"/>
      <c r="U556" s="33"/>
      <c r="V556" s="33"/>
      <c r="W556" s="3"/>
      <c r="X556" s="3"/>
      <c r="Y556" s="3"/>
      <c r="Z556" s="3"/>
      <c r="AA556" s="3"/>
      <c r="AB556" s="3"/>
      <c r="AC556" s="3"/>
      <c r="AD556" s="32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4"/>
      <c r="AT556" s="3"/>
      <c r="AU556" s="3"/>
      <c r="AV556" s="3"/>
      <c r="AW556" s="3"/>
      <c r="AX556" s="4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84"/>
      <c r="BZ556" s="84"/>
      <c r="CA556" s="84"/>
      <c r="CB556" s="84"/>
      <c r="CC556" s="84"/>
      <c r="CD556" s="84"/>
      <c r="CE556" s="84"/>
      <c r="CF556" s="84"/>
      <c r="CG556" s="84"/>
      <c r="CH556" s="84"/>
      <c r="CI556" s="84"/>
      <c r="CJ556" s="84"/>
      <c r="CK556" s="84"/>
      <c r="CL556" s="84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220"/>
      <c r="CY556" s="220"/>
      <c r="CZ556" s="220"/>
      <c r="DA556" s="220"/>
      <c r="DB556" s="237"/>
      <c r="DC556" s="238"/>
      <c r="DD556" s="238"/>
      <c r="DE556" s="238"/>
      <c r="DF556" s="238"/>
      <c r="DG556" s="238"/>
      <c r="DH556" s="238"/>
      <c r="DI556" s="238"/>
      <c r="DJ556" s="238"/>
      <c r="DK556" s="238"/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38"/>
      <c r="DW556" s="238"/>
      <c r="DX556" s="238"/>
      <c r="DY556" s="238"/>
      <c r="DZ556" s="238"/>
      <c r="EA556" s="238"/>
      <c r="EB556" s="238"/>
      <c r="EC556" s="238"/>
      <c r="ED556" s="3"/>
      <c r="EE556" s="3"/>
      <c r="EF556" s="3"/>
      <c r="EG556" s="3"/>
      <c r="EH556" s="3"/>
    </row>
    <row r="557" spans="1:138" s="82" customFormat="1" x14ac:dyDescent="0.2">
      <c r="A557" s="3"/>
      <c r="B557" s="167"/>
      <c r="C557" s="3"/>
      <c r="D557" s="3"/>
      <c r="E557" s="31"/>
      <c r="F557" s="133"/>
      <c r="G557" s="3"/>
      <c r="H557" s="31"/>
      <c r="I557" s="31"/>
      <c r="J557" s="3"/>
      <c r="K557" s="3"/>
      <c r="L557" s="3"/>
      <c r="M557" s="3"/>
      <c r="N557" s="3"/>
      <c r="O557" s="3"/>
      <c r="P557" s="3"/>
      <c r="Q557" s="3"/>
      <c r="R557" s="32"/>
      <c r="S557" s="32"/>
      <c r="T557" s="3"/>
      <c r="U557" s="33"/>
      <c r="V557" s="33"/>
      <c r="W557" s="3"/>
      <c r="X557" s="3"/>
      <c r="Y557" s="3"/>
      <c r="Z557" s="3"/>
      <c r="AA557" s="3"/>
      <c r="AB557" s="3"/>
      <c r="AC557" s="3"/>
      <c r="AD557" s="32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4"/>
      <c r="AT557" s="3"/>
      <c r="AU557" s="3"/>
      <c r="AV557" s="3"/>
      <c r="AW557" s="3"/>
      <c r="AX557" s="4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84"/>
      <c r="BZ557" s="84"/>
      <c r="CA557" s="84"/>
      <c r="CB557" s="84"/>
      <c r="CC557" s="84"/>
      <c r="CD557" s="84"/>
      <c r="CE557" s="84"/>
      <c r="CF557" s="84"/>
      <c r="CG557" s="84"/>
      <c r="CH557" s="84"/>
      <c r="CI557" s="84"/>
      <c r="CJ557" s="84"/>
      <c r="CK557" s="84"/>
      <c r="CL557" s="84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220"/>
      <c r="CY557" s="220"/>
      <c r="CZ557" s="220"/>
      <c r="DA557" s="220"/>
      <c r="DB557" s="237"/>
      <c r="DC557" s="238"/>
      <c r="DD557" s="238"/>
      <c r="DE557" s="238"/>
      <c r="DF557" s="238"/>
      <c r="DG557" s="238"/>
      <c r="DH557" s="238"/>
      <c r="DI557" s="238"/>
      <c r="DJ557" s="238"/>
      <c r="DK557" s="238"/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38"/>
      <c r="DW557" s="238"/>
      <c r="DX557" s="238"/>
      <c r="DY557" s="238"/>
      <c r="DZ557" s="238"/>
      <c r="EA557" s="238"/>
      <c r="EB557" s="238"/>
      <c r="EC557" s="238"/>
      <c r="ED557" s="3"/>
      <c r="EE557" s="3"/>
      <c r="EF557" s="3"/>
      <c r="EG557" s="3"/>
      <c r="EH557" s="3"/>
    </row>
    <row r="558" spans="1:138" s="82" customFormat="1" x14ac:dyDescent="0.2">
      <c r="A558" s="3"/>
      <c r="B558" s="167"/>
      <c r="C558" s="3"/>
      <c r="D558" s="3"/>
      <c r="E558" s="31"/>
      <c r="F558" s="133"/>
      <c r="G558" s="3"/>
      <c r="H558" s="31"/>
      <c r="I558" s="31"/>
      <c r="J558" s="3"/>
      <c r="K558" s="3"/>
      <c r="L558" s="3"/>
      <c r="M558" s="3"/>
      <c r="N558" s="3"/>
      <c r="O558" s="3"/>
      <c r="P558" s="3"/>
      <c r="Q558" s="3"/>
      <c r="R558" s="32"/>
      <c r="S558" s="32"/>
      <c r="T558" s="3"/>
      <c r="U558" s="33"/>
      <c r="V558" s="33"/>
      <c r="W558" s="3"/>
      <c r="X558" s="3"/>
      <c r="Y558" s="3"/>
      <c r="Z558" s="3"/>
      <c r="AA558" s="3"/>
      <c r="AB558" s="3"/>
      <c r="AC558" s="3"/>
      <c r="AD558" s="32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4"/>
      <c r="AT558" s="3"/>
      <c r="AU558" s="3"/>
      <c r="AV558" s="3"/>
      <c r="AW558" s="3"/>
      <c r="AX558" s="4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84"/>
      <c r="BZ558" s="84"/>
      <c r="CA558" s="84"/>
      <c r="CB558" s="84"/>
      <c r="CC558" s="84"/>
      <c r="CD558" s="84"/>
      <c r="CE558" s="84"/>
      <c r="CF558" s="84"/>
      <c r="CG558" s="84"/>
      <c r="CH558" s="84"/>
      <c r="CI558" s="84"/>
      <c r="CJ558" s="84"/>
      <c r="CK558" s="84"/>
      <c r="CL558" s="84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220"/>
      <c r="CY558" s="220"/>
      <c r="CZ558" s="220"/>
      <c r="DA558" s="220"/>
      <c r="DB558" s="237"/>
      <c r="DC558" s="238"/>
      <c r="DD558" s="238"/>
      <c r="DE558" s="238"/>
      <c r="DF558" s="238"/>
      <c r="DG558" s="238"/>
      <c r="DH558" s="238"/>
      <c r="DI558" s="238"/>
      <c r="DJ558" s="238"/>
      <c r="DK558" s="238"/>
      <c r="DL558" s="238"/>
      <c r="DM558" s="238"/>
      <c r="DN558" s="238"/>
      <c r="DO558" s="238"/>
      <c r="DP558" s="238"/>
      <c r="DQ558" s="238"/>
      <c r="DR558" s="238"/>
      <c r="DS558" s="238"/>
      <c r="DT558" s="238"/>
      <c r="DU558" s="238"/>
      <c r="DV558" s="238"/>
      <c r="DW558" s="238"/>
      <c r="DX558" s="238"/>
      <c r="DY558" s="238"/>
      <c r="DZ558" s="238"/>
      <c r="EA558" s="238"/>
      <c r="EB558" s="238"/>
      <c r="EC558" s="238"/>
      <c r="ED558" s="3"/>
      <c r="EE558" s="3"/>
      <c r="EF558" s="3"/>
      <c r="EG558" s="3"/>
      <c r="EH558" s="3"/>
    </row>
    <row r="559" spans="1:138" s="82" customFormat="1" x14ac:dyDescent="0.2">
      <c r="A559" s="3"/>
      <c r="B559" s="167"/>
      <c r="C559" s="3"/>
      <c r="D559" s="3"/>
      <c r="E559" s="31"/>
      <c r="F559" s="133"/>
      <c r="G559" s="3"/>
      <c r="H559" s="31"/>
      <c r="I559" s="31"/>
      <c r="J559" s="3"/>
      <c r="K559" s="3"/>
      <c r="L559" s="3"/>
      <c r="M559" s="3"/>
      <c r="N559" s="3"/>
      <c r="O559" s="3"/>
      <c r="P559" s="3"/>
      <c r="Q559" s="3"/>
      <c r="R559" s="32"/>
      <c r="S559" s="32"/>
      <c r="T559" s="3"/>
      <c r="U559" s="33"/>
      <c r="V559" s="33"/>
      <c r="W559" s="3"/>
      <c r="X559" s="3"/>
      <c r="Y559" s="3"/>
      <c r="Z559" s="3"/>
      <c r="AA559" s="3"/>
      <c r="AB559" s="3"/>
      <c r="AC559" s="3"/>
      <c r="AD559" s="32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4"/>
      <c r="AT559" s="3"/>
      <c r="AU559" s="3"/>
      <c r="AV559" s="3"/>
      <c r="AW559" s="3"/>
      <c r="AX559" s="4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220"/>
      <c r="CY559" s="220"/>
      <c r="CZ559" s="220"/>
      <c r="DA559" s="220"/>
      <c r="DB559" s="237"/>
      <c r="DC559" s="238"/>
      <c r="DD559" s="238"/>
      <c r="DE559" s="238"/>
      <c r="DF559" s="238"/>
      <c r="DG559" s="238"/>
      <c r="DH559" s="238"/>
      <c r="DI559" s="238"/>
      <c r="DJ559" s="238"/>
      <c r="DK559" s="238"/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38"/>
      <c r="DW559" s="238"/>
      <c r="DX559" s="238"/>
      <c r="DY559" s="238"/>
      <c r="DZ559" s="238"/>
      <c r="EA559" s="238"/>
      <c r="EB559" s="238"/>
      <c r="EC559" s="238"/>
      <c r="ED559" s="3"/>
      <c r="EE559" s="3"/>
      <c r="EF559" s="3"/>
      <c r="EG559" s="3"/>
      <c r="EH559" s="3"/>
    </row>
    <row r="560" spans="1:138" s="82" customFormat="1" x14ac:dyDescent="0.2">
      <c r="A560" s="3"/>
      <c r="B560" s="167"/>
      <c r="C560" s="3"/>
      <c r="D560" s="3"/>
      <c r="E560" s="31"/>
      <c r="F560" s="133"/>
      <c r="G560" s="3"/>
      <c r="H560" s="31"/>
      <c r="I560" s="31"/>
      <c r="J560" s="3"/>
      <c r="K560" s="3"/>
      <c r="L560" s="3"/>
      <c r="M560" s="3"/>
      <c r="N560" s="3"/>
      <c r="O560" s="3"/>
      <c r="P560" s="3"/>
      <c r="Q560" s="3"/>
      <c r="R560" s="32"/>
      <c r="S560" s="32"/>
      <c r="T560" s="3"/>
      <c r="U560" s="33"/>
      <c r="V560" s="33"/>
      <c r="W560" s="3"/>
      <c r="X560" s="3"/>
      <c r="Y560" s="3"/>
      <c r="Z560" s="3"/>
      <c r="AA560" s="3"/>
      <c r="AB560" s="3"/>
      <c r="AC560" s="3"/>
      <c r="AD560" s="32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4"/>
      <c r="AT560" s="3"/>
      <c r="AU560" s="3"/>
      <c r="AV560" s="3"/>
      <c r="AW560" s="3"/>
      <c r="AX560" s="4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84"/>
      <c r="BZ560" s="84"/>
      <c r="CA560" s="84"/>
      <c r="CB560" s="84"/>
      <c r="CC560" s="84"/>
      <c r="CD560" s="84"/>
      <c r="CE560" s="84"/>
      <c r="CF560" s="84"/>
      <c r="CG560" s="84"/>
      <c r="CH560" s="84"/>
      <c r="CI560" s="84"/>
      <c r="CJ560" s="84"/>
      <c r="CK560" s="84"/>
      <c r="CL560" s="84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220"/>
      <c r="CY560" s="220"/>
      <c r="CZ560" s="220"/>
      <c r="DA560" s="220"/>
      <c r="DB560" s="237"/>
      <c r="DC560" s="238"/>
      <c r="DD560" s="238"/>
      <c r="DE560" s="238"/>
      <c r="DF560" s="238"/>
      <c r="DG560" s="238"/>
      <c r="DH560" s="238"/>
      <c r="DI560" s="238"/>
      <c r="DJ560" s="238"/>
      <c r="DK560" s="238"/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38"/>
      <c r="DW560" s="238"/>
      <c r="DX560" s="238"/>
      <c r="DY560" s="238"/>
      <c r="DZ560" s="238"/>
      <c r="EA560" s="238"/>
      <c r="EB560" s="238"/>
      <c r="EC560" s="238"/>
      <c r="ED560" s="3"/>
      <c r="EE560" s="3"/>
      <c r="EF560" s="3"/>
      <c r="EG560" s="3"/>
      <c r="EH560" s="3"/>
    </row>
    <row r="561" spans="5:40" x14ac:dyDescent="0.2">
      <c r="E561" s="31"/>
      <c r="F561" s="133"/>
      <c r="H561" s="31"/>
      <c r="I561" s="31"/>
      <c r="R561" s="32"/>
      <c r="S561" s="32"/>
      <c r="U561" s="33"/>
      <c r="V561" s="33"/>
      <c r="AD561" s="32"/>
    </row>
    <row r="562" spans="5:40" x14ac:dyDescent="0.2">
      <c r="E562" s="31"/>
      <c r="F562" s="133"/>
      <c r="H562" s="31"/>
      <c r="I562" s="31"/>
      <c r="R562" s="32"/>
      <c r="S562" s="32"/>
      <c r="U562" s="33"/>
      <c r="V562" s="33"/>
      <c r="AD562" s="32"/>
    </row>
    <row r="563" spans="5:40" x14ac:dyDescent="0.2">
      <c r="E563" s="31"/>
      <c r="F563" s="133"/>
      <c r="H563" s="31"/>
      <c r="I563" s="31"/>
      <c r="R563" s="32"/>
      <c r="S563" s="32"/>
      <c r="U563" s="33"/>
      <c r="V563" s="33"/>
      <c r="AD563" s="32"/>
    </row>
    <row r="564" spans="5:40" x14ac:dyDescent="0.2">
      <c r="E564" s="31"/>
      <c r="F564" s="133"/>
      <c r="H564" s="31"/>
      <c r="I564" s="31"/>
      <c r="R564" s="32"/>
      <c r="S564" s="32"/>
      <c r="U564" s="33"/>
      <c r="V564" s="33"/>
      <c r="AD564" s="32"/>
    </row>
    <row r="565" spans="5:40" x14ac:dyDescent="0.2">
      <c r="E565" s="31"/>
      <c r="F565" s="133"/>
      <c r="H565" s="31"/>
      <c r="I565" s="31"/>
      <c r="R565" s="32"/>
      <c r="S565" s="32"/>
      <c r="U565" s="33"/>
      <c r="V565" s="33"/>
      <c r="AD565" s="32"/>
    </row>
    <row r="566" spans="5:40" x14ac:dyDescent="0.2">
      <c r="E566" s="31"/>
      <c r="F566" s="133"/>
      <c r="H566" s="31"/>
      <c r="I566" s="31"/>
      <c r="R566" s="32"/>
      <c r="S566" s="32"/>
      <c r="U566" s="33"/>
      <c r="V566" s="33"/>
      <c r="AD566" s="32"/>
    </row>
    <row r="567" spans="5:40" x14ac:dyDescent="0.2">
      <c r="E567" s="31"/>
      <c r="F567" s="133"/>
      <c r="G567" s="32"/>
      <c r="H567" s="31"/>
      <c r="I567" s="31"/>
      <c r="J567" s="32"/>
      <c r="K567" s="32"/>
      <c r="N567" s="32"/>
      <c r="O567" s="32"/>
      <c r="P567" s="32"/>
      <c r="Q567" s="32"/>
      <c r="R567" s="32"/>
      <c r="S567" s="32"/>
      <c r="T567" s="32"/>
      <c r="U567" s="32"/>
      <c r="V567" s="32"/>
      <c r="AD567" s="32"/>
      <c r="AE567" s="119"/>
      <c r="AF567" s="32"/>
      <c r="AG567" s="32"/>
      <c r="AH567" s="32"/>
      <c r="AJ567" s="32"/>
      <c r="AK567" s="32"/>
      <c r="AL567" s="32"/>
      <c r="AM567" s="32"/>
      <c r="AN567" s="32"/>
    </row>
    <row r="568" spans="5:40" x14ac:dyDescent="0.2">
      <c r="E568" s="31"/>
      <c r="F568" s="133"/>
      <c r="H568" s="31"/>
      <c r="I568" s="31"/>
      <c r="R568" s="32"/>
      <c r="S568" s="32"/>
      <c r="U568" s="33"/>
      <c r="V568" s="33"/>
      <c r="AD568" s="32"/>
    </row>
    <row r="569" spans="5:40" x14ac:dyDescent="0.2">
      <c r="E569" s="31"/>
      <c r="F569" s="133"/>
      <c r="H569" s="31"/>
      <c r="I569" s="31"/>
      <c r="R569" s="32"/>
      <c r="S569" s="32"/>
      <c r="U569" s="33"/>
      <c r="V569" s="33"/>
      <c r="AD569" s="32"/>
    </row>
    <row r="570" spans="5:40" x14ac:dyDescent="0.2">
      <c r="E570" s="31"/>
      <c r="F570" s="133"/>
      <c r="H570" s="31"/>
      <c r="I570" s="31"/>
      <c r="R570" s="32"/>
      <c r="S570" s="32"/>
      <c r="U570" s="33"/>
      <c r="V570" s="33"/>
      <c r="AD570" s="32"/>
    </row>
    <row r="571" spans="5:40" x14ac:dyDescent="0.2">
      <c r="E571" s="31"/>
      <c r="F571" s="133"/>
      <c r="H571" s="31"/>
      <c r="I571" s="31"/>
      <c r="R571" s="32"/>
      <c r="S571" s="32"/>
      <c r="U571" s="33"/>
      <c r="V571" s="33"/>
      <c r="AD571" s="32"/>
    </row>
    <row r="572" spans="5:40" x14ac:dyDescent="0.2">
      <c r="E572" s="31"/>
      <c r="F572" s="133"/>
      <c r="H572" s="31"/>
      <c r="I572" s="31"/>
      <c r="R572" s="32"/>
      <c r="S572" s="32"/>
      <c r="U572" s="33"/>
      <c r="V572" s="33"/>
      <c r="AD572" s="32"/>
    </row>
    <row r="573" spans="5:40" x14ac:dyDescent="0.2">
      <c r="E573" s="31"/>
      <c r="F573" s="133"/>
      <c r="H573" s="31"/>
      <c r="I573" s="31"/>
      <c r="R573" s="32"/>
      <c r="S573" s="32"/>
      <c r="U573" s="33"/>
      <c r="V573" s="33"/>
      <c r="AD573" s="32"/>
    </row>
    <row r="574" spans="5:40" x14ac:dyDescent="0.2">
      <c r="E574" s="31"/>
      <c r="F574" s="133"/>
      <c r="H574" s="31"/>
      <c r="I574" s="31"/>
      <c r="R574" s="32"/>
      <c r="S574" s="32"/>
      <c r="U574" s="33"/>
      <c r="V574" s="33"/>
      <c r="AD574" s="32"/>
    </row>
    <row r="575" spans="5:40" x14ac:dyDescent="0.2">
      <c r="E575" s="31"/>
      <c r="F575" s="133"/>
      <c r="H575" s="31"/>
      <c r="I575" s="31"/>
      <c r="R575" s="32"/>
      <c r="S575" s="32"/>
      <c r="U575" s="33"/>
      <c r="V575" s="33"/>
      <c r="AD575" s="32"/>
    </row>
    <row r="576" spans="5:40" x14ac:dyDescent="0.2">
      <c r="E576" s="31"/>
      <c r="F576" s="133"/>
      <c r="H576" s="31"/>
      <c r="I576" s="31"/>
      <c r="R576" s="32"/>
      <c r="S576" s="32"/>
      <c r="U576" s="33"/>
      <c r="V576" s="33"/>
      <c r="AD576" s="32"/>
    </row>
    <row r="577" spans="1:138" s="82" customFormat="1" x14ac:dyDescent="0.2">
      <c r="A577" s="3"/>
      <c r="B577" s="167"/>
      <c r="C577" s="3"/>
      <c r="D577" s="3"/>
      <c r="E577" s="31"/>
      <c r="F577" s="133"/>
      <c r="G577" s="3"/>
      <c r="H577" s="31"/>
      <c r="I577" s="31"/>
      <c r="J577" s="3"/>
      <c r="K577" s="3"/>
      <c r="L577" s="3"/>
      <c r="M577" s="3"/>
      <c r="N577" s="3"/>
      <c r="O577" s="3"/>
      <c r="P577" s="3"/>
      <c r="Q577" s="3"/>
      <c r="R577" s="32"/>
      <c r="S577" s="32"/>
      <c r="T577" s="3"/>
      <c r="U577" s="33"/>
      <c r="V577" s="33"/>
      <c r="W577" s="3"/>
      <c r="X577" s="3"/>
      <c r="Y577" s="3"/>
      <c r="Z577" s="3"/>
      <c r="AA577" s="3"/>
      <c r="AB577" s="3"/>
      <c r="AC577" s="3"/>
      <c r="AD577" s="32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4"/>
      <c r="AT577" s="3"/>
      <c r="AU577" s="3"/>
      <c r="AV577" s="3"/>
      <c r="AW577" s="3"/>
      <c r="AX577" s="4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  <c r="CL577" s="84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220"/>
      <c r="CY577" s="220"/>
      <c r="CZ577" s="220"/>
      <c r="DA577" s="220"/>
      <c r="DB577" s="237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3"/>
      <c r="EE577" s="3"/>
      <c r="EF577" s="3"/>
      <c r="EG577" s="3"/>
      <c r="EH577" s="3"/>
    </row>
    <row r="578" spans="1:138" s="82" customFormat="1" x14ac:dyDescent="0.2">
      <c r="A578" s="3"/>
      <c r="B578" s="167"/>
      <c r="C578" s="3"/>
      <c r="D578" s="3"/>
      <c r="E578" s="31"/>
      <c r="F578" s="133"/>
      <c r="G578" s="3"/>
      <c r="H578" s="31"/>
      <c r="I578" s="31"/>
      <c r="J578" s="3"/>
      <c r="K578" s="3"/>
      <c r="L578" s="3"/>
      <c r="M578" s="3"/>
      <c r="N578" s="3"/>
      <c r="O578" s="3"/>
      <c r="P578" s="3"/>
      <c r="Q578" s="3"/>
      <c r="R578" s="32"/>
      <c r="S578" s="32"/>
      <c r="T578" s="3"/>
      <c r="U578" s="33"/>
      <c r="V578" s="33"/>
      <c r="W578" s="3"/>
      <c r="X578" s="3"/>
      <c r="Y578" s="3"/>
      <c r="Z578" s="3"/>
      <c r="AA578" s="3"/>
      <c r="AB578" s="3"/>
      <c r="AC578" s="3"/>
      <c r="AD578" s="32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4"/>
      <c r="AT578" s="3"/>
      <c r="AU578" s="3"/>
      <c r="AV578" s="3"/>
      <c r="AW578" s="3"/>
      <c r="AX578" s="4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  <c r="CL578" s="84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220"/>
      <c r="CY578" s="220"/>
      <c r="CZ578" s="220"/>
      <c r="DA578" s="220"/>
      <c r="DB578" s="237"/>
      <c r="DC578" s="238"/>
      <c r="DD578" s="238"/>
      <c r="DE578" s="238"/>
      <c r="DF578" s="238"/>
      <c r="DG578" s="238"/>
      <c r="DH578" s="238"/>
      <c r="DI578" s="238"/>
      <c r="DJ578" s="238"/>
      <c r="DK578" s="238"/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238"/>
      <c r="EC578" s="238"/>
      <c r="ED578" s="3"/>
      <c r="EE578" s="3"/>
      <c r="EF578" s="3"/>
      <c r="EG578" s="3"/>
      <c r="EH578" s="3"/>
    </row>
    <row r="579" spans="1:138" s="82" customFormat="1" x14ac:dyDescent="0.2">
      <c r="A579" s="3"/>
      <c r="B579" s="167"/>
      <c r="C579" s="3"/>
      <c r="D579" s="3"/>
      <c r="E579" s="31"/>
      <c r="F579" s="133"/>
      <c r="G579" s="3"/>
      <c r="H579" s="31"/>
      <c r="I579" s="31"/>
      <c r="J579" s="3"/>
      <c r="K579" s="3"/>
      <c r="L579" s="3"/>
      <c r="M579" s="3"/>
      <c r="N579" s="3"/>
      <c r="O579" s="3"/>
      <c r="P579" s="3"/>
      <c r="Q579" s="3"/>
      <c r="R579" s="32"/>
      <c r="S579" s="32"/>
      <c r="T579" s="3"/>
      <c r="U579" s="33"/>
      <c r="V579" s="33"/>
      <c r="W579" s="3"/>
      <c r="X579" s="3"/>
      <c r="Y579" s="3"/>
      <c r="Z579" s="3"/>
      <c r="AA579" s="3"/>
      <c r="AB579" s="3"/>
      <c r="AC579" s="3"/>
      <c r="AD579" s="32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4"/>
      <c r="AT579" s="3"/>
      <c r="AU579" s="3"/>
      <c r="AV579" s="3"/>
      <c r="AW579" s="3"/>
      <c r="AX579" s="4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  <c r="CL579" s="84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220"/>
      <c r="CY579" s="220"/>
      <c r="CZ579" s="220"/>
      <c r="DA579" s="220"/>
      <c r="DB579" s="237"/>
      <c r="DC579" s="238"/>
      <c r="DD579" s="238"/>
      <c r="DE579" s="238"/>
      <c r="DF579" s="238"/>
      <c r="DG579" s="238"/>
      <c r="DH579" s="238"/>
      <c r="DI579" s="238"/>
      <c r="DJ579" s="238"/>
      <c r="DK579" s="238"/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238"/>
      <c r="EC579" s="238"/>
      <c r="ED579" s="3"/>
      <c r="EE579" s="3"/>
      <c r="EF579" s="3"/>
      <c r="EG579" s="3"/>
      <c r="EH579" s="3"/>
    </row>
    <row r="580" spans="1:138" s="82" customFormat="1" x14ac:dyDescent="0.2">
      <c r="A580" s="3"/>
      <c r="B580" s="167"/>
      <c r="C580" s="3"/>
      <c r="D580" s="3"/>
      <c r="E580" s="31"/>
      <c r="F580" s="133"/>
      <c r="G580" s="3"/>
      <c r="H580" s="31"/>
      <c r="I580" s="31"/>
      <c r="J580" s="3"/>
      <c r="K580" s="3"/>
      <c r="L580" s="3"/>
      <c r="M580" s="3"/>
      <c r="N580" s="3"/>
      <c r="O580" s="3"/>
      <c r="P580" s="3"/>
      <c r="Q580" s="3"/>
      <c r="R580" s="32"/>
      <c r="S580" s="32"/>
      <c r="T580" s="3"/>
      <c r="U580" s="33"/>
      <c r="V580" s="33"/>
      <c r="W580" s="3"/>
      <c r="X580" s="3"/>
      <c r="Y580" s="3"/>
      <c r="Z580" s="3"/>
      <c r="AA580" s="3"/>
      <c r="AB580" s="3"/>
      <c r="AC580" s="3"/>
      <c r="AD580" s="32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4"/>
      <c r="AT580" s="3"/>
      <c r="AU580" s="3"/>
      <c r="AV580" s="3"/>
      <c r="AW580" s="3"/>
      <c r="AX580" s="4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  <c r="CL580" s="84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220"/>
      <c r="CY580" s="220"/>
      <c r="CZ580" s="220"/>
      <c r="DA580" s="220"/>
      <c r="DB580" s="237"/>
      <c r="DC580" s="238"/>
      <c r="DD580" s="238"/>
      <c r="DE580" s="238"/>
      <c r="DF580" s="238"/>
      <c r="DG580" s="238"/>
      <c r="DH580" s="238"/>
      <c r="DI580" s="238"/>
      <c r="DJ580" s="238"/>
      <c r="DK580" s="238"/>
      <c r="DL580" s="238"/>
      <c r="DM580" s="238"/>
      <c r="DN580" s="238"/>
      <c r="DO580" s="238"/>
      <c r="DP580" s="238"/>
      <c r="DQ580" s="238"/>
      <c r="DR580" s="238"/>
      <c r="DS580" s="238"/>
      <c r="DT580" s="238"/>
      <c r="DU580" s="238"/>
      <c r="DV580" s="238"/>
      <c r="DW580" s="238"/>
      <c r="DX580" s="238"/>
      <c r="DY580" s="238"/>
      <c r="DZ580" s="238"/>
      <c r="EA580" s="238"/>
      <c r="EB580" s="238"/>
      <c r="EC580" s="238"/>
      <c r="ED580" s="3"/>
      <c r="EE580" s="3"/>
      <c r="EF580" s="3"/>
      <c r="EG580" s="3"/>
      <c r="EH580" s="3"/>
    </row>
    <row r="581" spans="1:138" s="82" customFormat="1" x14ac:dyDescent="0.2">
      <c r="A581" s="3"/>
      <c r="B581" s="167"/>
      <c r="C581" s="3"/>
      <c r="D581" s="3"/>
      <c r="E581" s="31"/>
      <c r="F581" s="133"/>
      <c r="G581" s="3"/>
      <c r="H581" s="31"/>
      <c r="I581" s="31"/>
      <c r="J581" s="3"/>
      <c r="K581" s="3"/>
      <c r="L581" s="3"/>
      <c r="M581" s="3"/>
      <c r="N581" s="3"/>
      <c r="O581" s="3"/>
      <c r="P581" s="3"/>
      <c r="Q581" s="3"/>
      <c r="R581" s="32"/>
      <c r="S581" s="32"/>
      <c r="T581" s="3"/>
      <c r="U581" s="33"/>
      <c r="V581" s="33"/>
      <c r="W581" s="3"/>
      <c r="X581" s="3"/>
      <c r="Y581" s="3"/>
      <c r="Z581" s="3"/>
      <c r="AA581" s="3"/>
      <c r="AB581" s="3"/>
      <c r="AC581" s="3"/>
      <c r="AD581" s="32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4"/>
      <c r="AT581" s="3"/>
      <c r="AU581" s="3"/>
      <c r="AV581" s="3"/>
      <c r="AW581" s="3"/>
      <c r="AX581" s="4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  <c r="CL581" s="84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220"/>
      <c r="CY581" s="220"/>
      <c r="CZ581" s="220"/>
      <c r="DA581" s="220"/>
      <c r="DB581" s="237"/>
      <c r="DC581" s="238"/>
      <c r="DD581" s="238"/>
      <c r="DE581" s="238"/>
      <c r="DF581" s="238"/>
      <c r="DG581" s="238"/>
      <c r="DH581" s="238"/>
      <c r="DI581" s="238"/>
      <c r="DJ581" s="238"/>
      <c r="DK581" s="238"/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238"/>
      <c r="EC581" s="238"/>
      <c r="ED581" s="3"/>
      <c r="EE581" s="3"/>
      <c r="EF581" s="3"/>
      <c r="EG581" s="3"/>
      <c r="EH581" s="3"/>
    </row>
    <row r="582" spans="1:138" s="82" customFormat="1" x14ac:dyDescent="0.2">
      <c r="A582" s="3"/>
      <c r="B582" s="167"/>
      <c r="C582" s="3"/>
      <c r="D582" s="3"/>
      <c r="E582" s="31"/>
      <c r="F582" s="133"/>
      <c r="G582" s="3"/>
      <c r="H582" s="31"/>
      <c r="I582" s="31"/>
      <c r="J582" s="3"/>
      <c r="K582" s="3"/>
      <c r="L582" s="3"/>
      <c r="M582" s="3"/>
      <c r="N582" s="3"/>
      <c r="O582" s="3"/>
      <c r="P582" s="3"/>
      <c r="Q582" s="3"/>
      <c r="R582" s="32"/>
      <c r="S582" s="32"/>
      <c r="T582" s="3"/>
      <c r="U582" s="33"/>
      <c r="V582" s="33"/>
      <c r="W582" s="3"/>
      <c r="X582" s="3"/>
      <c r="Y582" s="3"/>
      <c r="Z582" s="3"/>
      <c r="AA582" s="3"/>
      <c r="AB582" s="3"/>
      <c r="AC582" s="3"/>
      <c r="AD582" s="32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4"/>
      <c r="AT582" s="3"/>
      <c r="AU582" s="3"/>
      <c r="AV582" s="3"/>
      <c r="AW582" s="3"/>
      <c r="AX582" s="4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220"/>
      <c r="CY582" s="220"/>
      <c r="CZ582" s="220"/>
      <c r="DA582" s="220"/>
      <c r="DB582" s="237"/>
      <c r="DC582" s="238"/>
      <c r="DD582" s="238"/>
      <c r="DE582" s="238"/>
      <c r="DF582" s="238"/>
      <c r="DG582" s="238"/>
      <c r="DH582" s="238"/>
      <c r="DI582" s="238"/>
      <c r="DJ582" s="238"/>
      <c r="DK582" s="238"/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238"/>
      <c r="EC582" s="238"/>
      <c r="ED582" s="3"/>
      <c r="EE582" s="3"/>
      <c r="EF582" s="3"/>
      <c r="EG582" s="3"/>
      <c r="EH582" s="3"/>
    </row>
    <row r="583" spans="1:138" s="82" customFormat="1" x14ac:dyDescent="0.2">
      <c r="A583" s="3"/>
      <c r="B583" s="167"/>
      <c r="C583" s="3"/>
      <c r="D583" s="3"/>
      <c r="E583" s="31"/>
      <c r="F583" s="133"/>
      <c r="G583" s="3"/>
      <c r="H583" s="31"/>
      <c r="I583" s="31"/>
      <c r="J583" s="3"/>
      <c r="K583" s="3"/>
      <c r="L583" s="3"/>
      <c r="M583" s="3"/>
      <c r="N583" s="3"/>
      <c r="O583" s="3"/>
      <c r="P583" s="3"/>
      <c r="Q583" s="3"/>
      <c r="R583" s="32"/>
      <c r="S583" s="32"/>
      <c r="T583" s="3"/>
      <c r="U583" s="33"/>
      <c r="V583" s="33"/>
      <c r="W583" s="3"/>
      <c r="X583" s="3"/>
      <c r="Y583" s="3"/>
      <c r="Z583" s="3"/>
      <c r="AA583" s="3"/>
      <c r="AB583" s="3"/>
      <c r="AC583" s="3"/>
      <c r="AD583" s="32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4"/>
      <c r="AT583" s="3"/>
      <c r="AU583" s="3"/>
      <c r="AV583" s="3"/>
      <c r="AW583" s="3"/>
      <c r="AX583" s="4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  <c r="CL583" s="84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220"/>
      <c r="CY583" s="220"/>
      <c r="CZ583" s="220"/>
      <c r="DA583" s="220"/>
      <c r="DB583" s="237"/>
      <c r="DC583" s="238"/>
      <c r="DD583" s="238"/>
      <c r="DE583" s="238"/>
      <c r="DF583" s="238"/>
      <c r="DG583" s="238"/>
      <c r="DH583" s="238"/>
      <c r="DI583" s="238"/>
      <c r="DJ583" s="238"/>
      <c r="DK583" s="238"/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238"/>
      <c r="EC583" s="238"/>
      <c r="ED583" s="3"/>
      <c r="EE583" s="3"/>
      <c r="EF583" s="3"/>
      <c r="EG583" s="3"/>
      <c r="EH583" s="3"/>
    </row>
    <row r="584" spans="1:138" s="82" customFormat="1" x14ac:dyDescent="0.2">
      <c r="A584" s="3"/>
      <c r="B584" s="167"/>
      <c r="C584" s="3"/>
      <c r="D584" s="3"/>
      <c r="E584" s="31"/>
      <c r="F584" s="133"/>
      <c r="G584" s="3"/>
      <c r="H584" s="31"/>
      <c r="I584" s="31"/>
      <c r="J584" s="3"/>
      <c r="K584" s="3"/>
      <c r="L584" s="3"/>
      <c r="M584" s="3"/>
      <c r="N584" s="3"/>
      <c r="O584" s="3"/>
      <c r="P584" s="3"/>
      <c r="Q584" s="3"/>
      <c r="R584" s="32"/>
      <c r="S584" s="32"/>
      <c r="T584" s="3"/>
      <c r="U584" s="33"/>
      <c r="V584" s="33"/>
      <c r="W584" s="3"/>
      <c r="X584" s="3"/>
      <c r="Y584" s="3"/>
      <c r="Z584" s="3"/>
      <c r="AA584" s="3"/>
      <c r="AB584" s="3"/>
      <c r="AC584" s="3"/>
      <c r="AD584" s="32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4"/>
      <c r="AT584" s="3"/>
      <c r="AU584" s="3"/>
      <c r="AV584" s="3"/>
      <c r="AW584" s="3"/>
      <c r="AX584" s="4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  <c r="CL584" s="84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220"/>
      <c r="CY584" s="220"/>
      <c r="CZ584" s="220"/>
      <c r="DA584" s="220"/>
      <c r="DB584" s="237"/>
      <c r="DC584" s="238"/>
      <c r="DD584" s="238"/>
      <c r="DE584" s="238"/>
      <c r="DF584" s="238"/>
      <c r="DG584" s="238"/>
      <c r="DH584" s="238"/>
      <c r="DI584" s="238"/>
      <c r="DJ584" s="238"/>
      <c r="DK584" s="238"/>
      <c r="DL584" s="238"/>
      <c r="DM584" s="238"/>
      <c r="DN584" s="238"/>
      <c r="DO584" s="238"/>
      <c r="DP584" s="238"/>
      <c r="DQ584" s="238"/>
      <c r="DR584" s="238"/>
      <c r="DS584" s="238"/>
      <c r="DT584" s="238"/>
      <c r="DU584" s="238"/>
      <c r="DV584" s="238"/>
      <c r="DW584" s="238"/>
      <c r="DX584" s="238"/>
      <c r="DY584" s="238"/>
      <c r="DZ584" s="238"/>
      <c r="EA584" s="238"/>
      <c r="EB584" s="238"/>
      <c r="EC584" s="238"/>
      <c r="ED584" s="3"/>
      <c r="EE584" s="3"/>
      <c r="EF584" s="3"/>
      <c r="EG584" s="3"/>
      <c r="EH584" s="3"/>
    </row>
    <row r="585" spans="1:138" s="82" customFormat="1" x14ac:dyDescent="0.2">
      <c r="A585" s="3"/>
      <c r="B585" s="167"/>
      <c r="C585" s="3"/>
      <c r="D585" s="3"/>
      <c r="E585" s="31"/>
      <c r="F585" s="133"/>
      <c r="G585" s="3"/>
      <c r="H585" s="31"/>
      <c r="I585" s="31"/>
      <c r="J585" s="3"/>
      <c r="K585" s="3"/>
      <c r="L585" s="3"/>
      <c r="M585" s="3"/>
      <c r="N585" s="3"/>
      <c r="O585" s="3"/>
      <c r="P585" s="3"/>
      <c r="Q585" s="3"/>
      <c r="R585" s="32"/>
      <c r="S585" s="32"/>
      <c r="T585" s="3"/>
      <c r="U585" s="33"/>
      <c r="V585" s="33"/>
      <c r="W585" s="3"/>
      <c r="X585" s="3"/>
      <c r="Y585" s="3"/>
      <c r="Z585" s="3"/>
      <c r="AA585" s="3"/>
      <c r="AB585" s="3"/>
      <c r="AC585" s="3"/>
      <c r="AD585" s="32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4"/>
      <c r="AT585" s="3"/>
      <c r="AU585" s="3"/>
      <c r="AV585" s="3"/>
      <c r="AW585" s="3"/>
      <c r="AX585" s="4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  <c r="CL585" s="84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220"/>
      <c r="CY585" s="220"/>
      <c r="CZ585" s="220"/>
      <c r="DA585" s="220"/>
      <c r="DB585" s="237"/>
      <c r="DC585" s="238"/>
      <c r="DD585" s="238"/>
      <c r="DE585" s="238"/>
      <c r="DF585" s="238"/>
      <c r="DG585" s="238"/>
      <c r="DH585" s="238"/>
      <c r="DI585" s="238"/>
      <c r="DJ585" s="238"/>
      <c r="DK585" s="238"/>
      <c r="DL585" s="238"/>
      <c r="DM585" s="238"/>
      <c r="DN585" s="238"/>
      <c r="DO585" s="238"/>
      <c r="DP585" s="238"/>
      <c r="DQ585" s="238"/>
      <c r="DR585" s="238"/>
      <c r="DS585" s="238"/>
      <c r="DT585" s="238"/>
      <c r="DU585" s="238"/>
      <c r="DV585" s="238"/>
      <c r="DW585" s="238"/>
      <c r="DX585" s="238"/>
      <c r="DY585" s="238"/>
      <c r="DZ585" s="238"/>
      <c r="EA585" s="238"/>
      <c r="EB585" s="238"/>
      <c r="EC585" s="238"/>
      <c r="ED585" s="3"/>
      <c r="EE585" s="3"/>
      <c r="EF585" s="3"/>
      <c r="EG585" s="3"/>
      <c r="EH585" s="3"/>
    </row>
    <row r="586" spans="1:138" s="82" customFormat="1" x14ac:dyDescent="0.2">
      <c r="A586" s="3"/>
      <c r="B586" s="167"/>
      <c r="C586" s="3"/>
      <c r="D586" s="3"/>
      <c r="E586" s="31"/>
      <c r="F586" s="133"/>
      <c r="G586" s="3"/>
      <c r="H586" s="31"/>
      <c r="I586" s="31"/>
      <c r="J586" s="3"/>
      <c r="K586" s="3"/>
      <c r="L586" s="3"/>
      <c r="M586" s="3"/>
      <c r="N586" s="3"/>
      <c r="O586" s="3"/>
      <c r="P586" s="3"/>
      <c r="Q586" s="3"/>
      <c r="R586" s="32"/>
      <c r="S586" s="32"/>
      <c r="T586" s="3"/>
      <c r="U586" s="33"/>
      <c r="V586" s="33"/>
      <c r="W586" s="3"/>
      <c r="X586" s="3"/>
      <c r="Y586" s="3"/>
      <c r="Z586" s="3"/>
      <c r="AA586" s="3"/>
      <c r="AB586" s="3"/>
      <c r="AC586" s="3"/>
      <c r="AD586" s="32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4"/>
      <c r="AT586" s="3"/>
      <c r="AU586" s="3"/>
      <c r="AV586" s="3"/>
      <c r="AW586" s="3"/>
      <c r="AX586" s="4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220"/>
      <c r="CY586" s="220"/>
      <c r="CZ586" s="220"/>
      <c r="DA586" s="220"/>
      <c r="DB586" s="237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3"/>
      <c r="EE586" s="3"/>
      <c r="EF586" s="3"/>
      <c r="EG586" s="3"/>
      <c r="EH586" s="3"/>
    </row>
    <row r="587" spans="1:138" s="82" customFormat="1" x14ac:dyDescent="0.2">
      <c r="A587" s="3"/>
      <c r="B587" s="167"/>
      <c r="C587" s="3"/>
      <c r="D587" s="3"/>
      <c r="E587" s="31"/>
      <c r="F587" s="133"/>
      <c r="G587" s="3"/>
      <c r="H587" s="31"/>
      <c r="I587" s="31"/>
      <c r="J587" s="3"/>
      <c r="K587" s="3"/>
      <c r="L587" s="3"/>
      <c r="M587" s="3"/>
      <c r="N587" s="3"/>
      <c r="O587" s="3"/>
      <c r="P587" s="3"/>
      <c r="Q587" s="3"/>
      <c r="R587" s="32"/>
      <c r="S587" s="32"/>
      <c r="T587" s="3"/>
      <c r="U587" s="33"/>
      <c r="V587" s="33"/>
      <c r="W587" s="3"/>
      <c r="X587" s="3"/>
      <c r="Y587" s="3"/>
      <c r="Z587" s="3"/>
      <c r="AA587" s="3"/>
      <c r="AB587" s="3"/>
      <c r="AC587" s="3"/>
      <c r="AD587" s="32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4"/>
      <c r="AT587" s="3"/>
      <c r="AU587" s="3"/>
      <c r="AV587" s="3"/>
      <c r="AW587" s="3"/>
      <c r="AX587" s="4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  <c r="CL587" s="84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220"/>
      <c r="CY587" s="220"/>
      <c r="CZ587" s="220"/>
      <c r="DA587" s="220"/>
      <c r="DB587" s="237"/>
      <c r="DC587" s="238"/>
      <c r="DD587" s="238"/>
      <c r="DE587" s="238"/>
      <c r="DF587" s="238"/>
      <c r="DG587" s="238"/>
      <c r="DH587" s="238"/>
      <c r="DI587" s="238"/>
      <c r="DJ587" s="238"/>
      <c r="DK587" s="238"/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238"/>
      <c r="EC587" s="238"/>
      <c r="ED587" s="3"/>
      <c r="EE587" s="3"/>
      <c r="EF587" s="3"/>
      <c r="EG587" s="3"/>
      <c r="EH587" s="3"/>
    </row>
    <row r="588" spans="1:138" s="82" customFormat="1" x14ac:dyDescent="0.2">
      <c r="A588" s="3"/>
      <c r="B588" s="167"/>
      <c r="C588" s="3"/>
      <c r="D588" s="3"/>
      <c r="E588" s="31"/>
      <c r="F588" s="133"/>
      <c r="G588" s="3"/>
      <c r="H588" s="31"/>
      <c r="I588" s="31"/>
      <c r="J588" s="3"/>
      <c r="K588" s="3"/>
      <c r="L588" s="3"/>
      <c r="M588" s="3"/>
      <c r="N588" s="3"/>
      <c r="O588" s="3"/>
      <c r="P588" s="3"/>
      <c r="Q588" s="3"/>
      <c r="R588" s="32"/>
      <c r="S588" s="32"/>
      <c r="T588" s="3"/>
      <c r="U588" s="33"/>
      <c r="V588" s="33"/>
      <c r="W588" s="3"/>
      <c r="X588" s="3"/>
      <c r="Y588" s="3"/>
      <c r="Z588" s="3"/>
      <c r="AA588" s="3"/>
      <c r="AB588" s="3"/>
      <c r="AC588" s="3"/>
      <c r="AD588" s="32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4"/>
      <c r="AT588" s="3"/>
      <c r="AU588" s="3"/>
      <c r="AV588" s="3"/>
      <c r="AW588" s="3"/>
      <c r="AX588" s="4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220"/>
      <c r="CY588" s="220"/>
      <c r="CZ588" s="220"/>
      <c r="DA588" s="220"/>
      <c r="DB588" s="237"/>
      <c r="DC588" s="238"/>
      <c r="DD588" s="238"/>
      <c r="DE588" s="238"/>
      <c r="DF588" s="238"/>
      <c r="DG588" s="238"/>
      <c r="DH588" s="238"/>
      <c r="DI588" s="238"/>
      <c r="DJ588" s="238"/>
      <c r="DK588" s="238"/>
      <c r="DL588" s="238"/>
      <c r="DM588" s="238"/>
      <c r="DN588" s="238"/>
      <c r="DO588" s="238"/>
      <c r="DP588" s="238"/>
      <c r="DQ588" s="238"/>
      <c r="DR588" s="238"/>
      <c r="DS588" s="238"/>
      <c r="DT588" s="238"/>
      <c r="DU588" s="238"/>
      <c r="DV588" s="238"/>
      <c r="DW588" s="238"/>
      <c r="DX588" s="238"/>
      <c r="DY588" s="238"/>
      <c r="DZ588" s="238"/>
      <c r="EA588" s="238"/>
      <c r="EB588" s="238"/>
      <c r="EC588" s="238"/>
      <c r="ED588" s="3"/>
      <c r="EE588" s="3"/>
      <c r="EF588" s="3"/>
      <c r="EG588" s="3"/>
      <c r="EH588" s="3"/>
    </row>
    <row r="589" spans="1:138" s="82" customFormat="1" x14ac:dyDescent="0.2">
      <c r="A589" s="3"/>
      <c r="B589" s="167"/>
      <c r="C589" s="3"/>
      <c r="D589" s="3"/>
      <c r="E589" s="31"/>
      <c r="F589" s="133"/>
      <c r="G589" s="3"/>
      <c r="H589" s="31"/>
      <c r="I589" s="31"/>
      <c r="J589" s="3"/>
      <c r="K589" s="3"/>
      <c r="L589" s="3"/>
      <c r="M589" s="3"/>
      <c r="N589" s="3"/>
      <c r="O589" s="3"/>
      <c r="P589" s="3"/>
      <c r="Q589" s="3"/>
      <c r="R589" s="32"/>
      <c r="S589" s="32"/>
      <c r="T589" s="3"/>
      <c r="U589" s="33"/>
      <c r="V589" s="33"/>
      <c r="W589" s="3"/>
      <c r="X589" s="3"/>
      <c r="Y589" s="3"/>
      <c r="Z589" s="3"/>
      <c r="AA589" s="3"/>
      <c r="AB589" s="3"/>
      <c r="AC589" s="3"/>
      <c r="AD589" s="32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4"/>
      <c r="AT589" s="3"/>
      <c r="AU589" s="3"/>
      <c r="AV589" s="3"/>
      <c r="AW589" s="3"/>
      <c r="AX589" s="4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220"/>
      <c r="CY589" s="220"/>
      <c r="CZ589" s="220"/>
      <c r="DA589" s="220"/>
      <c r="DB589" s="237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3"/>
      <c r="EE589" s="3"/>
      <c r="EF589" s="3"/>
      <c r="EG589" s="3"/>
      <c r="EH589" s="3"/>
    </row>
    <row r="590" spans="1:138" s="82" customFormat="1" x14ac:dyDescent="0.2">
      <c r="A590" s="3"/>
      <c r="B590" s="167"/>
      <c r="C590" s="3"/>
      <c r="D590" s="3"/>
      <c r="E590" s="31"/>
      <c r="F590" s="133"/>
      <c r="G590" s="3"/>
      <c r="H590" s="31"/>
      <c r="I590" s="31"/>
      <c r="J590" s="3"/>
      <c r="K590" s="3"/>
      <c r="L590" s="3"/>
      <c r="M590" s="3"/>
      <c r="N590" s="3"/>
      <c r="O590" s="3"/>
      <c r="P590" s="3"/>
      <c r="Q590" s="3"/>
      <c r="R590" s="32"/>
      <c r="S590" s="32"/>
      <c r="T590" s="3"/>
      <c r="U590" s="33"/>
      <c r="V590" s="33"/>
      <c r="W590" s="3"/>
      <c r="X590" s="3"/>
      <c r="Y590" s="3"/>
      <c r="Z590" s="3"/>
      <c r="AA590" s="3"/>
      <c r="AB590" s="3"/>
      <c r="AC590" s="3"/>
      <c r="AD590" s="32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4"/>
      <c r="AT590" s="3"/>
      <c r="AU590" s="3"/>
      <c r="AV590" s="3"/>
      <c r="AW590" s="3"/>
      <c r="AX590" s="4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220"/>
      <c r="CY590" s="220"/>
      <c r="CZ590" s="220"/>
      <c r="DA590" s="220"/>
      <c r="DB590" s="237"/>
      <c r="DC590" s="238"/>
      <c r="DD590" s="238"/>
      <c r="DE590" s="238"/>
      <c r="DF590" s="238"/>
      <c r="DG590" s="238"/>
      <c r="DH590" s="238"/>
      <c r="DI590" s="238"/>
      <c r="DJ590" s="238"/>
      <c r="DK590" s="238"/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238"/>
      <c r="EC590" s="238"/>
      <c r="ED590" s="3"/>
      <c r="EE590" s="3"/>
      <c r="EF590" s="3"/>
      <c r="EG590" s="3"/>
      <c r="EH590" s="3"/>
    </row>
    <row r="591" spans="1:138" s="82" customFormat="1" x14ac:dyDescent="0.2">
      <c r="A591" s="3"/>
      <c r="B591" s="167"/>
      <c r="C591" s="3"/>
      <c r="D591" s="3"/>
      <c r="E591" s="31"/>
      <c r="F591" s="133"/>
      <c r="G591" s="3"/>
      <c r="H591" s="31"/>
      <c r="I591" s="31"/>
      <c r="J591" s="3"/>
      <c r="K591" s="3"/>
      <c r="L591" s="3"/>
      <c r="M591" s="3"/>
      <c r="N591" s="3"/>
      <c r="O591" s="3"/>
      <c r="P591" s="3"/>
      <c r="Q591" s="3"/>
      <c r="R591" s="32"/>
      <c r="S591" s="32"/>
      <c r="T591" s="3"/>
      <c r="U591" s="33"/>
      <c r="V591" s="33"/>
      <c r="W591" s="3"/>
      <c r="X591" s="3"/>
      <c r="Y591" s="3"/>
      <c r="Z591" s="3"/>
      <c r="AA591" s="3"/>
      <c r="AB591" s="3"/>
      <c r="AC591" s="3"/>
      <c r="AD591" s="32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4"/>
      <c r="AT591" s="3"/>
      <c r="AU591" s="3"/>
      <c r="AV591" s="3"/>
      <c r="AW591" s="3"/>
      <c r="AX591" s="4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220"/>
      <c r="CY591" s="220"/>
      <c r="CZ591" s="220"/>
      <c r="DA591" s="220"/>
      <c r="DB591" s="237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3"/>
      <c r="EE591" s="3"/>
      <c r="EF591" s="3"/>
      <c r="EG591" s="3"/>
      <c r="EH591" s="3"/>
    </row>
    <row r="592" spans="1:138" s="82" customFormat="1" x14ac:dyDescent="0.2">
      <c r="A592" s="3"/>
      <c r="B592" s="167"/>
      <c r="C592" s="3"/>
      <c r="D592" s="3"/>
      <c r="E592" s="31"/>
      <c r="F592" s="133"/>
      <c r="G592" s="3"/>
      <c r="H592" s="31"/>
      <c r="I592" s="31"/>
      <c r="J592" s="3"/>
      <c r="K592" s="3"/>
      <c r="L592" s="3"/>
      <c r="M592" s="3"/>
      <c r="N592" s="3"/>
      <c r="O592" s="3"/>
      <c r="P592" s="3"/>
      <c r="Q592" s="3"/>
      <c r="R592" s="32"/>
      <c r="S592" s="32"/>
      <c r="T592" s="3"/>
      <c r="U592" s="33"/>
      <c r="V592" s="33"/>
      <c r="W592" s="3"/>
      <c r="X592" s="3"/>
      <c r="Y592" s="3"/>
      <c r="Z592" s="3"/>
      <c r="AA592" s="3"/>
      <c r="AB592" s="3"/>
      <c r="AC592" s="3"/>
      <c r="AD592" s="32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4"/>
      <c r="AT592" s="3"/>
      <c r="AU592" s="3"/>
      <c r="AV592" s="3"/>
      <c r="AW592" s="3"/>
      <c r="AX592" s="4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220"/>
      <c r="CY592" s="220"/>
      <c r="CZ592" s="220"/>
      <c r="DA592" s="220"/>
      <c r="DB592" s="237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3"/>
      <c r="EE592" s="3"/>
      <c r="EF592" s="3"/>
      <c r="EG592" s="3"/>
      <c r="EH592" s="3"/>
    </row>
    <row r="593" spans="1:138" s="82" customFormat="1" x14ac:dyDescent="0.2">
      <c r="A593" s="3"/>
      <c r="B593" s="167"/>
      <c r="C593" s="3"/>
      <c r="D593" s="3"/>
      <c r="E593" s="31"/>
      <c r="F593" s="133"/>
      <c r="G593" s="3"/>
      <c r="H593" s="31"/>
      <c r="I593" s="31"/>
      <c r="J593" s="3"/>
      <c r="K593" s="3"/>
      <c r="L593" s="3"/>
      <c r="M593" s="3"/>
      <c r="N593" s="3"/>
      <c r="O593" s="3"/>
      <c r="P593" s="3"/>
      <c r="Q593" s="3"/>
      <c r="R593" s="32"/>
      <c r="S593" s="32"/>
      <c r="T593" s="3"/>
      <c r="U593" s="33"/>
      <c r="V593" s="33"/>
      <c r="W593" s="3"/>
      <c r="X593" s="3"/>
      <c r="Y593" s="3"/>
      <c r="Z593" s="3"/>
      <c r="AA593" s="3"/>
      <c r="AB593" s="3"/>
      <c r="AC593" s="3"/>
      <c r="AD593" s="32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4"/>
      <c r="AT593" s="3"/>
      <c r="AU593" s="3"/>
      <c r="AV593" s="3"/>
      <c r="AW593" s="3"/>
      <c r="AX593" s="4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220"/>
      <c r="CY593" s="220"/>
      <c r="CZ593" s="220"/>
      <c r="DA593" s="220"/>
      <c r="DB593" s="237"/>
      <c r="DC593" s="238"/>
      <c r="DD593" s="238"/>
      <c r="DE593" s="238"/>
      <c r="DF593" s="238"/>
      <c r="DG593" s="238"/>
      <c r="DH593" s="238"/>
      <c r="DI593" s="238"/>
      <c r="DJ593" s="238"/>
      <c r="DK593" s="238"/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238"/>
      <c r="EC593" s="238"/>
      <c r="ED593" s="3"/>
      <c r="EE593" s="3"/>
      <c r="EF593" s="3"/>
      <c r="EG593" s="3"/>
      <c r="EH593" s="3"/>
    </row>
    <row r="594" spans="1:138" s="82" customFormat="1" x14ac:dyDescent="0.2">
      <c r="A594" s="3"/>
      <c r="B594" s="167"/>
      <c r="C594" s="3"/>
      <c r="D594" s="3"/>
      <c r="E594" s="31"/>
      <c r="F594" s="133"/>
      <c r="G594" s="3"/>
      <c r="H594" s="31"/>
      <c r="I594" s="31"/>
      <c r="J594" s="3"/>
      <c r="K594" s="3"/>
      <c r="L594" s="3"/>
      <c r="M594" s="3"/>
      <c r="N594" s="3"/>
      <c r="O594" s="3"/>
      <c r="P594" s="3"/>
      <c r="Q594" s="3"/>
      <c r="R594" s="32"/>
      <c r="S594" s="32"/>
      <c r="T594" s="3"/>
      <c r="U594" s="33"/>
      <c r="V594" s="33"/>
      <c r="W594" s="3"/>
      <c r="X594" s="3"/>
      <c r="Y594" s="3"/>
      <c r="Z594" s="3"/>
      <c r="AA594" s="3"/>
      <c r="AB594" s="3"/>
      <c r="AC594" s="3"/>
      <c r="AD594" s="32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4"/>
      <c r="AT594" s="3"/>
      <c r="AU594" s="3"/>
      <c r="AV594" s="3"/>
      <c r="AW594" s="3"/>
      <c r="AX594" s="4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220"/>
      <c r="CY594" s="220"/>
      <c r="CZ594" s="220"/>
      <c r="DA594" s="220"/>
      <c r="DB594" s="237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3"/>
      <c r="EE594" s="3"/>
      <c r="EF594" s="3"/>
      <c r="EG594" s="3"/>
      <c r="EH594" s="3"/>
    </row>
    <row r="595" spans="1:138" s="82" customFormat="1" x14ac:dyDescent="0.2">
      <c r="A595" s="3"/>
      <c r="B595" s="167"/>
      <c r="C595" s="3"/>
      <c r="D595" s="3"/>
      <c r="E595" s="31"/>
      <c r="F595" s="133"/>
      <c r="G595" s="3"/>
      <c r="H595" s="31"/>
      <c r="I595" s="31"/>
      <c r="J595" s="3"/>
      <c r="K595" s="3"/>
      <c r="L595" s="3"/>
      <c r="M595" s="3"/>
      <c r="N595" s="3"/>
      <c r="O595" s="3"/>
      <c r="P595" s="3"/>
      <c r="Q595" s="3"/>
      <c r="R595" s="32"/>
      <c r="S595" s="32"/>
      <c r="T595" s="3"/>
      <c r="U595" s="33"/>
      <c r="V595" s="33"/>
      <c r="W595" s="3"/>
      <c r="X595" s="3"/>
      <c r="Y595" s="3"/>
      <c r="Z595" s="3"/>
      <c r="AA595" s="3"/>
      <c r="AB595" s="3"/>
      <c r="AC595" s="3"/>
      <c r="AD595" s="32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4"/>
      <c r="AT595" s="3"/>
      <c r="AU595" s="3"/>
      <c r="AV595" s="3"/>
      <c r="AW595" s="3"/>
      <c r="AX595" s="4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220"/>
      <c r="CY595" s="220"/>
      <c r="CZ595" s="220"/>
      <c r="DA595" s="220"/>
      <c r="DB595" s="237"/>
      <c r="DC595" s="238"/>
      <c r="DD595" s="238"/>
      <c r="DE595" s="238"/>
      <c r="DF595" s="238"/>
      <c r="DG595" s="238"/>
      <c r="DH595" s="238"/>
      <c r="DI595" s="238"/>
      <c r="DJ595" s="238"/>
      <c r="DK595" s="238"/>
      <c r="DL595" s="238"/>
      <c r="DM595" s="238"/>
      <c r="DN595" s="238"/>
      <c r="DO595" s="238"/>
      <c r="DP595" s="238"/>
      <c r="DQ595" s="238"/>
      <c r="DR595" s="238"/>
      <c r="DS595" s="238"/>
      <c r="DT595" s="238"/>
      <c r="DU595" s="238"/>
      <c r="DV595" s="238"/>
      <c r="DW595" s="238"/>
      <c r="DX595" s="238"/>
      <c r="DY595" s="238"/>
      <c r="DZ595" s="238"/>
      <c r="EA595" s="238"/>
      <c r="EB595" s="238"/>
      <c r="EC595" s="238"/>
      <c r="ED595" s="3"/>
      <c r="EE595" s="3"/>
      <c r="EF595" s="3"/>
      <c r="EG595" s="3"/>
      <c r="EH595" s="3"/>
    </row>
    <row r="596" spans="1:138" s="82" customFormat="1" x14ac:dyDescent="0.2">
      <c r="A596" s="3"/>
      <c r="B596" s="167"/>
      <c r="C596" s="3"/>
      <c r="D596" s="3"/>
      <c r="E596" s="31"/>
      <c r="F596" s="133"/>
      <c r="G596" s="3"/>
      <c r="H596" s="31"/>
      <c r="I596" s="31"/>
      <c r="J596" s="3"/>
      <c r="K596" s="3"/>
      <c r="L596" s="3"/>
      <c r="M596" s="3"/>
      <c r="N596" s="3"/>
      <c r="O596" s="3"/>
      <c r="P596" s="3"/>
      <c r="Q596" s="3"/>
      <c r="R596" s="32"/>
      <c r="S596" s="32"/>
      <c r="T596" s="3"/>
      <c r="U596" s="33"/>
      <c r="V596" s="33"/>
      <c r="W596" s="3"/>
      <c r="X596" s="3"/>
      <c r="Y596" s="3"/>
      <c r="Z596" s="3"/>
      <c r="AA596" s="3"/>
      <c r="AB596" s="3"/>
      <c r="AC596" s="3"/>
      <c r="AD596" s="32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4"/>
      <c r="AT596" s="3"/>
      <c r="AU596" s="3"/>
      <c r="AV596" s="3"/>
      <c r="AW596" s="3"/>
      <c r="AX596" s="4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84"/>
      <c r="BZ596" s="84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220"/>
      <c r="CY596" s="220"/>
      <c r="CZ596" s="220"/>
      <c r="DA596" s="220"/>
      <c r="DB596" s="237"/>
      <c r="DC596" s="238"/>
      <c r="DD596" s="238"/>
      <c r="DE596" s="238"/>
      <c r="DF596" s="238"/>
      <c r="DG596" s="238"/>
      <c r="DH596" s="238"/>
      <c r="DI596" s="238"/>
      <c r="DJ596" s="238"/>
      <c r="DK596" s="238"/>
      <c r="DL596" s="238"/>
      <c r="DM596" s="238"/>
      <c r="DN596" s="238"/>
      <c r="DO596" s="238"/>
      <c r="DP596" s="238"/>
      <c r="DQ596" s="238"/>
      <c r="DR596" s="238"/>
      <c r="DS596" s="238"/>
      <c r="DT596" s="238"/>
      <c r="DU596" s="238"/>
      <c r="DV596" s="238"/>
      <c r="DW596" s="238"/>
      <c r="DX596" s="238"/>
      <c r="DY596" s="238"/>
      <c r="DZ596" s="238"/>
      <c r="EA596" s="238"/>
      <c r="EB596" s="238"/>
      <c r="EC596" s="238"/>
      <c r="ED596" s="3"/>
      <c r="EE596" s="3"/>
      <c r="EF596" s="3"/>
      <c r="EG596" s="3"/>
      <c r="EH596" s="3"/>
    </row>
    <row r="597" spans="1:138" s="82" customFormat="1" x14ac:dyDescent="0.2">
      <c r="A597" s="3"/>
      <c r="B597" s="167"/>
      <c r="C597" s="3"/>
      <c r="D597" s="3"/>
      <c r="E597" s="31"/>
      <c r="F597" s="133"/>
      <c r="G597" s="3"/>
      <c r="H597" s="31"/>
      <c r="I597" s="31"/>
      <c r="J597" s="3"/>
      <c r="K597" s="3"/>
      <c r="L597" s="3"/>
      <c r="M597" s="3"/>
      <c r="N597" s="3"/>
      <c r="O597" s="3"/>
      <c r="P597" s="3"/>
      <c r="Q597" s="3"/>
      <c r="R597" s="32"/>
      <c r="S597" s="32"/>
      <c r="T597" s="3"/>
      <c r="U597" s="33"/>
      <c r="V597" s="33"/>
      <c r="W597" s="3"/>
      <c r="X597" s="3"/>
      <c r="Y597" s="3"/>
      <c r="Z597" s="3"/>
      <c r="AA597" s="3"/>
      <c r="AB597" s="3"/>
      <c r="AC597" s="3"/>
      <c r="AD597" s="32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4"/>
      <c r="AT597" s="3"/>
      <c r="AU597" s="3"/>
      <c r="AV597" s="3"/>
      <c r="AW597" s="3"/>
      <c r="AX597" s="4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84"/>
      <c r="BZ597" s="84"/>
      <c r="CA597" s="84"/>
      <c r="CB597" s="84"/>
      <c r="CC597" s="84"/>
      <c r="CD597" s="84"/>
      <c r="CE597" s="84"/>
      <c r="CF597" s="84"/>
      <c r="CG597" s="84"/>
      <c r="CH597" s="84"/>
      <c r="CI597" s="84"/>
      <c r="CJ597" s="84"/>
      <c r="CK597" s="84"/>
      <c r="CL597" s="84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220"/>
      <c r="CY597" s="220"/>
      <c r="CZ597" s="220"/>
      <c r="DA597" s="220"/>
      <c r="DB597" s="237"/>
      <c r="DC597" s="238"/>
      <c r="DD597" s="238"/>
      <c r="DE597" s="238"/>
      <c r="DF597" s="238"/>
      <c r="DG597" s="238"/>
      <c r="DH597" s="238"/>
      <c r="DI597" s="238"/>
      <c r="DJ597" s="238"/>
      <c r="DK597" s="238"/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238"/>
      <c r="EC597" s="238"/>
      <c r="ED597" s="3"/>
      <c r="EE597" s="3"/>
      <c r="EF597" s="3"/>
      <c r="EG597" s="3"/>
      <c r="EH597" s="3"/>
    </row>
    <row r="598" spans="1:138" s="82" customFormat="1" x14ac:dyDescent="0.2">
      <c r="A598" s="3"/>
      <c r="B598" s="167"/>
      <c r="C598" s="3"/>
      <c r="D598" s="3"/>
      <c r="E598" s="31"/>
      <c r="F598" s="133"/>
      <c r="G598" s="3"/>
      <c r="H598" s="31"/>
      <c r="I598" s="31"/>
      <c r="J598" s="3"/>
      <c r="K598" s="3"/>
      <c r="L598" s="3"/>
      <c r="M598" s="3"/>
      <c r="N598" s="3"/>
      <c r="O598" s="3"/>
      <c r="P598" s="3"/>
      <c r="Q598" s="3"/>
      <c r="R598" s="32"/>
      <c r="S598" s="32"/>
      <c r="T598" s="3"/>
      <c r="U598" s="33"/>
      <c r="V598" s="33"/>
      <c r="W598" s="3"/>
      <c r="X598" s="3"/>
      <c r="Y598" s="3"/>
      <c r="Z598" s="3"/>
      <c r="AA598" s="3"/>
      <c r="AB598" s="3"/>
      <c r="AC598" s="3"/>
      <c r="AD598" s="32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4"/>
      <c r="AT598" s="3"/>
      <c r="AU598" s="3"/>
      <c r="AV598" s="3"/>
      <c r="AW598" s="3"/>
      <c r="AX598" s="4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84"/>
      <c r="BZ598" s="84"/>
      <c r="CA598" s="84"/>
      <c r="CB598" s="84"/>
      <c r="CC598" s="84"/>
      <c r="CD598" s="84"/>
      <c r="CE598" s="84"/>
      <c r="CF598" s="84"/>
      <c r="CG598" s="84"/>
      <c r="CH598" s="84"/>
      <c r="CI598" s="84"/>
      <c r="CJ598" s="84"/>
      <c r="CK598" s="84"/>
      <c r="CL598" s="84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220"/>
      <c r="CY598" s="220"/>
      <c r="CZ598" s="220"/>
      <c r="DA598" s="220"/>
      <c r="DB598" s="237"/>
      <c r="DC598" s="238"/>
      <c r="DD598" s="238"/>
      <c r="DE598" s="238"/>
      <c r="DF598" s="238"/>
      <c r="DG598" s="238"/>
      <c r="DH598" s="238"/>
      <c r="DI598" s="238"/>
      <c r="DJ598" s="238"/>
      <c r="DK598" s="238"/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238"/>
      <c r="EC598" s="238"/>
      <c r="ED598" s="3"/>
      <c r="EE598" s="3"/>
      <c r="EF598" s="3"/>
      <c r="EG598" s="3"/>
      <c r="EH598" s="3"/>
    </row>
    <row r="599" spans="1:138" s="82" customFormat="1" x14ac:dyDescent="0.2">
      <c r="A599" s="3"/>
      <c r="B599" s="167"/>
      <c r="C599" s="3"/>
      <c r="D599" s="3"/>
      <c r="E599" s="31"/>
      <c r="F599" s="133"/>
      <c r="G599" s="3"/>
      <c r="H599" s="31"/>
      <c r="I599" s="31"/>
      <c r="J599" s="3"/>
      <c r="K599" s="3"/>
      <c r="L599" s="3"/>
      <c r="M599" s="3"/>
      <c r="N599" s="3"/>
      <c r="O599" s="3"/>
      <c r="P599" s="3"/>
      <c r="Q599" s="3"/>
      <c r="R599" s="32"/>
      <c r="S599" s="32"/>
      <c r="T599" s="3"/>
      <c r="U599" s="33"/>
      <c r="V599" s="33"/>
      <c r="W599" s="3"/>
      <c r="X599" s="3"/>
      <c r="Y599" s="3"/>
      <c r="Z599" s="3"/>
      <c r="AA599" s="3"/>
      <c r="AB599" s="3"/>
      <c r="AC599" s="3"/>
      <c r="AD599" s="32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4"/>
      <c r="AT599" s="3"/>
      <c r="AU599" s="3"/>
      <c r="AV599" s="3"/>
      <c r="AW599" s="3"/>
      <c r="AX599" s="4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84"/>
      <c r="BZ599" s="84"/>
      <c r="CA599" s="84"/>
      <c r="CB599" s="84"/>
      <c r="CC599" s="84"/>
      <c r="CD599" s="84"/>
      <c r="CE599" s="84"/>
      <c r="CF599" s="84"/>
      <c r="CG599" s="84"/>
      <c r="CH599" s="84"/>
      <c r="CI599" s="84"/>
      <c r="CJ599" s="84"/>
      <c r="CK599" s="84"/>
      <c r="CL599" s="84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220"/>
      <c r="CY599" s="220"/>
      <c r="CZ599" s="220"/>
      <c r="DA599" s="220"/>
      <c r="DB599" s="237"/>
      <c r="DC599" s="238"/>
      <c r="DD599" s="238"/>
      <c r="DE599" s="238"/>
      <c r="DF599" s="238"/>
      <c r="DG599" s="238"/>
      <c r="DH599" s="238"/>
      <c r="DI599" s="238"/>
      <c r="DJ599" s="238"/>
      <c r="DK599" s="238"/>
      <c r="DL599" s="238"/>
      <c r="DM599" s="238"/>
      <c r="DN599" s="238"/>
      <c r="DO599" s="238"/>
      <c r="DP599" s="238"/>
      <c r="DQ599" s="238"/>
      <c r="DR599" s="238"/>
      <c r="DS599" s="238"/>
      <c r="DT599" s="238"/>
      <c r="DU599" s="238"/>
      <c r="DV599" s="238"/>
      <c r="DW599" s="238"/>
      <c r="DX599" s="238"/>
      <c r="DY599" s="238"/>
      <c r="DZ599" s="238"/>
      <c r="EA599" s="238"/>
      <c r="EB599" s="238"/>
      <c r="EC599" s="238"/>
      <c r="ED599" s="3"/>
      <c r="EE599" s="3"/>
      <c r="EF599" s="3"/>
      <c r="EG599" s="3"/>
      <c r="EH599" s="3"/>
    </row>
    <row r="600" spans="1:138" s="82" customFormat="1" x14ac:dyDescent="0.2">
      <c r="A600" s="3"/>
      <c r="B600" s="167"/>
      <c r="C600" s="3"/>
      <c r="D600" s="3"/>
      <c r="E600" s="31"/>
      <c r="F600" s="133"/>
      <c r="G600" s="3"/>
      <c r="H600" s="31"/>
      <c r="I600" s="31"/>
      <c r="J600" s="3"/>
      <c r="K600" s="3"/>
      <c r="L600" s="3"/>
      <c r="M600" s="3"/>
      <c r="N600" s="3"/>
      <c r="O600" s="3"/>
      <c r="P600" s="3"/>
      <c r="Q600" s="3"/>
      <c r="R600" s="32"/>
      <c r="S600" s="32"/>
      <c r="T600" s="3"/>
      <c r="U600" s="33"/>
      <c r="V600" s="33"/>
      <c r="W600" s="3"/>
      <c r="X600" s="3"/>
      <c r="Y600" s="3"/>
      <c r="Z600" s="3"/>
      <c r="AA600" s="3"/>
      <c r="AB600" s="3"/>
      <c r="AC600" s="3"/>
      <c r="AD600" s="32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4"/>
      <c r="AT600" s="3"/>
      <c r="AU600" s="3"/>
      <c r="AV600" s="3"/>
      <c r="AW600" s="3"/>
      <c r="AX600" s="4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220"/>
      <c r="CY600" s="220"/>
      <c r="CZ600" s="220"/>
      <c r="DA600" s="220"/>
      <c r="DB600" s="237"/>
      <c r="DC600" s="238"/>
      <c r="DD600" s="238"/>
      <c r="DE600" s="238"/>
      <c r="DF600" s="238"/>
      <c r="DG600" s="238"/>
      <c r="DH600" s="238"/>
      <c r="DI600" s="238"/>
      <c r="DJ600" s="238"/>
      <c r="DK600" s="238"/>
      <c r="DL600" s="238"/>
      <c r="DM600" s="238"/>
      <c r="DN600" s="238"/>
      <c r="DO600" s="238"/>
      <c r="DP600" s="238"/>
      <c r="DQ600" s="238"/>
      <c r="DR600" s="238"/>
      <c r="DS600" s="238"/>
      <c r="DT600" s="238"/>
      <c r="DU600" s="238"/>
      <c r="DV600" s="238"/>
      <c r="DW600" s="238"/>
      <c r="DX600" s="238"/>
      <c r="DY600" s="238"/>
      <c r="DZ600" s="238"/>
      <c r="EA600" s="238"/>
      <c r="EB600" s="238"/>
      <c r="EC600" s="238"/>
      <c r="ED600" s="3"/>
      <c r="EE600" s="3"/>
      <c r="EF600" s="3"/>
      <c r="EG600" s="3"/>
      <c r="EH600" s="3"/>
    </row>
    <row r="601" spans="1:138" s="82" customFormat="1" x14ac:dyDescent="0.2">
      <c r="A601" s="3"/>
      <c r="B601" s="167"/>
      <c r="C601" s="3"/>
      <c r="D601" s="3"/>
      <c r="E601" s="31"/>
      <c r="F601" s="133"/>
      <c r="G601" s="3"/>
      <c r="H601" s="31"/>
      <c r="I601" s="31"/>
      <c r="J601" s="3"/>
      <c r="K601" s="3"/>
      <c r="L601" s="3"/>
      <c r="M601" s="3"/>
      <c r="N601" s="3"/>
      <c r="O601" s="3"/>
      <c r="P601" s="3"/>
      <c r="Q601" s="3"/>
      <c r="R601" s="32"/>
      <c r="S601" s="32"/>
      <c r="T601" s="3"/>
      <c r="U601" s="33"/>
      <c r="V601" s="33"/>
      <c r="W601" s="3"/>
      <c r="X601" s="3"/>
      <c r="Y601" s="3"/>
      <c r="Z601" s="3"/>
      <c r="AA601" s="3"/>
      <c r="AB601" s="3"/>
      <c r="AC601" s="3"/>
      <c r="AD601" s="32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4"/>
      <c r="AT601" s="3"/>
      <c r="AU601" s="3"/>
      <c r="AV601" s="3"/>
      <c r="AW601" s="3"/>
      <c r="AX601" s="4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84"/>
      <c r="BZ601" s="84"/>
      <c r="CA601" s="84"/>
      <c r="CB601" s="84"/>
      <c r="CC601" s="84"/>
      <c r="CD601" s="84"/>
      <c r="CE601" s="84"/>
      <c r="CF601" s="84"/>
      <c r="CG601" s="84"/>
      <c r="CH601" s="84"/>
      <c r="CI601" s="84"/>
      <c r="CJ601" s="84"/>
      <c r="CK601" s="84"/>
      <c r="CL601" s="84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220"/>
      <c r="CY601" s="220"/>
      <c r="CZ601" s="220"/>
      <c r="DA601" s="220"/>
      <c r="DB601" s="237"/>
      <c r="DC601" s="238"/>
      <c r="DD601" s="238"/>
      <c r="DE601" s="238"/>
      <c r="DF601" s="238"/>
      <c r="DG601" s="238"/>
      <c r="DH601" s="238"/>
      <c r="DI601" s="238"/>
      <c r="DJ601" s="238"/>
      <c r="DK601" s="238"/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238"/>
      <c r="EC601" s="238"/>
      <c r="ED601" s="3"/>
      <c r="EE601" s="3"/>
      <c r="EF601" s="3"/>
      <c r="EG601" s="3"/>
      <c r="EH601" s="3"/>
    </row>
    <row r="602" spans="1:138" s="82" customFormat="1" x14ac:dyDescent="0.2">
      <c r="A602" s="3"/>
      <c r="B602" s="167"/>
      <c r="C602" s="3"/>
      <c r="D602" s="3"/>
      <c r="E602" s="31"/>
      <c r="F602" s="133"/>
      <c r="G602" s="3"/>
      <c r="H602" s="31"/>
      <c r="I602" s="31"/>
      <c r="J602" s="3"/>
      <c r="K602" s="3"/>
      <c r="L602" s="3"/>
      <c r="M602" s="3"/>
      <c r="N602" s="3"/>
      <c r="O602" s="3"/>
      <c r="P602" s="3"/>
      <c r="Q602" s="3"/>
      <c r="R602" s="32"/>
      <c r="S602" s="32"/>
      <c r="T602" s="3"/>
      <c r="U602" s="33"/>
      <c r="V602" s="33"/>
      <c r="W602" s="3"/>
      <c r="X602" s="3"/>
      <c r="Y602" s="3"/>
      <c r="Z602" s="3"/>
      <c r="AA602" s="3"/>
      <c r="AB602" s="3"/>
      <c r="AC602" s="3"/>
      <c r="AD602" s="32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4"/>
      <c r="AT602" s="3"/>
      <c r="AU602" s="3"/>
      <c r="AV602" s="3"/>
      <c r="AW602" s="3"/>
      <c r="AX602" s="4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220"/>
      <c r="CY602" s="220"/>
      <c r="CZ602" s="220"/>
      <c r="DA602" s="220"/>
      <c r="DB602" s="237"/>
      <c r="DC602" s="238"/>
      <c r="DD602" s="238"/>
      <c r="DE602" s="238"/>
      <c r="DF602" s="238"/>
      <c r="DG602" s="238"/>
      <c r="DH602" s="238"/>
      <c r="DI602" s="238"/>
      <c r="DJ602" s="238"/>
      <c r="DK602" s="238"/>
      <c r="DL602" s="238"/>
      <c r="DM602" s="238"/>
      <c r="DN602" s="238"/>
      <c r="DO602" s="238"/>
      <c r="DP602" s="238"/>
      <c r="DQ602" s="238"/>
      <c r="DR602" s="238"/>
      <c r="DS602" s="238"/>
      <c r="DT602" s="238"/>
      <c r="DU602" s="238"/>
      <c r="DV602" s="238"/>
      <c r="DW602" s="238"/>
      <c r="DX602" s="238"/>
      <c r="DY602" s="238"/>
      <c r="DZ602" s="238"/>
      <c r="EA602" s="238"/>
      <c r="EB602" s="238"/>
      <c r="EC602" s="238"/>
      <c r="ED602" s="3"/>
      <c r="EE602" s="3"/>
      <c r="EF602" s="3"/>
      <c r="EG602" s="3"/>
      <c r="EH602" s="3"/>
    </row>
    <row r="603" spans="1:138" s="82" customFormat="1" x14ac:dyDescent="0.2">
      <c r="A603" s="3"/>
      <c r="B603" s="167"/>
      <c r="C603" s="3"/>
      <c r="D603" s="3"/>
      <c r="E603" s="31"/>
      <c r="F603" s="133"/>
      <c r="G603" s="3"/>
      <c r="H603" s="31"/>
      <c r="I603" s="31"/>
      <c r="J603" s="3"/>
      <c r="K603" s="3"/>
      <c r="L603" s="3"/>
      <c r="M603" s="3"/>
      <c r="N603" s="3"/>
      <c r="O603" s="3"/>
      <c r="P603" s="3"/>
      <c r="Q603" s="3"/>
      <c r="R603" s="32"/>
      <c r="S603" s="32"/>
      <c r="T603" s="3"/>
      <c r="U603" s="33"/>
      <c r="V603" s="33"/>
      <c r="W603" s="3"/>
      <c r="X603" s="3"/>
      <c r="Y603" s="3"/>
      <c r="Z603" s="3"/>
      <c r="AA603" s="3"/>
      <c r="AB603" s="3"/>
      <c r="AC603" s="3"/>
      <c r="AD603" s="32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4"/>
      <c r="AT603" s="3"/>
      <c r="AU603" s="3"/>
      <c r="AV603" s="3"/>
      <c r="AW603" s="3"/>
      <c r="AX603" s="4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220"/>
      <c r="CY603" s="220"/>
      <c r="CZ603" s="220"/>
      <c r="DA603" s="220"/>
      <c r="DB603" s="237"/>
      <c r="DC603" s="238"/>
      <c r="DD603" s="238"/>
      <c r="DE603" s="238"/>
      <c r="DF603" s="238"/>
      <c r="DG603" s="238"/>
      <c r="DH603" s="238"/>
      <c r="DI603" s="238"/>
      <c r="DJ603" s="238"/>
      <c r="DK603" s="238"/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238"/>
      <c r="EC603" s="238"/>
      <c r="ED603" s="3"/>
      <c r="EE603" s="3"/>
      <c r="EF603" s="3"/>
      <c r="EG603" s="3"/>
      <c r="EH603" s="3"/>
    </row>
    <row r="604" spans="1:138" s="82" customFormat="1" x14ac:dyDescent="0.2">
      <c r="A604" s="3"/>
      <c r="B604" s="167"/>
      <c r="C604" s="3"/>
      <c r="D604" s="3"/>
      <c r="E604" s="31"/>
      <c r="F604" s="133"/>
      <c r="G604" s="3"/>
      <c r="H604" s="31"/>
      <c r="I604" s="31"/>
      <c r="J604" s="3"/>
      <c r="K604" s="3"/>
      <c r="L604" s="3"/>
      <c r="M604" s="3"/>
      <c r="N604" s="3"/>
      <c r="O604" s="3"/>
      <c r="P604" s="3"/>
      <c r="Q604" s="3"/>
      <c r="R604" s="32"/>
      <c r="S604" s="32"/>
      <c r="T604" s="3"/>
      <c r="U604" s="33"/>
      <c r="V604" s="33"/>
      <c r="W604" s="3"/>
      <c r="X604" s="3"/>
      <c r="Y604" s="3"/>
      <c r="Z604" s="3"/>
      <c r="AA604" s="3"/>
      <c r="AB604" s="3"/>
      <c r="AC604" s="3"/>
      <c r="AD604" s="32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4"/>
      <c r="AT604" s="3"/>
      <c r="AU604" s="3"/>
      <c r="AV604" s="3"/>
      <c r="AW604" s="3"/>
      <c r="AX604" s="4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220"/>
      <c r="CY604" s="220"/>
      <c r="CZ604" s="220"/>
      <c r="DA604" s="220"/>
      <c r="DB604" s="237"/>
      <c r="DC604" s="238"/>
      <c r="DD604" s="238"/>
      <c r="DE604" s="238"/>
      <c r="DF604" s="238"/>
      <c r="DG604" s="238"/>
      <c r="DH604" s="238"/>
      <c r="DI604" s="238"/>
      <c r="DJ604" s="238"/>
      <c r="DK604" s="238"/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238"/>
      <c r="EC604" s="238"/>
      <c r="ED604" s="3"/>
      <c r="EE604" s="3"/>
      <c r="EF604" s="3"/>
      <c r="EG604" s="3"/>
      <c r="EH604" s="3"/>
    </row>
    <row r="605" spans="1:138" s="82" customFormat="1" x14ac:dyDescent="0.2">
      <c r="A605" s="3"/>
      <c r="B605" s="167"/>
      <c r="C605" s="3"/>
      <c r="D605" s="3"/>
      <c r="E605" s="31"/>
      <c r="F605" s="133"/>
      <c r="G605" s="3"/>
      <c r="H605" s="31"/>
      <c r="I605" s="31"/>
      <c r="J605" s="3"/>
      <c r="K605" s="3"/>
      <c r="L605" s="3"/>
      <c r="M605" s="3"/>
      <c r="N605" s="3"/>
      <c r="O605" s="3"/>
      <c r="P605" s="3"/>
      <c r="Q605" s="3"/>
      <c r="R605" s="32"/>
      <c r="S605" s="32"/>
      <c r="T605" s="3"/>
      <c r="U605" s="33"/>
      <c r="V605" s="33"/>
      <c r="W605" s="3"/>
      <c r="X605" s="3"/>
      <c r="Y605" s="3"/>
      <c r="Z605" s="3"/>
      <c r="AA605" s="3"/>
      <c r="AB605" s="3"/>
      <c r="AC605" s="3"/>
      <c r="AD605" s="32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4"/>
      <c r="AT605" s="3"/>
      <c r="AU605" s="3"/>
      <c r="AV605" s="3"/>
      <c r="AW605" s="3"/>
      <c r="AX605" s="4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220"/>
      <c r="CY605" s="220"/>
      <c r="CZ605" s="220"/>
      <c r="DA605" s="220"/>
      <c r="DB605" s="237"/>
      <c r="DC605" s="238"/>
      <c r="DD605" s="238"/>
      <c r="DE605" s="238"/>
      <c r="DF605" s="238"/>
      <c r="DG605" s="238"/>
      <c r="DH605" s="238"/>
      <c r="DI605" s="238"/>
      <c r="DJ605" s="238"/>
      <c r="DK605" s="238"/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238"/>
      <c r="EC605" s="238"/>
      <c r="ED605" s="3"/>
      <c r="EE605" s="3"/>
      <c r="EF605" s="3"/>
      <c r="EG605" s="3"/>
      <c r="EH605" s="3"/>
    </row>
    <row r="606" spans="1:138" s="82" customFormat="1" x14ac:dyDescent="0.2">
      <c r="A606" s="3"/>
      <c r="B606" s="167"/>
      <c r="C606" s="3"/>
      <c r="D606" s="3"/>
      <c r="E606" s="31"/>
      <c r="F606" s="133"/>
      <c r="G606" s="3"/>
      <c r="H606" s="31"/>
      <c r="I606" s="31"/>
      <c r="J606" s="3"/>
      <c r="K606" s="3"/>
      <c r="L606" s="3"/>
      <c r="M606" s="3"/>
      <c r="N606" s="3"/>
      <c r="O606" s="3"/>
      <c r="P606" s="3"/>
      <c r="Q606" s="3"/>
      <c r="R606" s="32"/>
      <c r="S606" s="32"/>
      <c r="T606" s="3"/>
      <c r="U606" s="33"/>
      <c r="V606" s="33"/>
      <c r="W606" s="3"/>
      <c r="X606" s="3"/>
      <c r="Y606" s="3"/>
      <c r="Z606" s="3"/>
      <c r="AA606" s="3"/>
      <c r="AB606" s="3"/>
      <c r="AC606" s="3"/>
      <c r="AD606" s="32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4"/>
      <c r="AT606" s="3"/>
      <c r="AU606" s="3"/>
      <c r="AV606" s="3"/>
      <c r="AW606" s="3"/>
      <c r="AX606" s="4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220"/>
      <c r="CY606" s="220"/>
      <c r="CZ606" s="220"/>
      <c r="DA606" s="220"/>
      <c r="DB606" s="237"/>
      <c r="DC606" s="238"/>
      <c r="DD606" s="238"/>
      <c r="DE606" s="238"/>
      <c r="DF606" s="238"/>
      <c r="DG606" s="238"/>
      <c r="DH606" s="238"/>
      <c r="DI606" s="238"/>
      <c r="DJ606" s="238"/>
      <c r="DK606" s="238"/>
      <c r="DL606" s="238"/>
      <c r="DM606" s="238"/>
      <c r="DN606" s="238"/>
      <c r="DO606" s="238"/>
      <c r="DP606" s="238"/>
      <c r="DQ606" s="238"/>
      <c r="DR606" s="238"/>
      <c r="DS606" s="238"/>
      <c r="DT606" s="238"/>
      <c r="DU606" s="238"/>
      <c r="DV606" s="238"/>
      <c r="DW606" s="238"/>
      <c r="DX606" s="238"/>
      <c r="DY606" s="238"/>
      <c r="DZ606" s="238"/>
      <c r="EA606" s="238"/>
      <c r="EB606" s="238"/>
      <c r="EC606" s="238"/>
      <c r="ED606" s="3"/>
      <c r="EE606" s="3"/>
      <c r="EF606" s="3"/>
      <c r="EG606" s="3"/>
      <c r="EH606" s="3"/>
    </row>
    <row r="607" spans="1:138" s="82" customFormat="1" x14ac:dyDescent="0.2">
      <c r="A607" s="3"/>
      <c r="B607" s="167"/>
      <c r="C607" s="3"/>
      <c r="D607" s="3"/>
      <c r="E607" s="31"/>
      <c r="F607" s="133"/>
      <c r="G607" s="3"/>
      <c r="H607" s="31"/>
      <c r="I607" s="31"/>
      <c r="J607" s="3"/>
      <c r="K607" s="3"/>
      <c r="L607" s="3"/>
      <c r="M607" s="3"/>
      <c r="N607" s="3"/>
      <c r="O607" s="3"/>
      <c r="P607" s="3"/>
      <c r="Q607" s="3"/>
      <c r="R607" s="32"/>
      <c r="S607" s="32"/>
      <c r="T607" s="3"/>
      <c r="U607" s="33"/>
      <c r="V607" s="33"/>
      <c r="W607" s="3"/>
      <c r="X607" s="3"/>
      <c r="Y607" s="3"/>
      <c r="Z607" s="3"/>
      <c r="AA607" s="3"/>
      <c r="AB607" s="3"/>
      <c r="AC607" s="3"/>
      <c r="AD607" s="32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4"/>
      <c r="AT607" s="3"/>
      <c r="AU607" s="3"/>
      <c r="AV607" s="3"/>
      <c r="AW607" s="3"/>
      <c r="AX607" s="4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220"/>
      <c r="CY607" s="220"/>
      <c r="CZ607" s="220"/>
      <c r="DA607" s="220"/>
      <c r="DB607" s="237"/>
      <c r="DC607" s="238"/>
      <c r="DD607" s="238"/>
      <c r="DE607" s="238"/>
      <c r="DF607" s="238"/>
      <c r="DG607" s="238"/>
      <c r="DH607" s="238"/>
      <c r="DI607" s="238"/>
      <c r="DJ607" s="238"/>
      <c r="DK607" s="238"/>
      <c r="DL607" s="238"/>
      <c r="DM607" s="238"/>
      <c r="DN607" s="238"/>
      <c r="DO607" s="238"/>
      <c r="DP607" s="238"/>
      <c r="DQ607" s="238"/>
      <c r="DR607" s="238"/>
      <c r="DS607" s="238"/>
      <c r="DT607" s="238"/>
      <c r="DU607" s="238"/>
      <c r="DV607" s="238"/>
      <c r="DW607" s="238"/>
      <c r="DX607" s="238"/>
      <c r="DY607" s="238"/>
      <c r="DZ607" s="238"/>
      <c r="EA607" s="238"/>
      <c r="EB607" s="238"/>
      <c r="EC607" s="238"/>
      <c r="ED607" s="3"/>
      <c r="EE607" s="3"/>
      <c r="EF607" s="3"/>
      <c r="EG607" s="3"/>
      <c r="EH607" s="3"/>
    </row>
    <row r="608" spans="1:138" s="82" customFormat="1" x14ac:dyDescent="0.2">
      <c r="A608" s="3"/>
      <c r="B608" s="167"/>
      <c r="C608" s="3"/>
      <c r="D608" s="3"/>
      <c r="E608" s="31"/>
      <c r="F608" s="133"/>
      <c r="G608" s="3"/>
      <c r="H608" s="31"/>
      <c r="I608" s="31"/>
      <c r="J608" s="3"/>
      <c r="K608" s="3"/>
      <c r="L608" s="3"/>
      <c r="M608" s="3"/>
      <c r="N608" s="3"/>
      <c r="O608" s="3"/>
      <c r="P608" s="3"/>
      <c r="Q608" s="3"/>
      <c r="R608" s="32"/>
      <c r="S608" s="32"/>
      <c r="T608" s="3"/>
      <c r="U608" s="33"/>
      <c r="V608" s="33"/>
      <c r="W608" s="3"/>
      <c r="X608" s="3"/>
      <c r="Y608" s="3"/>
      <c r="Z608" s="3"/>
      <c r="AA608" s="3"/>
      <c r="AB608" s="3"/>
      <c r="AC608" s="3"/>
      <c r="AD608" s="32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4"/>
      <c r="AT608" s="3"/>
      <c r="AU608" s="3"/>
      <c r="AV608" s="3"/>
      <c r="AW608" s="3"/>
      <c r="AX608" s="4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84"/>
      <c r="BZ608" s="84"/>
      <c r="CA608" s="84"/>
      <c r="CB608" s="84"/>
      <c r="CC608" s="84"/>
      <c r="CD608" s="84"/>
      <c r="CE608" s="84"/>
      <c r="CF608" s="84"/>
      <c r="CG608" s="84"/>
      <c r="CH608" s="84"/>
      <c r="CI608" s="84"/>
      <c r="CJ608" s="84"/>
      <c r="CK608" s="84"/>
      <c r="CL608" s="84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220"/>
      <c r="CY608" s="220"/>
      <c r="CZ608" s="220"/>
      <c r="DA608" s="220"/>
      <c r="DB608" s="237"/>
      <c r="DC608" s="238"/>
      <c r="DD608" s="238"/>
      <c r="DE608" s="238"/>
      <c r="DF608" s="238"/>
      <c r="DG608" s="238"/>
      <c r="DH608" s="238"/>
      <c r="DI608" s="238"/>
      <c r="DJ608" s="238"/>
      <c r="DK608" s="238"/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238"/>
      <c r="EC608" s="238"/>
      <c r="ED608" s="3"/>
      <c r="EE608" s="3"/>
      <c r="EF608" s="3"/>
      <c r="EG608" s="3"/>
      <c r="EH608" s="3"/>
    </row>
    <row r="609" spans="1:138" s="82" customFormat="1" x14ac:dyDescent="0.2">
      <c r="A609" s="3"/>
      <c r="B609" s="167"/>
      <c r="C609" s="3"/>
      <c r="D609" s="3"/>
      <c r="E609" s="31"/>
      <c r="F609" s="133"/>
      <c r="G609" s="3"/>
      <c r="H609" s="31"/>
      <c r="I609" s="31"/>
      <c r="J609" s="3"/>
      <c r="K609" s="3"/>
      <c r="L609" s="3"/>
      <c r="M609" s="3"/>
      <c r="N609" s="3"/>
      <c r="O609" s="3"/>
      <c r="P609" s="3"/>
      <c r="Q609" s="3"/>
      <c r="R609" s="32"/>
      <c r="S609" s="32"/>
      <c r="T609" s="3"/>
      <c r="U609" s="33"/>
      <c r="V609" s="33"/>
      <c r="W609" s="3"/>
      <c r="X609" s="3"/>
      <c r="Y609" s="3"/>
      <c r="Z609" s="3"/>
      <c r="AA609" s="3"/>
      <c r="AB609" s="3"/>
      <c r="AC609" s="3"/>
      <c r="AD609" s="32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4"/>
      <c r="AT609" s="3"/>
      <c r="AU609" s="3"/>
      <c r="AV609" s="3"/>
      <c r="AW609" s="3"/>
      <c r="AX609" s="4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84"/>
      <c r="BZ609" s="84"/>
      <c r="CA609" s="84"/>
      <c r="CB609" s="84"/>
      <c r="CC609" s="84"/>
      <c r="CD609" s="84"/>
      <c r="CE609" s="84"/>
      <c r="CF609" s="84"/>
      <c r="CG609" s="84"/>
      <c r="CH609" s="84"/>
      <c r="CI609" s="84"/>
      <c r="CJ609" s="84"/>
      <c r="CK609" s="84"/>
      <c r="CL609" s="84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220"/>
      <c r="CY609" s="220"/>
      <c r="CZ609" s="220"/>
      <c r="DA609" s="220"/>
      <c r="DB609" s="237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3"/>
      <c r="EE609" s="3"/>
      <c r="EF609" s="3"/>
      <c r="EG609" s="3"/>
      <c r="EH609" s="3"/>
    </row>
    <row r="610" spans="1:138" s="82" customFormat="1" x14ac:dyDescent="0.2">
      <c r="A610" s="3"/>
      <c r="B610" s="167"/>
      <c r="C610" s="3"/>
      <c r="D610" s="3"/>
      <c r="E610" s="31"/>
      <c r="F610" s="133"/>
      <c r="G610" s="3"/>
      <c r="H610" s="31"/>
      <c r="I610" s="31"/>
      <c r="J610" s="3"/>
      <c r="K610" s="3"/>
      <c r="L610" s="3"/>
      <c r="M610" s="3"/>
      <c r="N610" s="3"/>
      <c r="O610" s="3"/>
      <c r="P610" s="3"/>
      <c r="Q610" s="3"/>
      <c r="R610" s="32"/>
      <c r="S610" s="32"/>
      <c r="T610" s="3"/>
      <c r="U610" s="33"/>
      <c r="V610" s="33"/>
      <c r="W610" s="3"/>
      <c r="X610" s="3"/>
      <c r="Y610" s="3"/>
      <c r="Z610" s="3"/>
      <c r="AA610" s="3"/>
      <c r="AB610" s="3"/>
      <c r="AC610" s="3"/>
      <c r="AD610" s="32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4"/>
      <c r="AT610" s="3"/>
      <c r="AU610" s="3"/>
      <c r="AV610" s="3"/>
      <c r="AW610" s="3"/>
      <c r="AX610" s="4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84"/>
      <c r="BZ610" s="84"/>
      <c r="CA610" s="84"/>
      <c r="CB610" s="84"/>
      <c r="CC610" s="84"/>
      <c r="CD610" s="84"/>
      <c r="CE610" s="84"/>
      <c r="CF610" s="84"/>
      <c r="CG610" s="84"/>
      <c r="CH610" s="84"/>
      <c r="CI610" s="84"/>
      <c r="CJ610" s="84"/>
      <c r="CK610" s="84"/>
      <c r="CL610" s="84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220"/>
      <c r="CY610" s="220"/>
      <c r="CZ610" s="220"/>
      <c r="DA610" s="220"/>
      <c r="DB610" s="237"/>
      <c r="DC610" s="238"/>
      <c r="DD610" s="238"/>
      <c r="DE610" s="238"/>
      <c r="DF610" s="238"/>
      <c r="DG610" s="238"/>
      <c r="DH610" s="238"/>
      <c r="DI610" s="238"/>
      <c r="DJ610" s="238"/>
      <c r="DK610" s="238"/>
      <c r="DL610" s="238"/>
      <c r="DM610" s="238"/>
      <c r="DN610" s="238"/>
      <c r="DO610" s="238"/>
      <c r="DP610" s="238"/>
      <c r="DQ610" s="238"/>
      <c r="DR610" s="238"/>
      <c r="DS610" s="238"/>
      <c r="DT610" s="238"/>
      <c r="DU610" s="238"/>
      <c r="DV610" s="238"/>
      <c r="DW610" s="238"/>
      <c r="DX610" s="238"/>
      <c r="DY610" s="238"/>
      <c r="DZ610" s="238"/>
      <c r="EA610" s="238"/>
      <c r="EB610" s="238"/>
      <c r="EC610" s="238"/>
      <c r="ED610" s="3"/>
      <c r="EE610" s="3"/>
      <c r="EF610" s="3"/>
      <c r="EG610" s="3"/>
      <c r="EH610" s="3"/>
    </row>
    <row r="611" spans="1:138" s="82" customFormat="1" x14ac:dyDescent="0.2">
      <c r="A611" s="3"/>
      <c r="B611" s="167"/>
      <c r="C611" s="3"/>
      <c r="D611" s="3"/>
      <c r="E611" s="31"/>
      <c r="F611" s="133"/>
      <c r="G611" s="3"/>
      <c r="H611" s="31"/>
      <c r="I611" s="31"/>
      <c r="J611" s="3"/>
      <c r="K611" s="3"/>
      <c r="L611" s="3"/>
      <c r="M611" s="3"/>
      <c r="N611" s="3"/>
      <c r="O611" s="3"/>
      <c r="P611" s="3"/>
      <c r="Q611" s="3"/>
      <c r="R611" s="32"/>
      <c r="S611" s="32"/>
      <c r="T611" s="3"/>
      <c r="U611" s="33"/>
      <c r="V611" s="33"/>
      <c r="W611" s="3"/>
      <c r="X611" s="3"/>
      <c r="Y611" s="3"/>
      <c r="Z611" s="3"/>
      <c r="AA611" s="3"/>
      <c r="AB611" s="3"/>
      <c r="AC611" s="3"/>
      <c r="AD611" s="32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4"/>
      <c r="AT611" s="3"/>
      <c r="AU611" s="3"/>
      <c r="AV611" s="3"/>
      <c r="AW611" s="3"/>
      <c r="AX611" s="4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84"/>
      <c r="BZ611" s="84"/>
      <c r="CA611" s="84"/>
      <c r="CB611" s="84"/>
      <c r="CC611" s="84"/>
      <c r="CD611" s="84"/>
      <c r="CE611" s="84"/>
      <c r="CF611" s="84"/>
      <c r="CG611" s="84"/>
      <c r="CH611" s="84"/>
      <c r="CI611" s="84"/>
      <c r="CJ611" s="84"/>
      <c r="CK611" s="84"/>
      <c r="CL611" s="84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220"/>
      <c r="CY611" s="220"/>
      <c r="CZ611" s="220"/>
      <c r="DA611" s="220"/>
      <c r="DB611" s="237"/>
      <c r="DC611" s="238"/>
      <c r="DD611" s="238"/>
      <c r="DE611" s="238"/>
      <c r="DF611" s="238"/>
      <c r="DG611" s="238"/>
      <c r="DH611" s="238"/>
      <c r="DI611" s="238"/>
      <c r="DJ611" s="238"/>
      <c r="DK611" s="238"/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238"/>
      <c r="EC611" s="238"/>
      <c r="ED611" s="3"/>
      <c r="EE611" s="3"/>
      <c r="EF611" s="3"/>
      <c r="EG611" s="3"/>
      <c r="EH611" s="3"/>
    </row>
    <row r="612" spans="1:138" s="82" customFormat="1" x14ac:dyDescent="0.2">
      <c r="A612" s="3"/>
      <c r="B612" s="167"/>
      <c r="C612" s="3"/>
      <c r="D612" s="3"/>
      <c r="E612" s="31"/>
      <c r="F612" s="133"/>
      <c r="G612" s="3"/>
      <c r="H612" s="31"/>
      <c r="I612" s="31"/>
      <c r="J612" s="3"/>
      <c r="K612" s="3"/>
      <c r="L612" s="3"/>
      <c r="M612" s="3"/>
      <c r="N612" s="3"/>
      <c r="O612" s="3"/>
      <c r="P612" s="3"/>
      <c r="Q612" s="3"/>
      <c r="R612" s="32"/>
      <c r="S612" s="32"/>
      <c r="T612" s="3"/>
      <c r="U612" s="33"/>
      <c r="V612" s="33"/>
      <c r="W612" s="3"/>
      <c r="X612" s="3"/>
      <c r="Y612" s="3"/>
      <c r="Z612" s="3"/>
      <c r="AA612" s="3"/>
      <c r="AB612" s="3"/>
      <c r="AC612" s="3"/>
      <c r="AD612" s="32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4"/>
      <c r="AT612" s="3"/>
      <c r="AU612" s="3"/>
      <c r="AV612" s="3"/>
      <c r="AW612" s="3"/>
      <c r="AX612" s="4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84"/>
      <c r="BZ612" s="84"/>
      <c r="CA612" s="84"/>
      <c r="CB612" s="84"/>
      <c r="CC612" s="84"/>
      <c r="CD612" s="84"/>
      <c r="CE612" s="84"/>
      <c r="CF612" s="84"/>
      <c r="CG612" s="84"/>
      <c r="CH612" s="84"/>
      <c r="CI612" s="84"/>
      <c r="CJ612" s="84"/>
      <c r="CK612" s="84"/>
      <c r="CL612" s="84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220"/>
      <c r="CY612" s="220"/>
      <c r="CZ612" s="220"/>
      <c r="DA612" s="220"/>
      <c r="DB612" s="237"/>
      <c r="DC612" s="238"/>
      <c r="DD612" s="238"/>
      <c r="DE612" s="238"/>
      <c r="DF612" s="238"/>
      <c r="DG612" s="238"/>
      <c r="DH612" s="238"/>
      <c r="DI612" s="238"/>
      <c r="DJ612" s="238"/>
      <c r="DK612" s="238"/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238"/>
      <c r="EC612" s="238"/>
      <c r="ED612" s="3"/>
      <c r="EE612" s="3"/>
      <c r="EF612" s="3"/>
      <c r="EG612" s="3"/>
      <c r="EH612" s="3"/>
    </row>
    <row r="613" spans="1:138" s="82" customFormat="1" x14ac:dyDescent="0.2">
      <c r="A613" s="3"/>
      <c r="B613" s="167"/>
      <c r="C613" s="3"/>
      <c r="D613" s="3"/>
      <c r="E613" s="31"/>
      <c r="F613" s="133"/>
      <c r="G613" s="3"/>
      <c r="H613" s="31"/>
      <c r="I613" s="31"/>
      <c r="J613" s="3"/>
      <c r="K613" s="3"/>
      <c r="L613" s="3"/>
      <c r="M613" s="3"/>
      <c r="N613" s="3"/>
      <c r="O613" s="3"/>
      <c r="P613" s="3"/>
      <c r="Q613" s="3"/>
      <c r="R613" s="32"/>
      <c r="S613" s="32"/>
      <c r="T613" s="3"/>
      <c r="U613" s="33"/>
      <c r="V613" s="33"/>
      <c r="W613" s="3"/>
      <c r="X613" s="3"/>
      <c r="Y613" s="3"/>
      <c r="Z613" s="3"/>
      <c r="AA613" s="3"/>
      <c r="AB613" s="3"/>
      <c r="AC613" s="3"/>
      <c r="AD613" s="32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4"/>
      <c r="AT613" s="3"/>
      <c r="AU613" s="3"/>
      <c r="AV613" s="3"/>
      <c r="AW613" s="3"/>
      <c r="AX613" s="4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220"/>
      <c r="CY613" s="220"/>
      <c r="CZ613" s="220"/>
      <c r="DA613" s="220"/>
      <c r="DB613" s="237"/>
      <c r="DC613" s="238"/>
      <c r="DD613" s="238"/>
      <c r="DE613" s="238"/>
      <c r="DF613" s="238"/>
      <c r="DG613" s="238"/>
      <c r="DH613" s="238"/>
      <c r="DI613" s="238"/>
      <c r="DJ613" s="238"/>
      <c r="DK613" s="238"/>
      <c r="DL613" s="238"/>
      <c r="DM613" s="238"/>
      <c r="DN613" s="238"/>
      <c r="DO613" s="238"/>
      <c r="DP613" s="238"/>
      <c r="DQ613" s="238"/>
      <c r="DR613" s="238"/>
      <c r="DS613" s="238"/>
      <c r="DT613" s="238"/>
      <c r="DU613" s="238"/>
      <c r="DV613" s="238"/>
      <c r="DW613" s="238"/>
      <c r="DX613" s="238"/>
      <c r="DY613" s="238"/>
      <c r="DZ613" s="238"/>
      <c r="EA613" s="238"/>
      <c r="EB613" s="238"/>
      <c r="EC613" s="238"/>
      <c r="ED613" s="3"/>
      <c r="EE613" s="3"/>
      <c r="EF613" s="3"/>
      <c r="EG613" s="3"/>
      <c r="EH613" s="3"/>
    </row>
    <row r="614" spans="1:138" s="82" customFormat="1" x14ac:dyDescent="0.2">
      <c r="A614" s="3"/>
      <c r="B614" s="167"/>
      <c r="C614" s="3"/>
      <c r="D614" s="3"/>
      <c r="E614" s="31"/>
      <c r="F614" s="133"/>
      <c r="G614" s="3"/>
      <c r="H614" s="31"/>
      <c r="I614" s="31"/>
      <c r="J614" s="3"/>
      <c r="K614" s="3"/>
      <c r="L614" s="3"/>
      <c r="M614" s="3"/>
      <c r="N614" s="3"/>
      <c r="O614" s="3"/>
      <c r="P614" s="3"/>
      <c r="Q614" s="3"/>
      <c r="R614" s="32"/>
      <c r="S614" s="32"/>
      <c r="T614" s="3"/>
      <c r="U614" s="33"/>
      <c r="V614" s="33"/>
      <c r="W614" s="3"/>
      <c r="X614" s="3"/>
      <c r="Y614" s="3"/>
      <c r="Z614" s="3"/>
      <c r="AA614" s="3"/>
      <c r="AB614" s="3"/>
      <c r="AC614" s="3"/>
      <c r="AD614" s="32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4"/>
      <c r="AT614" s="3"/>
      <c r="AU614" s="3"/>
      <c r="AV614" s="3"/>
      <c r="AW614" s="3"/>
      <c r="AX614" s="4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84"/>
      <c r="BZ614" s="84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220"/>
      <c r="CY614" s="220"/>
      <c r="CZ614" s="220"/>
      <c r="DA614" s="220"/>
      <c r="DB614" s="237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3"/>
      <c r="EE614" s="3"/>
      <c r="EF614" s="3"/>
      <c r="EG614" s="3"/>
      <c r="EH614" s="3"/>
    </row>
    <row r="615" spans="1:138" s="82" customFormat="1" x14ac:dyDescent="0.2">
      <c r="A615" s="3"/>
      <c r="B615" s="167"/>
      <c r="C615" s="3"/>
      <c r="D615" s="3"/>
      <c r="E615" s="31"/>
      <c r="F615" s="133"/>
      <c r="G615" s="3"/>
      <c r="H615" s="31"/>
      <c r="I615" s="31"/>
      <c r="J615" s="3"/>
      <c r="K615" s="3"/>
      <c r="L615" s="3"/>
      <c r="M615" s="3"/>
      <c r="N615" s="3"/>
      <c r="O615" s="3"/>
      <c r="P615" s="3"/>
      <c r="Q615" s="3"/>
      <c r="R615" s="32"/>
      <c r="S615" s="32"/>
      <c r="T615" s="3"/>
      <c r="U615" s="33"/>
      <c r="V615" s="33"/>
      <c r="W615" s="3"/>
      <c r="X615" s="3"/>
      <c r="Y615" s="3"/>
      <c r="Z615" s="3"/>
      <c r="AA615" s="3"/>
      <c r="AB615" s="3"/>
      <c r="AC615" s="3"/>
      <c r="AD615" s="32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4"/>
      <c r="AT615" s="3"/>
      <c r="AU615" s="3"/>
      <c r="AV615" s="3"/>
      <c r="AW615" s="3"/>
      <c r="AX615" s="4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84"/>
      <c r="BZ615" s="84"/>
      <c r="CA615" s="84"/>
      <c r="CB615" s="84"/>
      <c r="CC615" s="84"/>
      <c r="CD615" s="84"/>
      <c r="CE615" s="84"/>
      <c r="CF615" s="84"/>
      <c r="CG615" s="84"/>
      <c r="CH615" s="84"/>
      <c r="CI615" s="84"/>
      <c r="CJ615" s="84"/>
      <c r="CK615" s="84"/>
      <c r="CL615" s="84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220"/>
      <c r="CY615" s="220"/>
      <c r="CZ615" s="220"/>
      <c r="DA615" s="220"/>
      <c r="DB615" s="237"/>
      <c r="DC615" s="238"/>
      <c r="DD615" s="238"/>
      <c r="DE615" s="238"/>
      <c r="DF615" s="238"/>
      <c r="DG615" s="238"/>
      <c r="DH615" s="238"/>
      <c r="DI615" s="238"/>
      <c r="DJ615" s="238"/>
      <c r="DK615" s="238"/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238"/>
      <c r="EC615" s="238"/>
      <c r="ED615" s="3"/>
      <c r="EE615" s="3"/>
      <c r="EF615" s="3"/>
      <c r="EG615" s="3"/>
      <c r="EH615" s="3"/>
    </row>
    <row r="616" spans="1:138" s="82" customFormat="1" x14ac:dyDescent="0.2">
      <c r="A616" s="3"/>
      <c r="B616" s="167"/>
      <c r="C616" s="3"/>
      <c r="D616" s="3"/>
      <c r="E616" s="31"/>
      <c r="F616" s="133"/>
      <c r="G616" s="3"/>
      <c r="H616" s="31"/>
      <c r="I616" s="31"/>
      <c r="J616" s="3"/>
      <c r="K616" s="3"/>
      <c r="L616" s="3"/>
      <c r="M616" s="3"/>
      <c r="N616" s="3"/>
      <c r="O616" s="3"/>
      <c r="P616" s="3"/>
      <c r="Q616" s="3"/>
      <c r="R616" s="32"/>
      <c r="S616" s="32"/>
      <c r="T616" s="3"/>
      <c r="U616" s="33"/>
      <c r="V616" s="33"/>
      <c r="W616" s="3"/>
      <c r="X616" s="3"/>
      <c r="Y616" s="3"/>
      <c r="Z616" s="3"/>
      <c r="AA616" s="3"/>
      <c r="AB616" s="3"/>
      <c r="AC616" s="3"/>
      <c r="AD616" s="32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4"/>
      <c r="AT616" s="3"/>
      <c r="AU616" s="3"/>
      <c r="AV616" s="3"/>
      <c r="AW616" s="3"/>
      <c r="AX616" s="4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84"/>
      <c r="BZ616" s="84"/>
      <c r="CA616" s="84"/>
      <c r="CB616" s="84"/>
      <c r="CC616" s="84"/>
      <c r="CD616" s="84"/>
      <c r="CE616" s="84"/>
      <c r="CF616" s="84"/>
      <c r="CG616" s="84"/>
      <c r="CH616" s="84"/>
      <c r="CI616" s="84"/>
      <c r="CJ616" s="84"/>
      <c r="CK616" s="84"/>
      <c r="CL616" s="84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220"/>
      <c r="CY616" s="220"/>
      <c r="CZ616" s="220"/>
      <c r="DA616" s="220"/>
      <c r="DB616" s="237"/>
      <c r="DC616" s="238"/>
      <c r="DD616" s="238"/>
      <c r="DE616" s="238"/>
      <c r="DF616" s="238"/>
      <c r="DG616" s="238"/>
      <c r="DH616" s="238"/>
      <c r="DI616" s="238"/>
      <c r="DJ616" s="238"/>
      <c r="DK616" s="238"/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238"/>
      <c r="EC616" s="238"/>
      <c r="ED616" s="3"/>
      <c r="EE616" s="3"/>
      <c r="EF616" s="3"/>
      <c r="EG616" s="3"/>
      <c r="EH616" s="3"/>
    </row>
    <row r="617" spans="1:138" s="82" customFormat="1" x14ac:dyDescent="0.2">
      <c r="A617" s="3"/>
      <c r="B617" s="167"/>
      <c r="C617" s="3"/>
      <c r="D617" s="3"/>
      <c r="E617" s="31"/>
      <c r="F617" s="133"/>
      <c r="G617" s="3"/>
      <c r="H617" s="31"/>
      <c r="I617" s="31"/>
      <c r="J617" s="3"/>
      <c r="K617" s="3"/>
      <c r="L617" s="3"/>
      <c r="M617" s="3"/>
      <c r="N617" s="3"/>
      <c r="O617" s="3"/>
      <c r="P617" s="3"/>
      <c r="Q617" s="3"/>
      <c r="R617" s="32"/>
      <c r="S617" s="32"/>
      <c r="T617" s="3"/>
      <c r="U617" s="33"/>
      <c r="V617" s="33"/>
      <c r="W617" s="3"/>
      <c r="X617" s="3"/>
      <c r="Y617" s="3"/>
      <c r="Z617" s="3"/>
      <c r="AA617" s="3"/>
      <c r="AB617" s="3"/>
      <c r="AC617" s="3"/>
      <c r="AD617" s="32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4"/>
      <c r="AT617" s="3"/>
      <c r="AU617" s="3"/>
      <c r="AV617" s="3"/>
      <c r="AW617" s="3"/>
      <c r="AX617" s="4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84"/>
      <c r="BZ617" s="84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220"/>
      <c r="CY617" s="220"/>
      <c r="CZ617" s="220"/>
      <c r="DA617" s="220"/>
      <c r="DB617" s="237"/>
      <c r="DC617" s="238"/>
      <c r="DD617" s="238"/>
      <c r="DE617" s="238"/>
      <c r="DF617" s="238"/>
      <c r="DG617" s="238"/>
      <c r="DH617" s="238"/>
      <c r="DI617" s="238"/>
      <c r="DJ617" s="238"/>
      <c r="DK617" s="238"/>
      <c r="DL617" s="238"/>
      <c r="DM617" s="238"/>
      <c r="DN617" s="238"/>
      <c r="DO617" s="238"/>
      <c r="DP617" s="238"/>
      <c r="DQ617" s="238"/>
      <c r="DR617" s="238"/>
      <c r="DS617" s="238"/>
      <c r="DT617" s="238"/>
      <c r="DU617" s="238"/>
      <c r="DV617" s="238"/>
      <c r="DW617" s="238"/>
      <c r="DX617" s="238"/>
      <c r="DY617" s="238"/>
      <c r="DZ617" s="238"/>
      <c r="EA617" s="238"/>
      <c r="EB617" s="238"/>
      <c r="EC617" s="238"/>
      <c r="ED617" s="3"/>
      <c r="EE617" s="3"/>
      <c r="EF617" s="3"/>
      <c r="EG617" s="3"/>
      <c r="EH617" s="3"/>
    </row>
    <row r="618" spans="1:138" s="82" customFormat="1" x14ac:dyDescent="0.2">
      <c r="A618" s="3"/>
      <c r="B618" s="167"/>
      <c r="C618" s="3"/>
      <c r="D618" s="3"/>
      <c r="E618" s="31"/>
      <c r="F618" s="133"/>
      <c r="G618" s="3"/>
      <c r="H618" s="31"/>
      <c r="I618" s="31"/>
      <c r="J618" s="3"/>
      <c r="K618" s="3"/>
      <c r="L618" s="3"/>
      <c r="M618" s="3"/>
      <c r="N618" s="3"/>
      <c r="O618" s="3"/>
      <c r="P618" s="3"/>
      <c r="Q618" s="3"/>
      <c r="R618" s="32"/>
      <c r="S618" s="32"/>
      <c r="T618" s="3"/>
      <c r="U618" s="33"/>
      <c r="V618" s="33"/>
      <c r="W618" s="3"/>
      <c r="X618" s="3"/>
      <c r="Y618" s="3"/>
      <c r="Z618" s="3"/>
      <c r="AA618" s="3"/>
      <c r="AB618" s="3"/>
      <c r="AC618" s="3"/>
      <c r="AD618" s="32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4"/>
      <c r="AT618" s="3"/>
      <c r="AU618" s="3"/>
      <c r="AV618" s="3"/>
      <c r="AW618" s="3"/>
      <c r="AX618" s="4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84"/>
      <c r="BZ618" s="84"/>
      <c r="CA618" s="84"/>
      <c r="CB618" s="84"/>
      <c r="CC618" s="84"/>
      <c r="CD618" s="84"/>
      <c r="CE618" s="84"/>
      <c r="CF618" s="84"/>
      <c r="CG618" s="84"/>
      <c r="CH618" s="84"/>
      <c r="CI618" s="84"/>
      <c r="CJ618" s="84"/>
      <c r="CK618" s="84"/>
      <c r="CL618" s="84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220"/>
      <c r="CY618" s="220"/>
      <c r="CZ618" s="220"/>
      <c r="DA618" s="220"/>
      <c r="DB618" s="237"/>
      <c r="DC618" s="238"/>
      <c r="DD618" s="238"/>
      <c r="DE618" s="238"/>
      <c r="DF618" s="238"/>
      <c r="DG618" s="238"/>
      <c r="DH618" s="238"/>
      <c r="DI618" s="238"/>
      <c r="DJ618" s="238"/>
      <c r="DK618" s="238"/>
      <c r="DL618" s="238"/>
      <c r="DM618" s="238"/>
      <c r="DN618" s="238"/>
      <c r="DO618" s="238"/>
      <c r="DP618" s="238"/>
      <c r="DQ618" s="238"/>
      <c r="DR618" s="238"/>
      <c r="DS618" s="238"/>
      <c r="DT618" s="238"/>
      <c r="DU618" s="238"/>
      <c r="DV618" s="238"/>
      <c r="DW618" s="238"/>
      <c r="DX618" s="238"/>
      <c r="DY618" s="238"/>
      <c r="DZ618" s="238"/>
      <c r="EA618" s="238"/>
      <c r="EB618" s="238"/>
      <c r="EC618" s="238"/>
      <c r="ED618" s="3"/>
      <c r="EE618" s="3"/>
      <c r="EF618" s="3"/>
      <c r="EG618" s="3"/>
      <c r="EH618" s="3"/>
    </row>
    <row r="619" spans="1:138" s="82" customFormat="1" x14ac:dyDescent="0.2">
      <c r="A619" s="3"/>
      <c r="B619" s="167"/>
      <c r="C619" s="3"/>
      <c r="D619" s="3"/>
      <c r="E619" s="31"/>
      <c r="F619" s="133"/>
      <c r="G619" s="3"/>
      <c r="H619" s="31"/>
      <c r="I619" s="31"/>
      <c r="J619" s="3"/>
      <c r="K619" s="3"/>
      <c r="L619" s="3"/>
      <c r="M619" s="3"/>
      <c r="N619" s="3"/>
      <c r="O619" s="3"/>
      <c r="P619" s="3"/>
      <c r="Q619" s="3"/>
      <c r="R619" s="32"/>
      <c r="S619" s="32"/>
      <c r="T619" s="3"/>
      <c r="U619" s="33"/>
      <c r="V619" s="33"/>
      <c r="W619" s="3"/>
      <c r="X619" s="3"/>
      <c r="Y619" s="3"/>
      <c r="Z619" s="3"/>
      <c r="AA619" s="3"/>
      <c r="AB619" s="3"/>
      <c r="AC619" s="3"/>
      <c r="AD619" s="32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4"/>
      <c r="AT619" s="3"/>
      <c r="AU619" s="3"/>
      <c r="AV619" s="3"/>
      <c r="AW619" s="3"/>
      <c r="AX619" s="4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84"/>
      <c r="BZ619" s="84"/>
      <c r="CA619" s="84"/>
      <c r="CB619" s="84"/>
      <c r="CC619" s="84"/>
      <c r="CD619" s="84"/>
      <c r="CE619" s="84"/>
      <c r="CF619" s="84"/>
      <c r="CG619" s="84"/>
      <c r="CH619" s="84"/>
      <c r="CI619" s="84"/>
      <c r="CJ619" s="84"/>
      <c r="CK619" s="84"/>
      <c r="CL619" s="84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220"/>
      <c r="CY619" s="220"/>
      <c r="CZ619" s="220"/>
      <c r="DA619" s="220"/>
      <c r="DB619" s="237"/>
      <c r="DC619" s="238"/>
      <c r="DD619" s="238"/>
      <c r="DE619" s="238"/>
      <c r="DF619" s="238"/>
      <c r="DG619" s="238"/>
      <c r="DH619" s="238"/>
      <c r="DI619" s="238"/>
      <c r="DJ619" s="238"/>
      <c r="DK619" s="238"/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238"/>
      <c r="EC619" s="238"/>
      <c r="ED619" s="3"/>
      <c r="EE619" s="3"/>
      <c r="EF619" s="3"/>
      <c r="EG619" s="3"/>
      <c r="EH619" s="3"/>
    </row>
    <row r="620" spans="1:138" s="82" customFormat="1" x14ac:dyDescent="0.2">
      <c r="A620" s="3"/>
      <c r="B620" s="167"/>
      <c r="C620" s="3"/>
      <c r="D620" s="3"/>
      <c r="E620" s="31"/>
      <c r="F620" s="133"/>
      <c r="G620" s="3"/>
      <c r="H620" s="31"/>
      <c r="I620" s="31"/>
      <c r="J620" s="3"/>
      <c r="K620" s="3"/>
      <c r="L620" s="3"/>
      <c r="M620" s="3"/>
      <c r="N620" s="3"/>
      <c r="O620" s="3"/>
      <c r="P620" s="3"/>
      <c r="Q620" s="3"/>
      <c r="R620" s="32"/>
      <c r="S620" s="32"/>
      <c r="T620" s="3"/>
      <c r="U620" s="33"/>
      <c r="V620" s="33"/>
      <c r="W620" s="3"/>
      <c r="X620" s="3"/>
      <c r="Y620" s="3"/>
      <c r="Z620" s="3"/>
      <c r="AA620" s="3"/>
      <c r="AB620" s="3"/>
      <c r="AC620" s="3"/>
      <c r="AD620" s="32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4"/>
      <c r="AT620" s="3"/>
      <c r="AU620" s="3"/>
      <c r="AV620" s="3"/>
      <c r="AW620" s="3"/>
      <c r="AX620" s="4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84"/>
      <c r="BZ620" s="84"/>
      <c r="CA620" s="84"/>
      <c r="CB620" s="84"/>
      <c r="CC620" s="84"/>
      <c r="CD620" s="84"/>
      <c r="CE620" s="84"/>
      <c r="CF620" s="84"/>
      <c r="CG620" s="84"/>
      <c r="CH620" s="84"/>
      <c r="CI620" s="84"/>
      <c r="CJ620" s="84"/>
      <c r="CK620" s="84"/>
      <c r="CL620" s="84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220"/>
      <c r="CY620" s="220"/>
      <c r="CZ620" s="220"/>
      <c r="DA620" s="220"/>
      <c r="DB620" s="237"/>
      <c r="DC620" s="238"/>
      <c r="DD620" s="238"/>
      <c r="DE620" s="238"/>
      <c r="DF620" s="238"/>
      <c r="DG620" s="238"/>
      <c r="DH620" s="238"/>
      <c r="DI620" s="238"/>
      <c r="DJ620" s="238"/>
      <c r="DK620" s="238"/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238"/>
      <c r="EC620" s="238"/>
      <c r="ED620" s="3"/>
      <c r="EE620" s="3"/>
      <c r="EF620" s="3"/>
      <c r="EG620" s="3"/>
      <c r="EH620" s="3"/>
    </row>
    <row r="621" spans="1:138" s="82" customFormat="1" x14ac:dyDescent="0.2">
      <c r="A621" s="3"/>
      <c r="B621" s="167"/>
      <c r="C621" s="3"/>
      <c r="D621" s="3"/>
      <c r="E621" s="31"/>
      <c r="F621" s="133"/>
      <c r="G621" s="3"/>
      <c r="H621" s="31"/>
      <c r="I621" s="31"/>
      <c r="J621" s="3"/>
      <c r="K621" s="3"/>
      <c r="L621" s="3"/>
      <c r="M621" s="3"/>
      <c r="N621" s="3"/>
      <c r="O621" s="3"/>
      <c r="P621" s="3"/>
      <c r="Q621" s="3"/>
      <c r="R621" s="32"/>
      <c r="S621" s="32"/>
      <c r="T621" s="3"/>
      <c r="U621" s="33"/>
      <c r="V621" s="33"/>
      <c r="W621" s="3"/>
      <c r="X621" s="3"/>
      <c r="Y621" s="3"/>
      <c r="Z621" s="3"/>
      <c r="AA621" s="3"/>
      <c r="AB621" s="3"/>
      <c r="AC621" s="3"/>
      <c r="AD621" s="32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4"/>
      <c r="AT621" s="3"/>
      <c r="AU621" s="3"/>
      <c r="AV621" s="3"/>
      <c r="AW621" s="3"/>
      <c r="AX621" s="4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220"/>
      <c r="CY621" s="220"/>
      <c r="CZ621" s="220"/>
      <c r="DA621" s="220"/>
      <c r="DB621" s="237"/>
      <c r="DC621" s="238"/>
      <c r="DD621" s="238"/>
      <c r="DE621" s="238"/>
      <c r="DF621" s="238"/>
      <c r="DG621" s="238"/>
      <c r="DH621" s="238"/>
      <c r="DI621" s="238"/>
      <c r="DJ621" s="238"/>
      <c r="DK621" s="238"/>
      <c r="DL621" s="238"/>
      <c r="DM621" s="238"/>
      <c r="DN621" s="238"/>
      <c r="DO621" s="238"/>
      <c r="DP621" s="238"/>
      <c r="DQ621" s="238"/>
      <c r="DR621" s="238"/>
      <c r="DS621" s="238"/>
      <c r="DT621" s="238"/>
      <c r="DU621" s="238"/>
      <c r="DV621" s="238"/>
      <c r="DW621" s="238"/>
      <c r="DX621" s="238"/>
      <c r="DY621" s="238"/>
      <c r="DZ621" s="238"/>
      <c r="EA621" s="238"/>
      <c r="EB621" s="238"/>
      <c r="EC621" s="238"/>
      <c r="ED621" s="3"/>
      <c r="EE621" s="3"/>
      <c r="EF621" s="3"/>
      <c r="EG621" s="3"/>
      <c r="EH621" s="3"/>
    </row>
    <row r="622" spans="1:138" s="82" customFormat="1" x14ac:dyDescent="0.2">
      <c r="A622" s="3"/>
      <c r="B622" s="167"/>
      <c r="C622" s="3"/>
      <c r="D622" s="3"/>
      <c r="E622" s="31"/>
      <c r="F622" s="133"/>
      <c r="G622" s="3"/>
      <c r="H622" s="31"/>
      <c r="I622" s="31"/>
      <c r="J622" s="3"/>
      <c r="K622" s="3"/>
      <c r="L622" s="3"/>
      <c r="M622" s="3"/>
      <c r="N622" s="3"/>
      <c r="O622" s="3"/>
      <c r="P622" s="3"/>
      <c r="Q622" s="3"/>
      <c r="R622" s="32"/>
      <c r="S622" s="32"/>
      <c r="T622" s="3"/>
      <c r="U622" s="33"/>
      <c r="V622" s="33"/>
      <c r="W622" s="3"/>
      <c r="X622" s="3"/>
      <c r="Y622" s="3"/>
      <c r="Z622" s="3"/>
      <c r="AA622" s="3"/>
      <c r="AB622" s="3"/>
      <c r="AC622" s="3"/>
      <c r="AD622" s="32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4"/>
      <c r="AT622" s="3"/>
      <c r="AU622" s="3"/>
      <c r="AV622" s="3"/>
      <c r="AW622" s="3"/>
      <c r="AX622" s="4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84"/>
      <c r="BZ622" s="84"/>
      <c r="CA622" s="84"/>
      <c r="CB622" s="84"/>
      <c r="CC622" s="84"/>
      <c r="CD622" s="84"/>
      <c r="CE622" s="84"/>
      <c r="CF622" s="84"/>
      <c r="CG622" s="84"/>
      <c r="CH622" s="84"/>
      <c r="CI622" s="84"/>
      <c r="CJ622" s="84"/>
      <c r="CK622" s="84"/>
      <c r="CL622" s="84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220"/>
      <c r="CY622" s="220"/>
      <c r="CZ622" s="220"/>
      <c r="DA622" s="220"/>
      <c r="DB622" s="237"/>
      <c r="DC622" s="238"/>
      <c r="DD622" s="238"/>
      <c r="DE622" s="238"/>
      <c r="DF622" s="238"/>
      <c r="DG622" s="238"/>
      <c r="DH622" s="238"/>
      <c r="DI622" s="238"/>
      <c r="DJ622" s="238"/>
      <c r="DK622" s="238"/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238"/>
      <c r="EC622" s="238"/>
      <c r="ED622" s="3"/>
      <c r="EE622" s="3"/>
      <c r="EF622" s="3"/>
      <c r="EG622" s="3"/>
      <c r="EH622" s="3"/>
    </row>
    <row r="623" spans="1:138" s="82" customFormat="1" x14ac:dyDescent="0.2">
      <c r="A623" s="3"/>
      <c r="B623" s="167"/>
      <c r="C623" s="3"/>
      <c r="D623" s="3"/>
      <c r="E623" s="31"/>
      <c r="F623" s="133"/>
      <c r="G623" s="3"/>
      <c r="H623" s="31"/>
      <c r="I623" s="31"/>
      <c r="J623" s="3"/>
      <c r="K623" s="3"/>
      <c r="L623" s="3"/>
      <c r="M623" s="3"/>
      <c r="N623" s="3"/>
      <c r="O623" s="3"/>
      <c r="P623" s="3"/>
      <c r="Q623" s="3"/>
      <c r="R623" s="32"/>
      <c r="S623" s="32"/>
      <c r="T623" s="3"/>
      <c r="U623" s="33"/>
      <c r="V623" s="33"/>
      <c r="W623" s="3"/>
      <c r="X623" s="3"/>
      <c r="Y623" s="3"/>
      <c r="Z623" s="3"/>
      <c r="AA623" s="3"/>
      <c r="AB623" s="3"/>
      <c r="AC623" s="3"/>
      <c r="AD623" s="32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4"/>
      <c r="AT623" s="3"/>
      <c r="AU623" s="3"/>
      <c r="AV623" s="3"/>
      <c r="AW623" s="3"/>
      <c r="AX623" s="4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220"/>
      <c r="CY623" s="220"/>
      <c r="CZ623" s="220"/>
      <c r="DA623" s="220"/>
      <c r="DB623" s="237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3"/>
      <c r="EE623" s="3"/>
      <c r="EF623" s="3"/>
      <c r="EG623" s="3"/>
      <c r="EH623" s="3"/>
    </row>
    <row r="624" spans="1:138" s="82" customFormat="1" x14ac:dyDescent="0.2">
      <c r="A624" s="3"/>
      <c r="B624" s="167"/>
      <c r="C624" s="3"/>
      <c r="D624" s="3"/>
      <c r="E624" s="31"/>
      <c r="F624" s="133"/>
      <c r="G624" s="3"/>
      <c r="H624" s="31"/>
      <c r="I624" s="31"/>
      <c r="J624" s="3"/>
      <c r="K624" s="3"/>
      <c r="L624" s="3"/>
      <c r="M624" s="3"/>
      <c r="N624" s="3"/>
      <c r="O624" s="3"/>
      <c r="P624" s="3"/>
      <c r="Q624" s="3"/>
      <c r="R624" s="32"/>
      <c r="S624" s="32"/>
      <c r="T624" s="3"/>
      <c r="U624" s="33"/>
      <c r="V624" s="33"/>
      <c r="W624" s="3"/>
      <c r="X624" s="3"/>
      <c r="Y624" s="3"/>
      <c r="Z624" s="3"/>
      <c r="AA624" s="3"/>
      <c r="AB624" s="3"/>
      <c r="AC624" s="3"/>
      <c r="AD624" s="32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4"/>
      <c r="AT624" s="3"/>
      <c r="AU624" s="3"/>
      <c r="AV624" s="3"/>
      <c r="AW624" s="3"/>
      <c r="AX624" s="4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220"/>
      <c r="CY624" s="220"/>
      <c r="CZ624" s="220"/>
      <c r="DA624" s="220"/>
      <c r="DB624" s="237"/>
      <c r="DC624" s="238"/>
      <c r="DD624" s="238"/>
      <c r="DE624" s="238"/>
      <c r="DF624" s="238"/>
      <c r="DG624" s="238"/>
      <c r="DH624" s="238"/>
      <c r="DI624" s="238"/>
      <c r="DJ624" s="238"/>
      <c r="DK624" s="238"/>
      <c r="DL624" s="238"/>
      <c r="DM624" s="238"/>
      <c r="DN624" s="238"/>
      <c r="DO624" s="238"/>
      <c r="DP624" s="238"/>
      <c r="DQ624" s="238"/>
      <c r="DR624" s="238"/>
      <c r="DS624" s="238"/>
      <c r="DT624" s="238"/>
      <c r="DU624" s="238"/>
      <c r="DV624" s="238"/>
      <c r="DW624" s="238"/>
      <c r="DX624" s="238"/>
      <c r="DY624" s="238"/>
      <c r="DZ624" s="238"/>
      <c r="EA624" s="238"/>
      <c r="EB624" s="238"/>
      <c r="EC624" s="238"/>
      <c r="ED624" s="3"/>
      <c r="EE624" s="3"/>
      <c r="EF624" s="3"/>
      <c r="EG624" s="3"/>
      <c r="EH624" s="3"/>
    </row>
    <row r="625" spans="1:138" s="82" customFormat="1" x14ac:dyDescent="0.2">
      <c r="A625" s="3"/>
      <c r="B625" s="167"/>
      <c r="C625" s="3"/>
      <c r="D625" s="3"/>
      <c r="E625" s="31"/>
      <c r="F625" s="133"/>
      <c r="G625" s="3"/>
      <c r="H625" s="31"/>
      <c r="I625" s="31"/>
      <c r="J625" s="3"/>
      <c r="K625" s="3"/>
      <c r="L625" s="3"/>
      <c r="M625" s="3"/>
      <c r="N625" s="3"/>
      <c r="O625" s="3"/>
      <c r="P625" s="3"/>
      <c r="Q625" s="3"/>
      <c r="R625" s="32"/>
      <c r="S625" s="32"/>
      <c r="T625" s="3"/>
      <c r="U625" s="33"/>
      <c r="V625" s="33"/>
      <c r="W625" s="3"/>
      <c r="X625" s="3"/>
      <c r="Y625" s="3"/>
      <c r="Z625" s="3"/>
      <c r="AA625" s="3"/>
      <c r="AB625" s="3"/>
      <c r="AC625" s="3"/>
      <c r="AD625" s="32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4"/>
      <c r="AT625" s="3"/>
      <c r="AU625" s="3"/>
      <c r="AV625" s="3"/>
      <c r="AW625" s="3"/>
      <c r="AX625" s="4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220"/>
      <c r="CY625" s="220"/>
      <c r="CZ625" s="220"/>
      <c r="DA625" s="220"/>
      <c r="DB625" s="237"/>
      <c r="DC625" s="238"/>
      <c r="DD625" s="238"/>
      <c r="DE625" s="238"/>
      <c r="DF625" s="238"/>
      <c r="DG625" s="238"/>
      <c r="DH625" s="238"/>
      <c r="DI625" s="238"/>
      <c r="DJ625" s="238"/>
      <c r="DK625" s="238"/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238"/>
      <c r="EC625" s="238"/>
      <c r="ED625" s="3"/>
      <c r="EE625" s="3"/>
      <c r="EF625" s="3"/>
      <c r="EG625" s="3"/>
      <c r="EH625" s="3"/>
    </row>
    <row r="626" spans="1:138" s="82" customFormat="1" x14ac:dyDescent="0.2">
      <c r="A626" s="3"/>
      <c r="B626" s="167"/>
      <c r="C626" s="3"/>
      <c r="D626" s="3"/>
      <c r="E626" s="31"/>
      <c r="F626" s="133"/>
      <c r="G626" s="3"/>
      <c r="H626" s="31"/>
      <c r="I626" s="31"/>
      <c r="J626" s="3"/>
      <c r="K626" s="3"/>
      <c r="L626" s="3"/>
      <c r="M626" s="3"/>
      <c r="N626" s="3"/>
      <c r="O626" s="3"/>
      <c r="P626" s="3"/>
      <c r="Q626" s="3"/>
      <c r="R626" s="32"/>
      <c r="S626" s="32"/>
      <c r="T626" s="3"/>
      <c r="U626" s="33"/>
      <c r="V626" s="33"/>
      <c r="W626" s="3"/>
      <c r="X626" s="3"/>
      <c r="Y626" s="3"/>
      <c r="Z626" s="3"/>
      <c r="AA626" s="3"/>
      <c r="AB626" s="3"/>
      <c r="AC626" s="3"/>
      <c r="AD626" s="32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4"/>
      <c r="AT626" s="3"/>
      <c r="AU626" s="3"/>
      <c r="AV626" s="3"/>
      <c r="AW626" s="3"/>
      <c r="AX626" s="4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220"/>
      <c r="CY626" s="220"/>
      <c r="CZ626" s="220"/>
      <c r="DA626" s="220"/>
      <c r="DB626" s="237"/>
      <c r="DC626" s="238"/>
      <c r="DD626" s="238"/>
      <c r="DE626" s="238"/>
      <c r="DF626" s="238"/>
      <c r="DG626" s="238"/>
      <c r="DH626" s="238"/>
      <c r="DI626" s="238"/>
      <c r="DJ626" s="238"/>
      <c r="DK626" s="238"/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238"/>
      <c r="EC626" s="238"/>
      <c r="ED626" s="3"/>
      <c r="EE626" s="3"/>
      <c r="EF626" s="3"/>
      <c r="EG626" s="3"/>
      <c r="EH626" s="3"/>
    </row>
    <row r="627" spans="1:138" s="82" customFormat="1" x14ac:dyDescent="0.2">
      <c r="A627" s="3"/>
      <c r="B627" s="167"/>
      <c r="C627" s="3"/>
      <c r="D627" s="3"/>
      <c r="E627" s="31"/>
      <c r="F627" s="133"/>
      <c r="G627" s="3"/>
      <c r="H627" s="31"/>
      <c r="I627" s="31"/>
      <c r="J627" s="3"/>
      <c r="K627" s="3"/>
      <c r="L627" s="3"/>
      <c r="M627" s="3"/>
      <c r="N627" s="3"/>
      <c r="O627" s="3"/>
      <c r="P627" s="3"/>
      <c r="Q627" s="3"/>
      <c r="R627" s="32"/>
      <c r="S627" s="32"/>
      <c r="T627" s="3"/>
      <c r="U627" s="33"/>
      <c r="V627" s="33"/>
      <c r="W627" s="3"/>
      <c r="X627" s="3"/>
      <c r="Y627" s="3"/>
      <c r="Z627" s="3"/>
      <c r="AA627" s="3"/>
      <c r="AB627" s="3"/>
      <c r="AC627" s="3"/>
      <c r="AD627" s="32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4"/>
      <c r="AT627" s="3"/>
      <c r="AU627" s="3"/>
      <c r="AV627" s="3"/>
      <c r="AW627" s="3"/>
      <c r="AX627" s="4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220"/>
      <c r="CY627" s="220"/>
      <c r="CZ627" s="220"/>
      <c r="DA627" s="220"/>
      <c r="DB627" s="237"/>
      <c r="DC627" s="238"/>
      <c r="DD627" s="238"/>
      <c r="DE627" s="238"/>
      <c r="DF627" s="238"/>
      <c r="DG627" s="238"/>
      <c r="DH627" s="238"/>
      <c r="DI627" s="238"/>
      <c r="DJ627" s="238"/>
      <c r="DK627" s="238"/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238"/>
      <c r="EC627" s="238"/>
      <c r="ED627" s="3"/>
      <c r="EE627" s="3"/>
      <c r="EF627" s="3"/>
      <c r="EG627" s="3"/>
      <c r="EH627" s="3"/>
    </row>
    <row r="628" spans="1:138" s="82" customFormat="1" x14ac:dyDescent="0.2">
      <c r="A628" s="3"/>
      <c r="B628" s="167"/>
      <c r="C628" s="3"/>
      <c r="D628" s="3"/>
      <c r="E628" s="31"/>
      <c r="F628" s="133"/>
      <c r="G628" s="3"/>
      <c r="H628" s="31"/>
      <c r="I628" s="31"/>
      <c r="J628" s="3"/>
      <c r="K628" s="3"/>
      <c r="L628" s="3"/>
      <c r="M628" s="3"/>
      <c r="N628" s="3"/>
      <c r="O628" s="3"/>
      <c r="P628" s="3"/>
      <c r="Q628" s="3"/>
      <c r="R628" s="32"/>
      <c r="S628" s="32"/>
      <c r="T628" s="3"/>
      <c r="U628" s="33"/>
      <c r="V628" s="33"/>
      <c r="W628" s="3"/>
      <c r="X628" s="3"/>
      <c r="Y628" s="3"/>
      <c r="Z628" s="3"/>
      <c r="AA628" s="3"/>
      <c r="AB628" s="3"/>
      <c r="AC628" s="3"/>
      <c r="AD628" s="32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4"/>
      <c r="AT628" s="3"/>
      <c r="AU628" s="3"/>
      <c r="AV628" s="3"/>
      <c r="AW628" s="3"/>
      <c r="AX628" s="4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84"/>
      <c r="BZ628" s="84"/>
      <c r="CA628" s="84"/>
      <c r="CB628" s="84"/>
      <c r="CC628" s="84"/>
      <c r="CD628" s="84"/>
      <c r="CE628" s="84"/>
      <c r="CF628" s="84"/>
      <c r="CG628" s="84"/>
      <c r="CH628" s="84"/>
      <c r="CI628" s="84"/>
      <c r="CJ628" s="84"/>
      <c r="CK628" s="84"/>
      <c r="CL628" s="84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220"/>
      <c r="CY628" s="220"/>
      <c r="CZ628" s="220"/>
      <c r="DA628" s="220"/>
      <c r="DB628" s="237"/>
      <c r="DC628" s="238"/>
      <c r="DD628" s="238"/>
      <c r="DE628" s="238"/>
      <c r="DF628" s="238"/>
      <c r="DG628" s="238"/>
      <c r="DH628" s="238"/>
      <c r="DI628" s="238"/>
      <c r="DJ628" s="238"/>
      <c r="DK628" s="238"/>
      <c r="DL628" s="238"/>
      <c r="DM628" s="238"/>
      <c r="DN628" s="238"/>
      <c r="DO628" s="238"/>
      <c r="DP628" s="238"/>
      <c r="DQ628" s="238"/>
      <c r="DR628" s="238"/>
      <c r="DS628" s="238"/>
      <c r="DT628" s="238"/>
      <c r="DU628" s="238"/>
      <c r="DV628" s="238"/>
      <c r="DW628" s="238"/>
      <c r="DX628" s="238"/>
      <c r="DY628" s="238"/>
      <c r="DZ628" s="238"/>
      <c r="EA628" s="238"/>
      <c r="EB628" s="238"/>
      <c r="EC628" s="238"/>
      <c r="ED628" s="3"/>
      <c r="EE628" s="3"/>
      <c r="EF628" s="3"/>
      <c r="EG628" s="3"/>
      <c r="EH628" s="3"/>
    </row>
    <row r="629" spans="1:138" s="82" customFormat="1" x14ac:dyDescent="0.2">
      <c r="A629" s="3"/>
      <c r="B629" s="167"/>
      <c r="C629" s="3"/>
      <c r="D629" s="3"/>
      <c r="E629" s="31"/>
      <c r="F629" s="133"/>
      <c r="G629" s="3"/>
      <c r="H629" s="31"/>
      <c r="I629" s="31"/>
      <c r="J629" s="3"/>
      <c r="K629" s="3"/>
      <c r="L629" s="3"/>
      <c r="M629" s="3"/>
      <c r="N629" s="3"/>
      <c r="O629" s="3"/>
      <c r="P629" s="3"/>
      <c r="Q629" s="3"/>
      <c r="R629" s="32"/>
      <c r="S629" s="32"/>
      <c r="T629" s="3"/>
      <c r="U629" s="33"/>
      <c r="V629" s="33"/>
      <c r="W629" s="3"/>
      <c r="X629" s="3"/>
      <c r="Y629" s="3"/>
      <c r="Z629" s="3"/>
      <c r="AA629" s="3"/>
      <c r="AB629" s="3"/>
      <c r="AC629" s="3"/>
      <c r="AD629" s="32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4"/>
      <c r="AT629" s="3"/>
      <c r="AU629" s="3"/>
      <c r="AV629" s="3"/>
      <c r="AW629" s="3"/>
      <c r="AX629" s="4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84"/>
      <c r="BZ629" s="84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220"/>
      <c r="CY629" s="220"/>
      <c r="CZ629" s="220"/>
      <c r="DA629" s="220"/>
      <c r="DB629" s="237"/>
      <c r="DC629" s="238"/>
      <c r="DD629" s="238"/>
      <c r="DE629" s="238"/>
      <c r="DF629" s="238"/>
      <c r="DG629" s="238"/>
      <c r="DH629" s="238"/>
      <c r="DI629" s="238"/>
      <c r="DJ629" s="238"/>
      <c r="DK629" s="238"/>
      <c r="DL629" s="238"/>
      <c r="DM629" s="238"/>
      <c r="DN629" s="238"/>
      <c r="DO629" s="238"/>
      <c r="DP629" s="238"/>
      <c r="DQ629" s="238"/>
      <c r="DR629" s="238"/>
      <c r="DS629" s="238"/>
      <c r="DT629" s="238"/>
      <c r="DU629" s="238"/>
      <c r="DV629" s="238"/>
      <c r="DW629" s="238"/>
      <c r="DX629" s="238"/>
      <c r="DY629" s="238"/>
      <c r="DZ629" s="238"/>
      <c r="EA629" s="238"/>
      <c r="EB629" s="238"/>
      <c r="EC629" s="238"/>
      <c r="ED629" s="3"/>
      <c r="EE629" s="3"/>
      <c r="EF629" s="3"/>
      <c r="EG629" s="3"/>
      <c r="EH629" s="3"/>
    </row>
    <row r="630" spans="1:138" s="82" customFormat="1" x14ac:dyDescent="0.2">
      <c r="A630" s="3"/>
      <c r="B630" s="167"/>
      <c r="C630" s="3"/>
      <c r="D630" s="3"/>
      <c r="E630" s="31"/>
      <c r="F630" s="133"/>
      <c r="G630" s="3"/>
      <c r="H630" s="31"/>
      <c r="I630" s="31"/>
      <c r="J630" s="3"/>
      <c r="K630" s="3"/>
      <c r="L630" s="3"/>
      <c r="M630" s="3"/>
      <c r="N630" s="3"/>
      <c r="O630" s="3"/>
      <c r="P630" s="3"/>
      <c r="Q630" s="3"/>
      <c r="R630" s="32"/>
      <c r="S630" s="32"/>
      <c r="T630" s="3"/>
      <c r="U630" s="33"/>
      <c r="V630" s="33"/>
      <c r="W630" s="3"/>
      <c r="X630" s="3"/>
      <c r="Y630" s="3"/>
      <c r="Z630" s="3"/>
      <c r="AA630" s="3"/>
      <c r="AB630" s="3"/>
      <c r="AC630" s="3"/>
      <c r="AD630" s="32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4"/>
      <c r="AT630" s="3"/>
      <c r="AU630" s="3"/>
      <c r="AV630" s="3"/>
      <c r="AW630" s="3"/>
      <c r="AX630" s="4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84"/>
      <c r="BZ630" s="84"/>
      <c r="CA630" s="84"/>
      <c r="CB630" s="84"/>
      <c r="CC630" s="84"/>
      <c r="CD630" s="84"/>
      <c r="CE630" s="84"/>
      <c r="CF630" s="84"/>
      <c r="CG630" s="84"/>
      <c r="CH630" s="84"/>
      <c r="CI630" s="84"/>
      <c r="CJ630" s="84"/>
      <c r="CK630" s="84"/>
      <c r="CL630" s="84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220"/>
      <c r="CY630" s="220"/>
      <c r="CZ630" s="220"/>
      <c r="DA630" s="220"/>
      <c r="DB630" s="237"/>
      <c r="DC630" s="238"/>
      <c r="DD630" s="238"/>
      <c r="DE630" s="238"/>
      <c r="DF630" s="238"/>
      <c r="DG630" s="238"/>
      <c r="DH630" s="238"/>
      <c r="DI630" s="238"/>
      <c r="DJ630" s="238"/>
      <c r="DK630" s="238"/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38"/>
      <c r="DW630" s="238"/>
      <c r="DX630" s="238"/>
      <c r="DY630" s="238"/>
      <c r="DZ630" s="238"/>
      <c r="EA630" s="238"/>
      <c r="EB630" s="238"/>
      <c r="EC630" s="238"/>
      <c r="ED630" s="3"/>
      <c r="EE630" s="3"/>
      <c r="EF630" s="3"/>
      <c r="EG630" s="3"/>
      <c r="EH630" s="3"/>
    </row>
    <row r="631" spans="1:138" s="82" customFormat="1" x14ac:dyDescent="0.2">
      <c r="A631" s="3"/>
      <c r="B631" s="167"/>
      <c r="C631" s="3"/>
      <c r="D631" s="3"/>
      <c r="E631" s="31"/>
      <c r="F631" s="133"/>
      <c r="G631" s="3"/>
      <c r="H631" s="31"/>
      <c r="I631" s="31"/>
      <c r="J631" s="3"/>
      <c r="K631" s="3"/>
      <c r="L631" s="3"/>
      <c r="M631" s="3"/>
      <c r="N631" s="3"/>
      <c r="O631" s="3"/>
      <c r="P631" s="3"/>
      <c r="Q631" s="3"/>
      <c r="R631" s="32"/>
      <c r="S631" s="32"/>
      <c r="T631" s="3"/>
      <c r="U631" s="33"/>
      <c r="V631" s="33"/>
      <c r="W631" s="3"/>
      <c r="X631" s="3"/>
      <c r="Y631" s="3"/>
      <c r="Z631" s="3"/>
      <c r="AA631" s="3"/>
      <c r="AB631" s="3"/>
      <c r="AC631" s="3"/>
      <c r="AD631" s="32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4"/>
      <c r="AT631" s="3"/>
      <c r="AU631" s="3"/>
      <c r="AV631" s="3"/>
      <c r="AW631" s="3"/>
      <c r="AX631" s="4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84"/>
      <c r="BZ631" s="84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220"/>
      <c r="CY631" s="220"/>
      <c r="CZ631" s="220"/>
      <c r="DA631" s="220"/>
      <c r="DB631" s="237"/>
      <c r="DC631" s="238"/>
      <c r="DD631" s="238"/>
      <c r="DE631" s="238"/>
      <c r="DF631" s="238"/>
      <c r="DG631" s="238"/>
      <c r="DH631" s="238"/>
      <c r="DI631" s="238"/>
      <c r="DJ631" s="238"/>
      <c r="DK631" s="238"/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38"/>
      <c r="DW631" s="238"/>
      <c r="DX631" s="238"/>
      <c r="DY631" s="238"/>
      <c r="DZ631" s="238"/>
      <c r="EA631" s="238"/>
      <c r="EB631" s="238"/>
      <c r="EC631" s="238"/>
      <c r="ED631" s="3"/>
      <c r="EE631" s="3"/>
      <c r="EF631" s="3"/>
      <c r="EG631" s="3"/>
      <c r="EH631" s="3"/>
    </row>
    <row r="632" spans="1:138" s="82" customFormat="1" x14ac:dyDescent="0.2">
      <c r="A632" s="3"/>
      <c r="B632" s="167"/>
      <c r="C632" s="3"/>
      <c r="D632" s="3"/>
      <c r="E632" s="31"/>
      <c r="F632" s="133"/>
      <c r="G632" s="3"/>
      <c r="H632" s="31"/>
      <c r="I632" s="31"/>
      <c r="J632" s="3"/>
      <c r="K632" s="3"/>
      <c r="L632" s="3"/>
      <c r="M632" s="3"/>
      <c r="N632" s="3"/>
      <c r="O632" s="3"/>
      <c r="P632" s="3"/>
      <c r="Q632" s="3"/>
      <c r="R632" s="32"/>
      <c r="S632" s="32"/>
      <c r="T632" s="3"/>
      <c r="U632" s="33"/>
      <c r="V632" s="33"/>
      <c r="W632" s="3"/>
      <c r="X632" s="3"/>
      <c r="Y632" s="3"/>
      <c r="Z632" s="3"/>
      <c r="AA632" s="3"/>
      <c r="AB632" s="3"/>
      <c r="AC632" s="3"/>
      <c r="AD632" s="32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4"/>
      <c r="AT632" s="3"/>
      <c r="AU632" s="3"/>
      <c r="AV632" s="3"/>
      <c r="AW632" s="3"/>
      <c r="AX632" s="4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220"/>
      <c r="CY632" s="220"/>
      <c r="CZ632" s="220"/>
      <c r="DA632" s="220"/>
      <c r="DB632" s="237"/>
      <c r="DC632" s="238"/>
      <c r="DD632" s="238"/>
      <c r="DE632" s="238"/>
      <c r="DF632" s="238"/>
      <c r="DG632" s="238"/>
      <c r="DH632" s="238"/>
      <c r="DI632" s="238"/>
      <c r="DJ632" s="238"/>
      <c r="DK632" s="238"/>
      <c r="DL632" s="238"/>
      <c r="DM632" s="238"/>
      <c r="DN632" s="238"/>
      <c r="DO632" s="238"/>
      <c r="DP632" s="238"/>
      <c r="DQ632" s="238"/>
      <c r="DR632" s="238"/>
      <c r="DS632" s="238"/>
      <c r="DT632" s="238"/>
      <c r="DU632" s="238"/>
      <c r="DV632" s="238"/>
      <c r="DW632" s="238"/>
      <c r="DX632" s="238"/>
      <c r="DY632" s="238"/>
      <c r="DZ632" s="238"/>
      <c r="EA632" s="238"/>
      <c r="EB632" s="238"/>
      <c r="EC632" s="238"/>
      <c r="ED632" s="3"/>
      <c r="EE632" s="3"/>
      <c r="EF632" s="3"/>
      <c r="EG632" s="3"/>
      <c r="EH632" s="3"/>
    </row>
    <row r="633" spans="1:138" s="82" customFormat="1" x14ac:dyDescent="0.2">
      <c r="A633" s="3"/>
      <c r="B633" s="167"/>
      <c r="C633" s="3"/>
      <c r="D633" s="3"/>
      <c r="E633" s="31"/>
      <c r="F633" s="133"/>
      <c r="G633" s="3"/>
      <c r="H633" s="31"/>
      <c r="I633" s="31"/>
      <c r="J633" s="3"/>
      <c r="K633" s="3"/>
      <c r="L633" s="3"/>
      <c r="M633" s="3"/>
      <c r="N633" s="3"/>
      <c r="O633" s="3"/>
      <c r="P633" s="3"/>
      <c r="Q633" s="3"/>
      <c r="R633" s="32"/>
      <c r="S633" s="32"/>
      <c r="T633" s="3"/>
      <c r="U633" s="33"/>
      <c r="V633" s="33"/>
      <c r="W633" s="3"/>
      <c r="X633" s="3"/>
      <c r="Y633" s="3"/>
      <c r="Z633" s="3"/>
      <c r="AA633" s="3"/>
      <c r="AB633" s="3"/>
      <c r="AC633" s="3"/>
      <c r="AD633" s="32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4"/>
      <c r="AT633" s="3"/>
      <c r="AU633" s="3"/>
      <c r="AV633" s="3"/>
      <c r="AW633" s="3"/>
      <c r="AX633" s="4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84"/>
      <c r="BZ633" s="84"/>
      <c r="CA633" s="84"/>
      <c r="CB633" s="84"/>
      <c r="CC633" s="84"/>
      <c r="CD633" s="84"/>
      <c r="CE633" s="84"/>
      <c r="CF633" s="84"/>
      <c r="CG633" s="84"/>
      <c r="CH633" s="84"/>
      <c r="CI633" s="84"/>
      <c r="CJ633" s="84"/>
      <c r="CK633" s="84"/>
      <c r="CL633" s="84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220"/>
      <c r="CY633" s="220"/>
      <c r="CZ633" s="220"/>
      <c r="DA633" s="220"/>
      <c r="DB633" s="237"/>
      <c r="DC633" s="238"/>
      <c r="DD633" s="238"/>
      <c r="DE633" s="238"/>
      <c r="DF633" s="238"/>
      <c r="DG633" s="238"/>
      <c r="DH633" s="238"/>
      <c r="DI633" s="238"/>
      <c r="DJ633" s="238"/>
      <c r="DK633" s="238"/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38"/>
      <c r="DW633" s="238"/>
      <c r="DX633" s="238"/>
      <c r="DY633" s="238"/>
      <c r="DZ633" s="238"/>
      <c r="EA633" s="238"/>
      <c r="EB633" s="238"/>
      <c r="EC633" s="238"/>
      <c r="ED633" s="3"/>
      <c r="EE633" s="3"/>
      <c r="EF633" s="3"/>
      <c r="EG633" s="3"/>
      <c r="EH633" s="3"/>
    </row>
    <row r="634" spans="1:138" s="82" customFormat="1" x14ac:dyDescent="0.2">
      <c r="A634" s="3"/>
      <c r="B634" s="167"/>
      <c r="C634" s="3"/>
      <c r="D634" s="3"/>
      <c r="E634" s="31"/>
      <c r="F634" s="133"/>
      <c r="G634" s="3"/>
      <c r="H634" s="31"/>
      <c r="I634" s="31"/>
      <c r="J634" s="3"/>
      <c r="K634" s="3"/>
      <c r="L634" s="3"/>
      <c r="M634" s="3"/>
      <c r="N634" s="3"/>
      <c r="O634" s="3"/>
      <c r="P634" s="3"/>
      <c r="Q634" s="3"/>
      <c r="R634" s="32"/>
      <c r="S634" s="32"/>
      <c r="T634" s="3"/>
      <c r="U634" s="33"/>
      <c r="V634" s="33"/>
      <c r="W634" s="3"/>
      <c r="X634" s="3"/>
      <c r="Y634" s="3"/>
      <c r="Z634" s="3"/>
      <c r="AA634" s="3"/>
      <c r="AB634" s="3"/>
      <c r="AC634" s="3"/>
      <c r="AD634" s="32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4"/>
      <c r="AT634" s="3"/>
      <c r="AU634" s="3"/>
      <c r="AV634" s="3"/>
      <c r="AW634" s="3"/>
      <c r="AX634" s="4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84"/>
      <c r="BZ634" s="84"/>
      <c r="CA634" s="84"/>
      <c r="CB634" s="84"/>
      <c r="CC634" s="84"/>
      <c r="CD634" s="84"/>
      <c r="CE634" s="84"/>
      <c r="CF634" s="84"/>
      <c r="CG634" s="84"/>
      <c r="CH634" s="84"/>
      <c r="CI634" s="84"/>
      <c r="CJ634" s="84"/>
      <c r="CK634" s="84"/>
      <c r="CL634" s="84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220"/>
      <c r="CY634" s="220"/>
      <c r="CZ634" s="220"/>
      <c r="DA634" s="220"/>
      <c r="DB634" s="237"/>
      <c r="DC634" s="238"/>
      <c r="DD634" s="238"/>
      <c r="DE634" s="238"/>
      <c r="DF634" s="238"/>
      <c r="DG634" s="238"/>
      <c r="DH634" s="238"/>
      <c r="DI634" s="238"/>
      <c r="DJ634" s="238"/>
      <c r="DK634" s="238"/>
      <c r="DL634" s="238"/>
      <c r="DM634" s="238"/>
      <c r="DN634" s="238"/>
      <c r="DO634" s="238"/>
      <c r="DP634" s="238"/>
      <c r="DQ634" s="238"/>
      <c r="DR634" s="238"/>
      <c r="DS634" s="238"/>
      <c r="DT634" s="238"/>
      <c r="DU634" s="238"/>
      <c r="DV634" s="238"/>
      <c r="DW634" s="238"/>
      <c r="DX634" s="238"/>
      <c r="DY634" s="238"/>
      <c r="DZ634" s="238"/>
      <c r="EA634" s="238"/>
      <c r="EB634" s="238"/>
      <c r="EC634" s="238"/>
      <c r="ED634" s="3"/>
      <c r="EE634" s="3"/>
      <c r="EF634" s="3"/>
      <c r="EG634" s="3"/>
      <c r="EH634" s="3"/>
    </row>
    <row r="635" spans="1:138" s="82" customFormat="1" x14ac:dyDescent="0.2">
      <c r="A635" s="3"/>
      <c r="B635" s="167"/>
      <c r="C635" s="3"/>
      <c r="D635" s="3"/>
      <c r="E635" s="31"/>
      <c r="F635" s="133"/>
      <c r="G635" s="3"/>
      <c r="H635" s="31"/>
      <c r="I635" s="31"/>
      <c r="J635" s="3"/>
      <c r="K635" s="3"/>
      <c r="L635" s="3"/>
      <c r="M635" s="3"/>
      <c r="N635" s="3"/>
      <c r="O635" s="3"/>
      <c r="P635" s="3"/>
      <c r="Q635" s="3"/>
      <c r="R635" s="32"/>
      <c r="S635" s="32"/>
      <c r="T635" s="3"/>
      <c r="U635" s="33"/>
      <c r="V635" s="33"/>
      <c r="W635" s="3"/>
      <c r="X635" s="3"/>
      <c r="Y635" s="3"/>
      <c r="Z635" s="3"/>
      <c r="AA635" s="3"/>
      <c r="AB635" s="3"/>
      <c r="AC635" s="3"/>
      <c r="AD635" s="32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4"/>
      <c r="AT635" s="3"/>
      <c r="AU635" s="3"/>
      <c r="AV635" s="3"/>
      <c r="AW635" s="3"/>
      <c r="AX635" s="4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  <c r="CI635" s="84"/>
      <c r="CJ635" s="84"/>
      <c r="CK635" s="84"/>
      <c r="CL635" s="84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220"/>
      <c r="CY635" s="220"/>
      <c r="CZ635" s="220"/>
      <c r="DA635" s="220"/>
      <c r="DB635" s="237"/>
      <c r="DC635" s="238"/>
      <c r="DD635" s="238"/>
      <c r="DE635" s="238"/>
      <c r="DF635" s="238"/>
      <c r="DG635" s="238"/>
      <c r="DH635" s="238"/>
      <c r="DI635" s="238"/>
      <c r="DJ635" s="238"/>
      <c r="DK635" s="238"/>
      <c r="DL635" s="238"/>
      <c r="DM635" s="238"/>
      <c r="DN635" s="238"/>
      <c r="DO635" s="238"/>
      <c r="DP635" s="238"/>
      <c r="DQ635" s="238"/>
      <c r="DR635" s="238"/>
      <c r="DS635" s="238"/>
      <c r="DT635" s="238"/>
      <c r="DU635" s="238"/>
      <c r="DV635" s="238"/>
      <c r="DW635" s="238"/>
      <c r="DX635" s="238"/>
      <c r="DY635" s="238"/>
      <c r="DZ635" s="238"/>
      <c r="EA635" s="238"/>
      <c r="EB635" s="238"/>
      <c r="EC635" s="238"/>
      <c r="ED635" s="3"/>
      <c r="EE635" s="3"/>
      <c r="EF635" s="3"/>
      <c r="EG635" s="3"/>
      <c r="EH635" s="3"/>
    </row>
    <row r="636" spans="1:138" s="82" customFormat="1" x14ac:dyDescent="0.2">
      <c r="A636" s="3"/>
      <c r="B636" s="167"/>
      <c r="C636" s="3"/>
      <c r="D636" s="3"/>
      <c r="E636" s="31"/>
      <c r="F636" s="133"/>
      <c r="G636" s="3"/>
      <c r="H636" s="31"/>
      <c r="I636" s="31"/>
      <c r="J636" s="3"/>
      <c r="K636" s="3"/>
      <c r="L636" s="3"/>
      <c r="M636" s="3"/>
      <c r="N636" s="3"/>
      <c r="O636" s="3"/>
      <c r="P636" s="3"/>
      <c r="Q636" s="3"/>
      <c r="R636" s="32"/>
      <c r="S636" s="32"/>
      <c r="T636" s="3"/>
      <c r="U636" s="33"/>
      <c r="V636" s="33"/>
      <c r="W636" s="3"/>
      <c r="X636" s="3"/>
      <c r="Y636" s="3"/>
      <c r="Z636" s="3"/>
      <c r="AA636" s="3"/>
      <c r="AB636" s="3"/>
      <c r="AC636" s="3"/>
      <c r="AD636" s="32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4"/>
      <c r="AT636" s="3"/>
      <c r="AU636" s="3"/>
      <c r="AV636" s="3"/>
      <c r="AW636" s="3"/>
      <c r="AX636" s="4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220"/>
      <c r="CY636" s="220"/>
      <c r="CZ636" s="220"/>
      <c r="DA636" s="220"/>
      <c r="DB636" s="237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3"/>
      <c r="EE636" s="3"/>
      <c r="EF636" s="3"/>
      <c r="EG636" s="3"/>
      <c r="EH636" s="3"/>
    </row>
    <row r="637" spans="1:138" s="82" customFormat="1" x14ac:dyDescent="0.2">
      <c r="A637" s="3"/>
      <c r="B637" s="167"/>
      <c r="C637" s="3"/>
      <c r="D637" s="3"/>
      <c r="E637" s="31"/>
      <c r="F637" s="133"/>
      <c r="G637" s="3"/>
      <c r="H637" s="31"/>
      <c r="I637" s="31"/>
      <c r="J637" s="3"/>
      <c r="K637" s="3"/>
      <c r="L637" s="3"/>
      <c r="M637" s="3"/>
      <c r="N637" s="3"/>
      <c r="O637" s="3"/>
      <c r="P637" s="3"/>
      <c r="Q637" s="3"/>
      <c r="R637" s="32"/>
      <c r="S637" s="32"/>
      <c r="T637" s="3"/>
      <c r="U637" s="33"/>
      <c r="V637" s="33"/>
      <c r="W637" s="3"/>
      <c r="X637" s="3"/>
      <c r="Y637" s="3"/>
      <c r="Z637" s="3"/>
      <c r="AA637" s="3"/>
      <c r="AB637" s="3"/>
      <c r="AC637" s="3"/>
      <c r="AD637" s="32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4"/>
      <c r="AT637" s="3"/>
      <c r="AU637" s="3"/>
      <c r="AV637" s="3"/>
      <c r="AW637" s="3"/>
      <c r="AX637" s="4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220"/>
      <c r="CY637" s="220"/>
      <c r="CZ637" s="220"/>
      <c r="DA637" s="220"/>
      <c r="DB637" s="237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3"/>
      <c r="EE637" s="3"/>
      <c r="EF637" s="3"/>
      <c r="EG637" s="3"/>
      <c r="EH637" s="3"/>
    </row>
    <row r="638" spans="1:138" s="82" customFormat="1" x14ac:dyDescent="0.2">
      <c r="A638" s="3"/>
      <c r="B638" s="167"/>
      <c r="C638" s="3"/>
      <c r="D638" s="3"/>
      <c r="E638" s="31"/>
      <c r="F638" s="133"/>
      <c r="G638" s="3"/>
      <c r="H638" s="31"/>
      <c r="I638" s="31"/>
      <c r="J638" s="3"/>
      <c r="K638" s="3"/>
      <c r="L638" s="3"/>
      <c r="M638" s="3"/>
      <c r="N638" s="3"/>
      <c r="O638" s="3"/>
      <c r="P638" s="3"/>
      <c r="Q638" s="3"/>
      <c r="R638" s="32"/>
      <c r="S638" s="32"/>
      <c r="T638" s="3"/>
      <c r="U638" s="33"/>
      <c r="V638" s="33"/>
      <c r="W638" s="3"/>
      <c r="X638" s="3"/>
      <c r="Y638" s="3"/>
      <c r="Z638" s="3"/>
      <c r="AA638" s="3"/>
      <c r="AB638" s="3"/>
      <c r="AC638" s="3"/>
      <c r="AD638" s="32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4"/>
      <c r="AT638" s="3"/>
      <c r="AU638" s="3"/>
      <c r="AV638" s="3"/>
      <c r="AW638" s="3"/>
      <c r="AX638" s="4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84"/>
      <c r="BZ638" s="84"/>
      <c r="CA638" s="84"/>
      <c r="CB638" s="84"/>
      <c r="CC638" s="84"/>
      <c r="CD638" s="84"/>
      <c r="CE638" s="84"/>
      <c r="CF638" s="84"/>
      <c r="CG638" s="84"/>
      <c r="CH638" s="84"/>
      <c r="CI638" s="84"/>
      <c r="CJ638" s="84"/>
      <c r="CK638" s="84"/>
      <c r="CL638" s="84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220"/>
      <c r="CY638" s="220"/>
      <c r="CZ638" s="220"/>
      <c r="DA638" s="220"/>
      <c r="DB638" s="237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3"/>
      <c r="EE638" s="3"/>
      <c r="EF638" s="3"/>
      <c r="EG638" s="3"/>
      <c r="EH638" s="3"/>
    </row>
    <row r="639" spans="1:138" s="82" customFormat="1" x14ac:dyDescent="0.2">
      <c r="A639" s="3"/>
      <c r="B639" s="167"/>
      <c r="C639" s="3"/>
      <c r="D639" s="3"/>
      <c r="E639" s="31"/>
      <c r="F639" s="133"/>
      <c r="G639" s="3"/>
      <c r="H639" s="31"/>
      <c r="I639" s="31"/>
      <c r="J639" s="3"/>
      <c r="K639" s="3"/>
      <c r="L639" s="3"/>
      <c r="M639" s="3"/>
      <c r="N639" s="3"/>
      <c r="O639" s="3"/>
      <c r="P639" s="3"/>
      <c r="Q639" s="3"/>
      <c r="R639" s="32"/>
      <c r="S639" s="32"/>
      <c r="T639" s="3"/>
      <c r="U639" s="33"/>
      <c r="V639" s="33"/>
      <c r="W639" s="3"/>
      <c r="X639" s="3"/>
      <c r="Y639" s="3"/>
      <c r="Z639" s="3"/>
      <c r="AA639" s="3"/>
      <c r="AB639" s="3"/>
      <c r="AC639" s="3"/>
      <c r="AD639" s="32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4"/>
      <c r="AT639" s="3"/>
      <c r="AU639" s="3"/>
      <c r="AV639" s="3"/>
      <c r="AW639" s="3"/>
      <c r="AX639" s="4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220"/>
      <c r="CY639" s="220"/>
      <c r="CZ639" s="220"/>
      <c r="DA639" s="220"/>
      <c r="DB639" s="237"/>
      <c r="DC639" s="238"/>
      <c r="DD639" s="238"/>
      <c r="DE639" s="238"/>
      <c r="DF639" s="238"/>
      <c r="DG639" s="238"/>
      <c r="DH639" s="238"/>
      <c r="DI639" s="238"/>
      <c r="DJ639" s="238"/>
      <c r="DK639" s="238"/>
      <c r="DL639" s="238"/>
      <c r="DM639" s="238"/>
      <c r="DN639" s="238"/>
      <c r="DO639" s="238"/>
      <c r="DP639" s="238"/>
      <c r="DQ639" s="238"/>
      <c r="DR639" s="238"/>
      <c r="DS639" s="238"/>
      <c r="DT639" s="238"/>
      <c r="DU639" s="238"/>
      <c r="DV639" s="238"/>
      <c r="DW639" s="238"/>
      <c r="DX639" s="238"/>
      <c r="DY639" s="238"/>
      <c r="DZ639" s="238"/>
      <c r="EA639" s="238"/>
      <c r="EB639" s="238"/>
      <c r="EC639" s="238"/>
      <c r="ED639" s="3"/>
      <c r="EE639" s="3"/>
      <c r="EF639" s="3"/>
      <c r="EG639" s="3"/>
      <c r="EH639" s="3"/>
    </row>
    <row r="640" spans="1:138" s="82" customFormat="1" x14ac:dyDescent="0.2">
      <c r="A640" s="3"/>
      <c r="B640" s="167"/>
      <c r="C640" s="3"/>
      <c r="D640" s="3"/>
      <c r="E640" s="31"/>
      <c r="F640" s="133"/>
      <c r="G640" s="3"/>
      <c r="H640" s="31"/>
      <c r="I640" s="31"/>
      <c r="J640" s="3"/>
      <c r="K640" s="3"/>
      <c r="L640" s="3"/>
      <c r="M640" s="3"/>
      <c r="N640" s="3"/>
      <c r="O640" s="3"/>
      <c r="P640" s="3"/>
      <c r="Q640" s="3"/>
      <c r="R640" s="32"/>
      <c r="S640" s="32"/>
      <c r="T640" s="3"/>
      <c r="U640" s="33"/>
      <c r="V640" s="33"/>
      <c r="W640" s="3"/>
      <c r="X640" s="3"/>
      <c r="Y640" s="3"/>
      <c r="Z640" s="3"/>
      <c r="AA640" s="3"/>
      <c r="AB640" s="3"/>
      <c r="AC640" s="3"/>
      <c r="AD640" s="32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4"/>
      <c r="AT640" s="3"/>
      <c r="AU640" s="3"/>
      <c r="AV640" s="3"/>
      <c r="AW640" s="3"/>
      <c r="AX640" s="4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220"/>
      <c r="CY640" s="220"/>
      <c r="CZ640" s="220"/>
      <c r="DA640" s="220"/>
      <c r="DB640" s="237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38"/>
      <c r="DW640" s="238"/>
      <c r="DX640" s="238"/>
      <c r="DY640" s="238"/>
      <c r="DZ640" s="238"/>
      <c r="EA640" s="238"/>
      <c r="EB640" s="238"/>
      <c r="EC640" s="238"/>
      <c r="ED640" s="3"/>
      <c r="EE640" s="3"/>
      <c r="EF640" s="3"/>
      <c r="EG640" s="3"/>
      <c r="EH640" s="3"/>
    </row>
    <row r="641" spans="1:138" s="82" customFormat="1" x14ac:dyDescent="0.2">
      <c r="A641" s="3"/>
      <c r="B641" s="167"/>
      <c r="C641" s="3"/>
      <c r="D641" s="3"/>
      <c r="E641" s="31"/>
      <c r="F641" s="133"/>
      <c r="G641" s="3"/>
      <c r="H641" s="31"/>
      <c r="I641" s="31"/>
      <c r="J641" s="3"/>
      <c r="K641" s="3"/>
      <c r="L641" s="3"/>
      <c r="M641" s="3"/>
      <c r="N641" s="3"/>
      <c r="O641" s="3"/>
      <c r="P641" s="3"/>
      <c r="Q641" s="3"/>
      <c r="R641" s="32"/>
      <c r="S641" s="32"/>
      <c r="T641" s="3"/>
      <c r="U641" s="33"/>
      <c r="V641" s="33"/>
      <c r="W641" s="3"/>
      <c r="X641" s="3"/>
      <c r="Y641" s="3"/>
      <c r="Z641" s="3"/>
      <c r="AA641" s="3"/>
      <c r="AB641" s="3"/>
      <c r="AC641" s="3"/>
      <c r="AD641" s="32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4"/>
      <c r="AT641" s="3"/>
      <c r="AU641" s="3"/>
      <c r="AV641" s="3"/>
      <c r="AW641" s="3"/>
      <c r="AX641" s="4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84"/>
      <c r="BZ641" s="84"/>
      <c r="CA641" s="84"/>
      <c r="CB641" s="84"/>
      <c r="CC641" s="84"/>
      <c r="CD641" s="84"/>
      <c r="CE641" s="84"/>
      <c r="CF641" s="84"/>
      <c r="CG641" s="84"/>
      <c r="CH641" s="84"/>
      <c r="CI641" s="84"/>
      <c r="CJ641" s="84"/>
      <c r="CK641" s="84"/>
      <c r="CL641" s="84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220"/>
      <c r="CY641" s="220"/>
      <c r="CZ641" s="220"/>
      <c r="DA641" s="220"/>
      <c r="DB641" s="237"/>
      <c r="DC641" s="238"/>
      <c r="DD641" s="238"/>
      <c r="DE641" s="238"/>
      <c r="DF641" s="238"/>
      <c r="DG641" s="238"/>
      <c r="DH641" s="238"/>
      <c r="DI641" s="238"/>
      <c r="DJ641" s="238"/>
      <c r="DK641" s="238"/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38"/>
      <c r="DW641" s="238"/>
      <c r="DX641" s="238"/>
      <c r="DY641" s="238"/>
      <c r="DZ641" s="238"/>
      <c r="EA641" s="238"/>
      <c r="EB641" s="238"/>
      <c r="EC641" s="238"/>
      <c r="ED641" s="3"/>
      <c r="EE641" s="3"/>
      <c r="EF641" s="3"/>
      <c r="EG641" s="3"/>
      <c r="EH641" s="3"/>
    </row>
    <row r="642" spans="1:138" s="82" customFormat="1" x14ac:dyDescent="0.2">
      <c r="A642" s="3"/>
      <c r="B642" s="167"/>
      <c r="C642" s="3"/>
      <c r="D642" s="3"/>
      <c r="E642" s="31"/>
      <c r="F642" s="133"/>
      <c r="G642" s="3"/>
      <c r="H642" s="31"/>
      <c r="I642" s="31"/>
      <c r="J642" s="3"/>
      <c r="K642" s="3"/>
      <c r="L642" s="3"/>
      <c r="M642" s="3"/>
      <c r="N642" s="3"/>
      <c r="O642" s="3"/>
      <c r="P642" s="3"/>
      <c r="Q642" s="3"/>
      <c r="R642" s="32"/>
      <c r="S642" s="32"/>
      <c r="T642" s="3"/>
      <c r="U642" s="33"/>
      <c r="V642" s="33"/>
      <c r="W642" s="3"/>
      <c r="X642" s="3"/>
      <c r="Y642" s="3"/>
      <c r="Z642" s="3"/>
      <c r="AA642" s="3"/>
      <c r="AB642" s="3"/>
      <c r="AC642" s="3"/>
      <c r="AD642" s="32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4"/>
      <c r="AT642" s="3"/>
      <c r="AU642" s="3"/>
      <c r="AV642" s="3"/>
      <c r="AW642" s="3"/>
      <c r="AX642" s="4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84"/>
      <c r="BZ642" s="84"/>
      <c r="CA642" s="84"/>
      <c r="CB642" s="84"/>
      <c r="CC642" s="84"/>
      <c r="CD642" s="84"/>
      <c r="CE642" s="84"/>
      <c r="CF642" s="84"/>
      <c r="CG642" s="84"/>
      <c r="CH642" s="84"/>
      <c r="CI642" s="84"/>
      <c r="CJ642" s="84"/>
      <c r="CK642" s="84"/>
      <c r="CL642" s="84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220"/>
      <c r="CY642" s="220"/>
      <c r="CZ642" s="220"/>
      <c r="DA642" s="220"/>
      <c r="DB642" s="237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238"/>
      <c r="EC642" s="238"/>
      <c r="ED642" s="3"/>
      <c r="EE642" s="3"/>
      <c r="EF642" s="3"/>
      <c r="EG642" s="3"/>
      <c r="EH642" s="3"/>
    </row>
    <row r="643" spans="1:138" s="82" customFormat="1" x14ac:dyDescent="0.2">
      <c r="A643" s="3"/>
      <c r="B643" s="167"/>
      <c r="C643" s="3"/>
      <c r="D643" s="3"/>
      <c r="E643" s="31"/>
      <c r="F643" s="133"/>
      <c r="G643" s="3"/>
      <c r="H643" s="31"/>
      <c r="I643" s="31"/>
      <c r="J643" s="3"/>
      <c r="K643" s="3"/>
      <c r="L643" s="3"/>
      <c r="M643" s="3"/>
      <c r="N643" s="3"/>
      <c r="O643" s="3"/>
      <c r="P643" s="3"/>
      <c r="Q643" s="3"/>
      <c r="R643" s="32"/>
      <c r="S643" s="32"/>
      <c r="T643" s="3"/>
      <c r="U643" s="33"/>
      <c r="V643" s="33"/>
      <c r="W643" s="3"/>
      <c r="X643" s="3"/>
      <c r="Y643" s="3"/>
      <c r="Z643" s="3"/>
      <c r="AA643" s="3"/>
      <c r="AB643" s="3"/>
      <c r="AC643" s="3"/>
      <c r="AD643" s="32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4"/>
      <c r="AT643" s="3"/>
      <c r="AU643" s="3"/>
      <c r="AV643" s="3"/>
      <c r="AW643" s="3"/>
      <c r="AX643" s="4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84"/>
      <c r="BZ643" s="84"/>
      <c r="CA643" s="84"/>
      <c r="CB643" s="84"/>
      <c r="CC643" s="84"/>
      <c r="CD643" s="84"/>
      <c r="CE643" s="84"/>
      <c r="CF643" s="84"/>
      <c r="CG643" s="84"/>
      <c r="CH643" s="84"/>
      <c r="CI643" s="84"/>
      <c r="CJ643" s="84"/>
      <c r="CK643" s="84"/>
      <c r="CL643" s="84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220"/>
      <c r="CY643" s="220"/>
      <c r="CZ643" s="220"/>
      <c r="DA643" s="220"/>
      <c r="DB643" s="237"/>
      <c r="DC643" s="238"/>
      <c r="DD643" s="238"/>
      <c r="DE643" s="238"/>
      <c r="DF643" s="238"/>
      <c r="DG643" s="238"/>
      <c r="DH643" s="238"/>
      <c r="DI643" s="238"/>
      <c r="DJ643" s="238"/>
      <c r="DK643" s="238"/>
      <c r="DL643" s="238"/>
      <c r="DM643" s="238"/>
      <c r="DN643" s="238"/>
      <c r="DO643" s="238"/>
      <c r="DP643" s="238"/>
      <c r="DQ643" s="238"/>
      <c r="DR643" s="238"/>
      <c r="DS643" s="238"/>
      <c r="DT643" s="238"/>
      <c r="DU643" s="238"/>
      <c r="DV643" s="238"/>
      <c r="DW643" s="238"/>
      <c r="DX643" s="238"/>
      <c r="DY643" s="238"/>
      <c r="DZ643" s="238"/>
      <c r="EA643" s="238"/>
      <c r="EB643" s="238"/>
      <c r="EC643" s="238"/>
      <c r="ED643" s="3"/>
      <c r="EE643" s="3"/>
      <c r="EF643" s="3"/>
      <c r="EG643" s="3"/>
      <c r="EH643" s="3"/>
    </row>
    <row r="644" spans="1:138" s="82" customFormat="1" x14ac:dyDescent="0.2">
      <c r="A644" s="3"/>
      <c r="B644" s="167"/>
      <c r="C644" s="3"/>
      <c r="D644" s="3"/>
      <c r="E644" s="31"/>
      <c r="F644" s="133"/>
      <c r="G644" s="3"/>
      <c r="H644" s="31"/>
      <c r="I644" s="31"/>
      <c r="J644" s="3"/>
      <c r="K644" s="3"/>
      <c r="L644" s="3"/>
      <c r="M644" s="3"/>
      <c r="N644" s="3"/>
      <c r="O644" s="3"/>
      <c r="P644" s="3"/>
      <c r="Q644" s="3"/>
      <c r="R644" s="32"/>
      <c r="S644" s="32"/>
      <c r="T644" s="3"/>
      <c r="U644" s="33"/>
      <c r="V644" s="33"/>
      <c r="W644" s="3"/>
      <c r="X644" s="3"/>
      <c r="Y644" s="3"/>
      <c r="Z644" s="3"/>
      <c r="AA644" s="3"/>
      <c r="AB644" s="3"/>
      <c r="AC644" s="3"/>
      <c r="AD644" s="32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4"/>
      <c r="AT644" s="3"/>
      <c r="AU644" s="3"/>
      <c r="AV644" s="3"/>
      <c r="AW644" s="3"/>
      <c r="AX644" s="4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84"/>
      <c r="BZ644" s="84"/>
      <c r="CA644" s="84"/>
      <c r="CB644" s="84"/>
      <c r="CC644" s="84"/>
      <c r="CD644" s="84"/>
      <c r="CE644" s="84"/>
      <c r="CF644" s="84"/>
      <c r="CG644" s="84"/>
      <c r="CH644" s="84"/>
      <c r="CI644" s="84"/>
      <c r="CJ644" s="84"/>
      <c r="CK644" s="84"/>
      <c r="CL644" s="84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220"/>
      <c r="CY644" s="220"/>
      <c r="CZ644" s="220"/>
      <c r="DA644" s="220"/>
      <c r="DB644" s="237"/>
      <c r="DC644" s="238"/>
      <c r="DD644" s="238"/>
      <c r="DE644" s="238"/>
      <c r="DF644" s="238"/>
      <c r="DG644" s="238"/>
      <c r="DH644" s="238"/>
      <c r="DI644" s="238"/>
      <c r="DJ644" s="238"/>
      <c r="DK644" s="238"/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38"/>
      <c r="DW644" s="238"/>
      <c r="DX644" s="238"/>
      <c r="DY644" s="238"/>
      <c r="DZ644" s="238"/>
      <c r="EA644" s="238"/>
      <c r="EB644" s="238"/>
      <c r="EC644" s="238"/>
      <c r="ED644" s="3"/>
      <c r="EE644" s="3"/>
      <c r="EF644" s="3"/>
      <c r="EG644" s="3"/>
      <c r="EH644" s="3"/>
    </row>
    <row r="645" spans="1:138" s="82" customFormat="1" x14ac:dyDescent="0.2">
      <c r="A645" s="3"/>
      <c r="B645" s="167"/>
      <c r="C645" s="3"/>
      <c r="D645" s="3"/>
      <c r="E645" s="31"/>
      <c r="F645" s="133"/>
      <c r="G645" s="3"/>
      <c r="H645" s="31"/>
      <c r="I645" s="31"/>
      <c r="J645" s="3"/>
      <c r="K645" s="3"/>
      <c r="L645" s="3"/>
      <c r="M645" s="3"/>
      <c r="N645" s="3"/>
      <c r="O645" s="3"/>
      <c r="P645" s="3"/>
      <c r="Q645" s="3"/>
      <c r="R645" s="32"/>
      <c r="S645" s="32"/>
      <c r="T645" s="3"/>
      <c r="U645" s="33"/>
      <c r="V645" s="33"/>
      <c r="W645" s="3"/>
      <c r="X645" s="3"/>
      <c r="Y645" s="3"/>
      <c r="Z645" s="3"/>
      <c r="AA645" s="3"/>
      <c r="AB645" s="3"/>
      <c r="AC645" s="3"/>
      <c r="AD645" s="32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4"/>
      <c r="AT645" s="3"/>
      <c r="AU645" s="3"/>
      <c r="AV645" s="3"/>
      <c r="AW645" s="3"/>
      <c r="AX645" s="4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220"/>
      <c r="CY645" s="220"/>
      <c r="CZ645" s="220"/>
      <c r="DA645" s="220"/>
      <c r="DB645" s="237"/>
      <c r="DC645" s="238"/>
      <c r="DD645" s="238"/>
      <c r="DE645" s="238"/>
      <c r="DF645" s="238"/>
      <c r="DG645" s="238"/>
      <c r="DH645" s="238"/>
      <c r="DI645" s="238"/>
      <c r="DJ645" s="238"/>
      <c r="DK645" s="238"/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38"/>
      <c r="DW645" s="238"/>
      <c r="DX645" s="238"/>
      <c r="DY645" s="238"/>
      <c r="DZ645" s="238"/>
      <c r="EA645" s="238"/>
      <c r="EB645" s="238"/>
      <c r="EC645" s="238"/>
      <c r="ED645" s="3"/>
      <c r="EE645" s="3"/>
      <c r="EF645" s="3"/>
      <c r="EG645" s="3"/>
      <c r="EH645" s="3"/>
    </row>
    <row r="646" spans="1:138" s="82" customFormat="1" x14ac:dyDescent="0.2">
      <c r="A646" s="3"/>
      <c r="B646" s="167"/>
      <c r="C646" s="3"/>
      <c r="D646" s="3"/>
      <c r="E646" s="31"/>
      <c r="F646" s="133"/>
      <c r="G646" s="3"/>
      <c r="H646" s="31"/>
      <c r="I646" s="31"/>
      <c r="J646" s="3"/>
      <c r="K646" s="3"/>
      <c r="L646" s="3"/>
      <c r="M646" s="3"/>
      <c r="N646" s="3"/>
      <c r="O646" s="3"/>
      <c r="P646" s="3"/>
      <c r="Q646" s="3"/>
      <c r="R646" s="32"/>
      <c r="S646" s="32"/>
      <c r="T646" s="3"/>
      <c r="U646" s="33"/>
      <c r="V646" s="33"/>
      <c r="W646" s="3"/>
      <c r="X646" s="3"/>
      <c r="Y646" s="3"/>
      <c r="Z646" s="3"/>
      <c r="AA646" s="3"/>
      <c r="AB646" s="3"/>
      <c r="AC646" s="3"/>
      <c r="AD646" s="32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4"/>
      <c r="AT646" s="3"/>
      <c r="AU646" s="3"/>
      <c r="AV646" s="3"/>
      <c r="AW646" s="3"/>
      <c r="AX646" s="4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220"/>
      <c r="CY646" s="220"/>
      <c r="CZ646" s="220"/>
      <c r="DA646" s="220"/>
      <c r="DB646" s="237"/>
      <c r="DC646" s="238"/>
      <c r="DD646" s="238"/>
      <c r="DE646" s="238"/>
      <c r="DF646" s="238"/>
      <c r="DG646" s="238"/>
      <c r="DH646" s="238"/>
      <c r="DI646" s="238"/>
      <c r="DJ646" s="238"/>
      <c r="DK646" s="238"/>
      <c r="DL646" s="238"/>
      <c r="DM646" s="238"/>
      <c r="DN646" s="238"/>
      <c r="DO646" s="238"/>
      <c r="DP646" s="238"/>
      <c r="DQ646" s="238"/>
      <c r="DR646" s="238"/>
      <c r="DS646" s="238"/>
      <c r="DT646" s="238"/>
      <c r="DU646" s="238"/>
      <c r="DV646" s="238"/>
      <c r="DW646" s="238"/>
      <c r="DX646" s="238"/>
      <c r="DY646" s="238"/>
      <c r="DZ646" s="238"/>
      <c r="EA646" s="238"/>
      <c r="EB646" s="238"/>
      <c r="EC646" s="238"/>
      <c r="ED646" s="3"/>
      <c r="EE646" s="3"/>
      <c r="EF646" s="3"/>
      <c r="EG646" s="3"/>
      <c r="EH646" s="3"/>
    </row>
    <row r="647" spans="1:138" s="82" customFormat="1" x14ac:dyDescent="0.2">
      <c r="A647" s="3"/>
      <c r="B647" s="167"/>
      <c r="C647" s="3"/>
      <c r="D647" s="3"/>
      <c r="E647" s="31"/>
      <c r="F647" s="133"/>
      <c r="G647" s="3"/>
      <c r="H647" s="31"/>
      <c r="I647" s="31"/>
      <c r="J647" s="3"/>
      <c r="K647" s="3"/>
      <c r="L647" s="3"/>
      <c r="M647" s="3"/>
      <c r="N647" s="3"/>
      <c r="O647" s="3"/>
      <c r="P647" s="3"/>
      <c r="Q647" s="3"/>
      <c r="R647" s="32"/>
      <c r="S647" s="32"/>
      <c r="T647" s="3"/>
      <c r="U647" s="33"/>
      <c r="V647" s="33"/>
      <c r="W647" s="3"/>
      <c r="X647" s="3"/>
      <c r="Y647" s="3"/>
      <c r="Z647" s="3"/>
      <c r="AA647" s="3"/>
      <c r="AB647" s="3"/>
      <c r="AC647" s="3"/>
      <c r="AD647" s="32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4"/>
      <c r="AT647" s="3"/>
      <c r="AU647" s="3"/>
      <c r="AV647" s="3"/>
      <c r="AW647" s="3"/>
      <c r="AX647" s="4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220"/>
      <c r="CY647" s="220"/>
      <c r="CZ647" s="220"/>
      <c r="DA647" s="220"/>
      <c r="DB647" s="237"/>
      <c r="DC647" s="238"/>
      <c r="DD647" s="238"/>
      <c r="DE647" s="238"/>
      <c r="DF647" s="238"/>
      <c r="DG647" s="238"/>
      <c r="DH647" s="238"/>
      <c r="DI647" s="238"/>
      <c r="DJ647" s="238"/>
      <c r="DK647" s="238"/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38"/>
      <c r="DW647" s="238"/>
      <c r="DX647" s="238"/>
      <c r="DY647" s="238"/>
      <c r="DZ647" s="238"/>
      <c r="EA647" s="238"/>
      <c r="EB647" s="238"/>
      <c r="EC647" s="238"/>
      <c r="ED647" s="3"/>
      <c r="EE647" s="3"/>
      <c r="EF647" s="3"/>
      <c r="EG647" s="3"/>
      <c r="EH647" s="3"/>
    </row>
    <row r="648" spans="1:138" s="82" customFormat="1" x14ac:dyDescent="0.2">
      <c r="A648" s="3"/>
      <c r="B648" s="167"/>
      <c r="C648" s="3"/>
      <c r="D648" s="3"/>
      <c r="E648" s="31"/>
      <c r="F648" s="133"/>
      <c r="G648" s="3"/>
      <c r="H648" s="31"/>
      <c r="I648" s="31"/>
      <c r="J648" s="3"/>
      <c r="K648" s="3"/>
      <c r="L648" s="3"/>
      <c r="M648" s="3"/>
      <c r="N648" s="3"/>
      <c r="O648" s="3"/>
      <c r="P648" s="3"/>
      <c r="Q648" s="3"/>
      <c r="R648" s="32"/>
      <c r="S648" s="32"/>
      <c r="T648" s="3"/>
      <c r="U648" s="33"/>
      <c r="V648" s="33"/>
      <c r="W648" s="3"/>
      <c r="X648" s="3"/>
      <c r="Y648" s="3"/>
      <c r="Z648" s="3"/>
      <c r="AA648" s="3"/>
      <c r="AB648" s="3"/>
      <c r="AC648" s="3"/>
      <c r="AD648" s="32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4"/>
      <c r="AT648" s="3"/>
      <c r="AU648" s="3"/>
      <c r="AV648" s="3"/>
      <c r="AW648" s="3"/>
      <c r="AX648" s="4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220"/>
      <c r="CY648" s="220"/>
      <c r="CZ648" s="220"/>
      <c r="DA648" s="220"/>
      <c r="DB648" s="237"/>
      <c r="DC648" s="238"/>
      <c r="DD648" s="238"/>
      <c r="DE648" s="238"/>
      <c r="DF648" s="238"/>
      <c r="DG648" s="238"/>
      <c r="DH648" s="238"/>
      <c r="DI648" s="238"/>
      <c r="DJ648" s="238"/>
      <c r="DK648" s="238"/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38"/>
      <c r="DW648" s="238"/>
      <c r="DX648" s="238"/>
      <c r="DY648" s="238"/>
      <c r="DZ648" s="238"/>
      <c r="EA648" s="238"/>
      <c r="EB648" s="238"/>
      <c r="EC648" s="238"/>
      <c r="ED648" s="3"/>
      <c r="EE648" s="3"/>
      <c r="EF648" s="3"/>
      <c r="EG648" s="3"/>
      <c r="EH648" s="3"/>
    </row>
    <row r="649" spans="1:138" s="82" customFormat="1" x14ac:dyDescent="0.2">
      <c r="A649" s="3"/>
      <c r="B649" s="167"/>
      <c r="C649" s="3"/>
      <c r="D649" s="3"/>
      <c r="E649" s="31"/>
      <c r="F649" s="133"/>
      <c r="G649" s="3"/>
      <c r="H649" s="31"/>
      <c r="I649" s="31"/>
      <c r="J649" s="3"/>
      <c r="K649" s="3"/>
      <c r="L649" s="3"/>
      <c r="M649" s="3"/>
      <c r="N649" s="3"/>
      <c r="O649" s="3"/>
      <c r="P649" s="3"/>
      <c r="Q649" s="3"/>
      <c r="R649" s="32"/>
      <c r="S649" s="32"/>
      <c r="T649" s="3"/>
      <c r="U649" s="33"/>
      <c r="V649" s="33"/>
      <c r="W649" s="3"/>
      <c r="X649" s="3"/>
      <c r="Y649" s="3"/>
      <c r="Z649" s="3"/>
      <c r="AA649" s="3"/>
      <c r="AB649" s="3"/>
      <c r="AC649" s="3"/>
      <c r="AD649" s="32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4"/>
      <c r="AT649" s="3"/>
      <c r="AU649" s="3"/>
      <c r="AV649" s="3"/>
      <c r="AW649" s="3"/>
      <c r="AX649" s="4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220"/>
      <c r="CY649" s="220"/>
      <c r="CZ649" s="220"/>
      <c r="DA649" s="220"/>
      <c r="DB649" s="237"/>
      <c r="DC649" s="238"/>
      <c r="DD649" s="238"/>
      <c r="DE649" s="238"/>
      <c r="DF649" s="238"/>
      <c r="DG649" s="238"/>
      <c r="DH649" s="238"/>
      <c r="DI649" s="238"/>
      <c r="DJ649" s="238"/>
      <c r="DK649" s="238"/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38"/>
      <c r="DW649" s="238"/>
      <c r="DX649" s="238"/>
      <c r="DY649" s="238"/>
      <c r="DZ649" s="238"/>
      <c r="EA649" s="238"/>
      <c r="EB649" s="238"/>
      <c r="EC649" s="238"/>
      <c r="ED649" s="3"/>
      <c r="EE649" s="3"/>
      <c r="EF649" s="3"/>
      <c r="EG649" s="3"/>
      <c r="EH649" s="3"/>
    </row>
    <row r="650" spans="1:138" s="82" customFormat="1" x14ac:dyDescent="0.2">
      <c r="A650" s="3"/>
      <c r="B650" s="167"/>
      <c r="C650" s="3"/>
      <c r="D650" s="3"/>
      <c r="E650" s="31"/>
      <c r="F650" s="133"/>
      <c r="G650" s="3"/>
      <c r="H650" s="31"/>
      <c r="I650" s="31"/>
      <c r="J650" s="3"/>
      <c r="K650" s="3"/>
      <c r="L650" s="3"/>
      <c r="M650" s="3"/>
      <c r="N650" s="3"/>
      <c r="O650" s="3"/>
      <c r="P650" s="3"/>
      <c r="Q650" s="3"/>
      <c r="R650" s="32"/>
      <c r="S650" s="32"/>
      <c r="T650" s="3"/>
      <c r="U650" s="33"/>
      <c r="V650" s="33"/>
      <c r="W650" s="3"/>
      <c r="X650" s="3"/>
      <c r="Y650" s="3"/>
      <c r="Z650" s="3"/>
      <c r="AA650" s="3"/>
      <c r="AB650" s="3"/>
      <c r="AC650" s="3"/>
      <c r="AD650" s="32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4"/>
      <c r="AT650" s="3"/>
      <c r="AU650" s="3"/>
      <c r="AV650" s="3"/>
      <c r="AW650" s="3"/>
      <c r="AX650" s="4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220"/>
      <c r="CY650" s="220"/>
      <c r="CZ650" s="220"/>
      <c r="DA650" s="220"/>
      <c r="DB650" s="237"/>
      <c r="DC650" s="238"/>
      <c r="DD650" s="238"/>
      <c r="DE650" s="238"/>
      <c r="DF650" s="238"/>
      <c r="DG650" s="238"/>
      <c r="DH650" s="238"/>
      <c r="DI650" s="238"/>
      <c r="DJ650" s="238"/>
      <c r="DK650" s="238"/>
      <c r="DL650" s="238"/>
      <c r="DM650" s="238"/>
      <c r="DN650" s="238"/>
      <c r="DO650" s="238"/>
      <c r="DP650" s="238"/>
      <c r="DQ650" s="238"/>
      <c r="DR650" s="238"/>
      <c r="DS650" s="238"/>
      <c r="DT650" s="238"/>
      <c r="DU650" s="238"/>
      <c r="DV650" s="238"/>
      <c r="DW650" s="238"/>
      <c r="DX650" s="238"/>
      <c r="DY650" s="238"/>
      <c r="DZ650" s="238"/>
      <c r="EA650" s="238"/>
      <c r="EB650" s="238"/>
      <c r="EC650" s="238"/>
      <c r="ED650" s="3"/>
      <c r="EE650" s="3"/>
      <c r="EF650" s="3"/>
      <c r="EG650" s="3"/>
      <c r="EH650" s="3"/>
    </row>
    <row r="651" spans="1:138" s="82" customFormat="1" x14ac:dyDescent="0.2">
      <c r="A651" s="3"/>
      <c r="B651" s="167"/>
      <c r="C651" s="3"/>
      <c r="D651" s="3"/>
      <c r="E651" s="31"/>
      <c r="F651" s="133"/>
      <c r="G651" s="3"/>
      <c r="H651" s="31"/>
      <c r="I651" s="31"/>
      <c r="J651" s="3"/>
      <c r="K651" s="3"/>
      <c r="L651" s="3"/>
      <c r="M651" s="3"/>
      <c r="N651" s="3"/>
      <c r="O651" s="3"/>
      <c r="P651" s="3"/>
      <c r="Q651" s="3"/>
      <c r="R651" s="32"/>
      <c r="S651" s="32"/>
      <c r="T651" s="3"/>
      <c r="U651" s="33"/>
      <c r="V651" s="33"/>
      <c r="W651" s="3"/>
      <c r="X651" s="3"/>
      <c r="Y651" s="3"/>
      <c r="Z651" s="3"/>
      <c r="AA651" s="3"/>
      <c r="AB651" s="3"/>
      <c r="AC651" s="3"/>
      <c r="AD651" s="32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4"/>
      <c r="AT651" s="3"/>
      <c r="AU651" s="3"/>
      <c r="AV651" s="3"/>
      <c r="AW651" s="3"/>
      <c r="AX651" s="4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84"/>
      <c r="BZ651" s="84"/>
      <c r="CA651" s="84"/>
      <c r="CB651" s="84"/>
      <c r="CC651" s="84"/>
      <c r="CD651" s="84"/>
      <c r="CE651" s="84"/>
      <c r="CF651" s="84"/>
      <c r="CG651" s="84"/>
      <c r="CH651" s="84"/>
      <c r="CI651" s="84"/>
      <c r="CJ651" s="84"/>
      <c r="CK651" s="84"/>
      <c r="CL651" s="84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220"/>
      <c r="CY651" s="220"/>
      <c r="CZ651" s="220"/>
      <c r="DA651" s="220"/>
      <c r="DB651" s="237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3"/>
      <c r="EE651" s="3"/>
      <c r="EF651" s="3"/>
      <c r="EG651" s="3"/>
      <c r="EH651" s="3"/>
    </row>
    <row r="652" spans="1:138" s="82" customFormat="1" x14ac:dyDescent="0.2">
      <c r="A652" s="3"/>
      <c r="B652" s="167"/>
      <c r="C652" s="3"/>
      <c r="D652" s="3"/>
      <c r="E652" s="31"/>
      <c r="F652" s="133"/>
      <c r="G652" s="3"/>
      <c r="H652" s="31"/>
      <c r="I652" s="31"/>
      <c r="J652" s="3"/>
      <c r="K652" s="3"/>
      <c r="L652" s="3"/>
      <c r="M652" s="3"/>
      <c r="N652" s="3"/>
      <c r="O652" s="3"/>
      <c r="P652" s="3"/>
      <c r="Q652" s="3"/>
      <c r="R652" s="32"/>
      <c r="S652" s="32"/>
      <c r="T652" s="3"/>
      <c r="U652" s="33"/>
      <c r="V652" s="33"/>
      <c r="W652" s="3"/>
      <c r="X652" s="3"/>
      <c r="Y652" s="3"/>
      <c r="Z652" s="3"/>
      <c r="AA652" s="3"/>
      <c r="AB652" s="3"/>
      <c r="AC652" s="3"/>
      <c r="AD652" s="32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4"/>
      <c r="AT652" s="3"/>
      <c r="AU652" s="3"/>
      <c r="AV652" s="3"/>
      <c r="AW652" s="3"/>
      <c r="AX652" s="4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220"/>
      <c r="CY652" s="220"/>
      <c r="CZ652" s="220"/>
      <c r="DA652" s="220"/>
      <c r="DB652" s="237"/>
      <c r="DC652" s="238"/>
      <c r="DD652" s="238"/>
      <c r="DE652" s="238"/>
      <c r="DF652" s="238"/>
      <c r="DG652" s="238"/>
      <c r="DH652" s="238"/>
      <c r="DI652" s="238"/>
      <c r="DJ652" s="238"/>
      <c r="DK652" s="238"/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38"/>
      <c r="DW652" s="238"/>
      <c r="DX652" s="238"/>
      <c r="DY652" s="238"/>
      <c r="DZ652" s="238"/>
      <c r="EA652" s="238"/>
      <c r="EB652" s="238"/>
      <c r="EC652" s="238"/>
      <c r="ED652" s="3"/>
      <c r="EE652" s="3"/>
      <c r="EF652" s="3"/>
      <c r="EG652" s="3"/>
      <c r="EH652" s="3"/>
    </row>
    <row r="653" spans="1:138" s="82" customFormat="1" x14ac:dyDescent="0.2">
      <c r="A653" s="3"/>
      <c r="B653" s="167"/>
      <c r="C653" s="3"/>
      <c r="D653" s="3"/>
      <c r="E653" s="31"/>
      <c r="F653" s="133"/>
      <c r="G653" s="3"/>
      <c r="H653" s="31"/>
      <c r="I653" s="31"/>
      <c r="J653" s="3"/>
      <c r="K653" s="3"/>
      <c r="L653" s="3"/>
      <c r="M653" s="3"/>
      <c r="N653" s="3"/>
      <c r="O653" s="3"/>
      <c r="P653" s="3"/>
      <c r="Q653" s="3"/>
      <c r="R653" s="32"/>
      <c r="S653" s="32"/>
      <c r="T653" s="3"/>
      <c r="U653" s="33"/>
      <c r="V653" s="33"/>
      <c r="W653" s="3"/>
      <c r="X653" s="3"/>
      <c r="Y653" s="3"/>
      <c r="Z653" s="3"/>
      <c r="AA653" s="3"/>
      <c r="AB653" s="3"/>
      <c r="AC653" s="3"/>
      <c r="AD653" s="32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4"/>
      <c r="AT653" s="3"/>
      <c r="AU653" s="3"/>
      <c r="AV653" s="3"/>
      <c r="AW653" s="3"/>
      <c r="AX653" s="4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220"/>
      <c r="CY653" s="220"/>
      <c r="CZ653" s="220"/>
      <c r="DA653" s="220"/>
      <c r="DB653" s="237"/>
      <c r="DC653" s="238"/>
      <c r="DD653" s="238"/>
      <c r="DE653" s="238"/>
      <c r="DF653" s="238"/>
      <c r="DG653" s="238"/>
      <c r="DH653" s="238"/>
      <c r="DI653" s="238"/>
      <c r="DJ653" s="238"/>
      <c r="DK653" s="238"/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38"/>
      <c r="DW653" s="238"/>
      <c r="DX653" s="238"/>
      <c r="DY653" s="238"/>
      <c r="DZ653" s="238"/>
      <c r="EA653" s="238"/>
      <c r="EB653" s="238"/>
      <c r="EC653" s="238"/>
      <c r="ED653" s="3"/>
      <c r="EE653" s="3"/>
      <c r="EF653" s="3"/>
      <c r="EG653" s="3"/>
      <c r="EH653" s="3"/>
    </row>
    <row r="654" spans="1:138" s="82" customFormat="1" x14ac:dyDescent="0.2">
      <c r="A654" s="3"/>
      <c r="B654" s="167"/>
      <c r="C654" s="3"/>
      <c r="D654" s="3"/>
      <c r="E654" s="31"/>
      <c r="F654" s="133"/>
      <c r="G654" s="3"/>
      <c r="H654" s="31"/>
      <c r="I654" s="31"/>
      <c r="J654" s="3"/>
      <c r="K654" s="3"/>
      <c r="L654" s="3"/>
      <c r="M654" s="3"/>
      <c r="N654" s="3"/>
      <c r="O654" s="3"/>
      <c r="P654" s="3"/>
      <c r="Q654" s="3"/>
      <c r="R654" s="32"/>
      <c r="S654" s="32"/>
      <c r="T654" s="3"/>
      <c r="U654" s="33"/>
      <c r="V654" s="33"/>
      <c r="W654" s="3"/>
      <c r="X654" s="3"/>
      <c r="Y654" s="3"/>
      <c r="Z654" s="3"/>
      <c r="AA654" s="3"/>
      <c r="AB654" s="3"/>
      <c r="AC654" s="3"/>
      <c r="AD654" s="32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4"/>
      <c r="AT654" s="3"/>
      <c r="AU654" s="3"/>
      <c r="AV654" s="3"/>
      <c r="AW654" s="3"/>
      <c r="AX654" s="4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220"/>
      <c r="CY654" s="220"/>
      <c r="CZ654" s="220"/>
      <c r="DA654" s="220"/>
      <c r="DB654" s="237"/>
      <c r="DC654" s="238"/>
      <c r="DD654" s="238"/>
      <c r="DE654" s="238"/>
      <c r="DF654" s="238"/>
      <c r="DG654" s="238"/>
      <c r="DH654" s="238"/>
      <c r="DI654" s="238"/>
      <c r="DJ654" s="238"/>
      <c r="DK654" s="238"/>
      <c r="DL654" s="238"/>
      <c r="DM654" s="238"/>
      <c r="DN654" s="238"/>
      <c r="DO654" s="238"/>
      <c r="DP654" s="238"/>
      <c r="DQ654" s="238"/>
      <c r="DR654" s="238"/>
      <c r="DS654" s="238"/>
      <c r="DT654" s="238"/>
      <c r="DU654" s="238"/>
      <c r="DV654" s="238"/>
      <c r="DW654" s="238"/>
      <c r="DX654" s="238"/>
      <c r="DY654" s="238"/>
      <c r="DZ654" s="238"/>
      <c r="EA654" s="238"/>
      <c r="EB654" s="238"/>
      <c r="EC654" s="238"/>
      <c r="ED654" s="3"/>
      <c r="EE654" s="3"/>
      <c r="EF654" s="3"/>
      <c r="EG654" s="3"/>
      <c r="EH654" s="3"/>
    </row>
    <row r="655" spans="1:138" s="82" customFormat="1" x14ac:dyDescent="0.2">
      <c r="A655" s="3"/>
      <c r="B655" s="167"/>
      <c r="C655" s="3"/>
      <c r="D655" s="3"/>
      <c r="E655" s="31"/>
      <c r="F655" s="133"/>
      <c r="G655" s="3"/>
      <c r="H655" s="31"/>
      <c r="I655" s="31"/>
      <c r="J655" s="3"/>
      <c r="K655" s="3"/>
      <c r="L655" s="3"/>
      <c r="M655" s="3"/>
      <c r="N655" s="3"/>
      <c r="O655" s="3"/>
      <c r="P655" s="3"/>
      <c r="Q655" s="3"/>
      <c r="R655" s="32"/>
      <c r="S655" s="32"/>
      <c r="T655" s="3"/>
      <c r="U655" s="33"/>
      <c r="V655" s="33"/>
      <c r="W655" s="3"/>
      <c r="X655" s="3"/>
      <c r="Y655" s="3"/>
      <c r="Z655" s="3"/>
      <c r="AA655" s="3"/>
      <c r="AB655" s="3"/>
      <c r="AC655" s="3"/>
      <c r="AD655" s="32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4"/>
      <c r="AT655" s="3"/>
      <c r="AU655" s="3"/>
      <c r="AV655" s="3"/>
      <c r="AW655" s="3"/>
      <c r="AX655" s="4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220"/>
      <c r="CY655" s="220"/>
      <c r="CZ655" s="220"/>
      <c r="DA655" s="220"/>
      <c r="DB655" s="237"/>
      <c r="DC655" s="238"/>
      <c r="DD655" s="238"/>
      <c r="DE655" s="238"/>
      <c r="DF655" s="238"/>
      <c r="DG655" s="238"/>
      <c r="DH655" s="238"/>
      <c r="DI655" s="238"/>
      <c r="DJ655" s="238"/>
      <c r="DK655" s="238"/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38"/>
      <c r="DW655" s="238"/>
      <c r="DX655" s="238"/>
      <c r="DY655" s="238"/>
      <c r="DZ655" s="238"/>
      <c r="EA655" s="238"/>
      <c r="EB655" s="238"/>
      <c r="EC655" s="238"/>
      <c r="ED655" s="3"/>
      <c r="EE655" s="3"/>
      <c r="EF655" s="3"/>
      <c r="EG655" s="3"/>
      <c r="EH655" s="3"/>
    </row>
    <row r="656" spans="1:138" s="82" customFormat="1" x14ac:dyDescent="0.2">
      <c r="A656" s="3"/>
      <c r="B656" s="167"/>
      <c r="C656" s="3"/>
      <c r="D656" s="3"/>
      <c r="E656" s="31"/>
      <c r="F656" s="133"/>
      <c r="G656" s="3"/>
      <c r="H656" s="31"/>
      <c r="I656" s="31"/>
      <c r="J656" s="3"/>
      <c r="K656" s="3"/>
      <c r="L656" s="3"/>
      <c r="M656" s="3"/>
      <c r="N656" s="3"/>
      <c r="O656" s="3"/>
      <c r="P656" s="3"/>
      <c r="Q656" s="3"/>
      <c r="R656" s="32"/>
      <c r="S656" s="32"/>
      <c r="T656" s="3"/>
      <c r="U656" s="33"/>
      <c r="V656" s="33"/>
      <c r="W656" s="3"/>
      <c r="X656" s="3"/>
      <c r="Y656" s="3"/>
      <c r="Z656" s="3"/>
      <c r="AA656" s="3"/>
      <c r="AB656" s="3"/>
      <c r="AC656" s="3"/>
      <c r="AD656" s="32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4"/>
      <c r="AT656" s="3"/>
      <c r="AU656" s="3"/>
      <c r="AV656" s="3"/>
      <c r="AW656" s="3"/>
      <c r="AX656" s="4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220"/>
      <c r="CY656" s="220"/>
      <c r="CZ656" s="220"/>
      <c r="DA656" s="220"/>
      <c r="DB656" s="237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3"/>
      <c r="EE656" s="3"/>
      <c r="EF656" s="3"/>
      <c r="EG656" s="3"/>
      <c r="EH656" s="3"/>
    </row>
    <row r="657" spans="1:138" s="82" customFormat="1" x14ac:dyDescent="0.2">
      <c r="A657" s="3"/>
      <c r="B657" s="167"/>
      <c r="C657" s="3"/>
      <c r="D657" s="3"/>
      <c r="E657" s="31"/>
      <c r="F657" s="133"/>
      <c r="G657" s="3"/>
      <c r="H657" s="31"/>
      <c r="I657" s="31"/>
      <c r="J657" s="3"/>
      <c r="K657" s="3"/>
      <c r="L657" s="3"/>
      <c r="M657" s="3"/>
      <c r="N657" s="3"/>
      <c r="O657" s="3"/>
      <c r="P657" s="3"/>
      <c r="Q657" s="3"/>
      <c r="R657" s="32"/>
      <c r="S657" s="32"/>
      <c r="T657" s="3"/>
      <c r="U657" s="33"/>
      <c r="V657" s="33"/>
      <c r="W657" s="3"/>
      <c r="X657" s="3"/>
      <c r="Y657" s="3"/>
      <c r="Z657" s="3"/>
      <c r="AA657" s="3"/>
      <c r="AB657" s="3"/>
      <c r="AC657" s="3"/>
      <c r="AD657" s="32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4"/>
      <c r="AT657" s="3"/>
      <c r="AU657" s="3"/>
      <c r="AV657" s="3"/>
      <c r="AW657" s="3"/>
      <c r="AX657" s="4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220"/>
      <c r="CY657" s="220"/>
      <c r="CZ657" s="220"/>
      <c r="DA657" s="220"/>
      <c r="DB657" s="237"/>
      <c r="DC657" s="238"/>
      <c r="DD657" s="238"/>
      <c r="DE657" s="238"/>
      <c r="DF657" s="238"/>
      <c r="DG657" s="238"/>
      <c r="DH657" s="238"/>
      <c r="DI657" s="238"/>
      <c r="DJ657" s="238"/>
      <c r="DK657" s="238"/>
      <c r="DL657" s="238"/>
      <c r="DM657" s="238"/>
      <c r="DN657" s="238"/>
      <c r="DO657" s="238"/>
      <c r="DP657" s="238"/>
      <c r="DQ657" s="238"/>
      <c r="DR657" s="238"/>
      <c r="DS657" s="238"/>
      <c r="DT657" s="238"/>
      <c r="DU657" s="238"/>
      <c r="DV657" s="238"/>
      <c r="DW657" s="238"/>
      <c r="DX657" s="238"/>
      <c r="DY657" s="238"/>
      <c r="DZ657" s="238"/>
      <c r="EA657" s="238"/>
      <c r="EB657" s="238"/>
      <c r="EC657" s="238"/>
      <c r="ED657" s="3"/>
      <c r="EE657" s="3"/>
      <c r="EF657" s="3"/>
      <c r="EG657" s="3"/>
      <c r="EH657" s="3"/>
    </row>
    <row r="658" spans="1:138" s="82" customFormat="1" x14ac:dyDescent="0.2">
      <c r="A658" s="3"/>
      <c r="B658" s="167"/>
      <c r="C658" s="3"/>
      <c r="D658" s="3"/>
      <c r="E658" s="31"/>
      <c r="F658" s="133"/>
      <c r="G658" s="3"/>
      <c r="H658" s="31"/>
      <c r="I658" s="31"/>
      <c r="J658" s="3"/>
      <c r="K658" s="3"/>
      <c r="L658" s="3"/>
      <c r="M658" s="3"/>
      <c r="N658" s="3"/>
      <c r="O658" s="3"/>
      <c r="P658" s="3"/>
      <c r="Q658" s="3"/>
      <c r="R658" s="32"/>
      <c r="S658" s="32"/>
      <c r="T658" s="3"/>
      <c r="U658" s="33"/>
      <c r="V658" s="33"/>
      <c r="W658" s="3"/>
      <c r="X658" s="3"/>
      <c r="Y658" s="3"/>
      <c r="Z658" s="3"/>
      <c r="AA658" s="3"/>
      <c r="AB658" s="3"/>
      <c r="AC658" s="3"/>
      <c r="AD658" s="32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4"/>
      <c r="AT658" s="3"/>
      <c r="AU658" s="3"/>
      <c r="AV658" s="3"/>
      <c r="AW658" s="3"/>
      <c r="AX658" s="4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220"/>
      <c r="CY658" s="220"/>
      <c r="CZ658" s="220"/>
      <c r="DA658" s="220"/>
      <c r="DB658" s="237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3"/>
      <c r="EE658" s="3"/>
      <c r="EF658" s="3"/>
      <c r="EG658" s="3"/>
      <c r="EH658" s="3"/>
    </row>
    <row r="659" spans="1:138" s="82" customFormat="1" x14ac:dyDescent="0.2">
      <c r="A659" s="3"/>
      <c r="B659" s="167"/>
      <c r="C659" s="3"/>
      <c r="D659" s="3"/>
      <c r="E659" s="31"/>
      <c r="F659" s="133"/>
      <c r="G659" s="3"/>
      <c r="H659" s="31"/>
      <c r="I659" s="31"/>
      <c r="J659" s="3"/>
      <c r="K659" s="3"/>
      <c r="L659" s="3"/>
      <c r="M659" s="3"/>
      <c r="N659" s="3"/>
      <c r="O659" s="3"/>
      <c r="P659" s="3"/>
      <c r="Q659" s="3"/>
      <c r="R659" s="32"/>
      <c r="S659" s="32"/>
      <c r="T659" s="3"/>
      <c r="U659" s="33"/>
      <c r="V659" s="33"/>
      <c r="W659" s="3"/>
      <c r="X659" s="3"/>
      <c r="Y659" s="3"/>
      <c r="Z659" s="3"/>
      <c r="AA659" s="3"/>
      <c r="AB659" s="3"/>
      <c r="AC659" s="3"/>
      <c r="AD659" s="32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4"/>
      <c r="AT659" s="3"/>
      <c r="AU659" s="3"/>
      <c r="AV659" s="3"/>
      <c r="AW659" s="3"/>
      <c r="AX659" s="4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220"/>
      <c r="CY659" s="220"/>
      <c r="CZ659" s="220"/>
      <c r="DA659" s="220"/>
      <c r="DB659" s="237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238"/>
      <c r="EC659" s="238"/>
      <c r="ED659" s="3"/>
      <c r="EE659" s="3"/>
      <c r="EF659" s="3"/>
      <c r="EG659" s="3"/>
      <c r="EH659" s="3"/>
    </row>
    <row r="660" spans="1:138" s="82" customFormat="1" x14ac:dyDescent="0.2">
      <c r="A660" s="3"/>
      <c r="B660" s="167"/>
      <c r="C660" s="3"/>
      <c r="D660" s="3"/>
      <c r="E660" s="31"/>
      <c r="F660" s="133"/>
      <c r="G660" s="3"/>
      <c r="H660" s="31"/>
      <c r="I660" s="31"/>
      <c r="J660" s="3"/>
      <c r="K660" s="3"/>
      <c r="L660" s="3"/>
      <c r="M660" s="3"/>
      <c r="N660" s="3"/>
      <c r="O660" s="3"/>
      <c r="P660" s="3"/>
      <c r="Q660" s="3"/>
      <c r="R660" s="32"/>
      <c r="S660" s="32"/>
      <c r="T660" s="3"/>
      <c r="U660" s="33"/>
      <c r="V660" s="33"/>
      <c r="W660" s="3"/>
      <c r="X660" s="3"/>
      <c r="Y660" s="3"/>
      <c r="Z660" s="3"/>
      <c r="AA660" s="3"/>
      <c r="AB660" s="3"/>
      <c r="AC660" s="3"/>
      <c r="AD660" s="32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4"/>
      <c r="AT660" s="3"/>
      <c r="AU660" s="3"/>
      <c r="AV660" s="3"/>
      <c r="AW660" s="3"/>
      <c r="AX660" s="4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220"/>
      <c r="CY660" s="220"/>
      <c r="CZ660" s="220"/>
      <c r="DA660" s="220"/>
      <c r="DB660" s="237"/>
      <c r="DC660" s="238"/>
      <c r="DD660" s="238"/>
      <c r="DE660" s="238"/>
      <c r="DF660" s="238"/>
      <c r="DG660" s="238"/>
      <c r="DH660" s="238"/>
      <c r="DI660" s="238"/>
      <c r="DJ660" s="238"/>
      <c r="DK660" s="238"/>
      <c r="DL660" s="238"/>
      <c r="DM660" s="238"/>
      <c r="DN660" s="238"/>
      <c r="DO660" s="238"/>
      <c r="DP660" s="238"/>
      <c r="DQ660" s="238"/>
      <c r="DR660" s="238"/>
      <c r="DS660" s="238"/>
      <c r="DT660" s="238"/>
      <c r="DU660" s="238"/>
      <c r="DV660" s="238"/>
      <c r="DW660" s="238"/>
      <c r="DX660" s="238"/>
      <c r="DY660" s="238"/>
      <c r="DZ660" s="238"/>
      <c r="EA660" s="238"/>
      <c r="EB660" s="238"/>
      <c r="EC660" s="238"/>
      <c r="ED660" s="3"/>
      <c r="EE660" s="3"/>
      <c r="EF660" s="3"/>
      <c r="EG660" s="3"/>
      <c r="EH660" s="3"/>
    </row>
    <row r="661" spans="1:138" s="82" customFormat="1" x14ac:dyDescent="0.2">
      <c r="A661" s="3"/>
      <c r="B661" s="167"/>
      <c r="C661" s="3"/>
      <c r="D661" s="3"/>
      <c r="E661" s="31"/>
      <c r="F661" s="133"/>
      <c r="G661" s="3"/>
      <c r="H661" s="31"/>
      <c r="I661" s="31"/>
      <c r="J661" s="3"/>
      <c r="K661" s="3"/>
      <c r="L661" s="3"/>
      <c r="M661" s="3"/>
      <c r="N661" s="3"/>
      <c r="O661" s="3"/>
      <c r="P661" s="3"/>
      <c r="Q661" s="3"/>
      <c r="R661" s="32"/>
      <c r="S661" s="32"/>
      <c r="T661" s="3"/>
      <c r="U661" s="33"/>
      <c r="V661" s="33"/>
      <c r="W661" s="3"/>
      <c r="X661" s="3"/>
      <c r="Y661" s="3"/>
      <c r="Z661" s="3"/>
      <c r="AA661" s="3"/>
      <c r="AB661" s="3"/>
      <c r="AC661" s="3"/>
      <c r="AD661" s="32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4"/>
      <c r="AT661" s="3"/>
      <c r="AU661" s="3"/>
      <c r="AV661" s="3"/>
      <c r="AW661" s="3"/>
      <c r="AX661" s="4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220"/>
      <c r="CY661" s="220"/>
      <c r="CZ661" s="220"/>
      <c r="DA661" s="220"/>
      <c r="DB661" s="237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38"/>
      <c r="DW661" s="238"/>
      <c r="DX661" s="238"/>
      <c r="DY661" s="238"/>
      <c r="DZ661" s="238"/>
      <c r="EA661" s="238"/>
      <c r="EB661" s="238"/>
      <c r="EC661" s="238"/>
      <c r="ED661" s="3"/>
      <c r="EE661" s="3"/>
      <c r="EF661" s="3"/>
      <c r="EG661" s="3"/>
      <c r="EH661" s="3"/>
    </row>
    <row r="662" spans="1:138" s="82" customFormat="1" x14ac:dyDescent="0.2">
      <c r="A662" s="3"/>
      <c r="B662" s="167"/>
      <c r="C662" s="3"/>
      <c r="D662" s="3"/>
      <c r="E662" s="31"/>
      <c r="F662" s="133"/>
      <c r="G662" s="3"/>
      <c r="H662" s="31"/>
      <c r="I662" s="31"/>
      <c r="J662" s="3"/>
      <c r="K662" s="3"/>
      <c r="L662" s="3"/>
      <c r="M662" s="3"/>
      <c r="N662" s="3"/>
      <c r="O662" s="3"/>
      <c r="P662" s="3"/>
      <c r="Q662" s="3"/>
      <c r="R662" s="32"/>
      <c r="S662" s="32"/>
      <c r="T662" s="3"/>
      <c r="U662" s="33"/>
      <c r="V662" s="33"/>
      <c r="W662" s="3"/>
      <c r="X662" s="3"/>
      <c r="Y662" s="3"/>
      <c r="Z662" s="3"/>
      <c r="AA662" s="3"/>
      <c r="AB662" s="3"/>
      <c r="AC662" s="3"/>
      <c r="AD662" s="32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4"/>
      <c r="AT662" s="3"/>
      <c r="AU662" s="3"/>
      <c r="AV662" s="3"/>
      <c r="AW662" s="3"/>
      <c r="AX662" s="4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84"/>
      <c r="BZ662" s="84"/>
      <c r="CA662" s="84"/>
      <c r="CB662" s="84"/>
      <c r="CC662" s="84"/>
      <c r="CD662" s="84"/>
      <c r="CE662" s="84"/>
      <c r="CF662" s="84"/>
      <c r="CG662" s="84"/>
      <c r="CH662" s="84"/>
      <c r="CI662" s="84"/>
      <c r="CJ662" s="84"/>
      <c r="CK662" s="84"/>
      <c r="CL662" s="84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220"/>
      <c r="CY662" s="220"/>
      <c r="CZ662" s="220"/>
      <c r="DA662" s="220"/>
      <c r="DB662" s="237"/>
      <c r="DC662" s="238"/>
      <c r="DD662" s="238"/>
      <c r="DE662" s="238"/>
      <c r="DF662" s="238"/>
      <c r="DG662" s="238"/>
      <c r="DH662" s="238"/>
      <c r="DI662" s="238"/>
      <c r="DJ662" s="238"/>
      <c r="DK662" s="238"/>
      <c r="DL662" s="238"/>
      <c r="DM662" s="238"/>
      <c r="DN662" s="238"/>
      <c r="DO662" s="238"/>
      <c r="DP662" s="238"/>
      <c r="DQ662" s="238"/>
      <c r="DR662" s="238"/>
      <c r="DS662" s="238"/>
      <c r="DT662" s="238"/>
      <c r="DU662" s="238"/>
      <c r="DV662" s="238"/>
      <c r="DW662" s="238"/>
      <c r="DX662" s="238"/>
      <c r="DY662" s="238"/>
      <c r="DZ662" s="238"/>
      <c r="EA662" s="238"/>
      <c r="EB662" s="238"/>
      <c r="EC662" s="238"/>
      <c r="ED662" s="3"/>
      <c r="EE662" s="3"/>
      <c r="EF662" s="3"/>
      <c r="EG662" s="3"/>
      <c r="EH662" s="3"/>
    </row>
    <row r="663" spans="1:138" s="82" customFormat="1" x14ac:dyDescent="0.2">
      <c r="A663" s="3"/>
      <c r="B663" s="167"/>
      <c r="C663" s="3"/>
      <c r="D663" s="3"/>
      <c r="E663" s="31"/>
      <c r="F663" s="133"/>
      <c r="G663" s="3"/>
      <c r="H663" s="31"/>
      <c r="I663" s="31"/>
      <c r="J663" s="3"/>
      <c r="K663" s="3"/>
      <c r="L663" s="3"/>
      <c r="M663" s="3"/>
      <c r="N663" s="3"/>
      <c r="O663" s="3"/>
      <c r="P663" s="3"/>
      <c r="Q663" s="3"/>
      <c r="R663" s="32"/>
      <c r="S663" s="32"/>
      <c r="T663" s="3"/>
      <c r="U663" s="33"/>
      <c r="V663" s="33"/>
      <c r="W663" s="3"/>
      <c r="X663" s="3"/>
      <c r="Y663" s="3"/>
      <c r="Z663" s="3"/>
      <c r="AA663" s="3"/>
      <c r="AB663" s="3"/>
      <c r="AC663" s="3"/>
      <c r="AD663" s="32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4"/>
      <c r="AT663" s="3"/>
      <c r="AU663" s="3"/>
      <c r="AV663" s="3"/>
      <c r="AW663" s="3"/>
      <c r="AX663" s="4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220"/>
      <c r="CY663" s="220"/>
      <c r="CZ663" s="220"/>
      <c r="DA663" s="220"/>
      <c r="DB663" s="237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238"/>
      <c r="EC663" s="238"/>
      <c r="ED663" s="3"/>
      <c r="EE663" s="3"/>
      <c r="EF663" s="3"/>
      <c r="EG663" s="3"/>
      <c r="EH663" s="3"/>
    </row>
    <row r="664" spans="1:138" s="82" customFormat="1" x14ac:dyDescent="0.2">
      <c r="A664" s="3"/>
      <c r="B664" s="167"/>
      <c r="C664" s="3"/>
      <c r="D664" s="3"/>
      <c r="E664" s="31"/>
      <c r="F664" s="133"/>
      <c r="G664" s="3"/>
      <c r="H664" s="31"/>
      <c r="I664" s="31"/>
      <c r="J664" s="3"/>
      <c r="K664" s="3"/>
      <c r="L664" s="3"/>
      <c r="M664" s="3"/>
      <c r="N664" s="3"/>
      <c r="O664" s="3"/>
      <c r="P664" s="3"/>
      <c r="Q664" s="3"/>
      <c r="R664" s="32"/>
      <c r="S664" s="32"/>
      <c r="T664" s="3"/>
      <c r="U664" s="33"/>
      <c r="V664" s="33"/>
      <c r="W664" s="3"/>
      <c r="X664" s="3"/>
      <c r="Y664" s="3"/>
      <c r="Z664" s="3"/>
      <c r="AA664" s="3"/>
      <c r="AB664" s="3"/>
      <c r="AC664" s="3"/>
      <c r="AD664" s="32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4"/>
      <c r="AT664" s="3"/>
      <c r="AU664" s="3"/>
      <c r="AV664" s="3"/>
      <c r="AW664" s="3"/>
      <c r="AX664" s="4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84"/>
      <c r="BZ664" s="84"/>
      <c r="CA664" s="84"/>
      <c r="CB664" s="84"/>
      <c r="CC664" s="84"/>
      <c r="CD664" s="84"/>
      <c r="CE664" s="84"/>
      <c r="CF664" s="84"/>
      <c r="CG664" s="84"/>
      <c r="CH664" s="84"/>
      <c r="CI664" s="84"/>
      <c r="CJ664" s="84"/>
      <c r="CK664" s="84"/>
      <c r="CL664" s="84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220"/>
      <c r="CY664" s="220"/>
      <c r="CZ664" s="220"/>
      <c r="DA664" s="220"/>
      <c r="DB664" s="237"/>
      <c r="DC664" s="238"/>
      <c r="DD664" s="238"/>
      <c r="DE664" s="238"/>
      <c r="DF664" s="238"/>
      <c r="DG664" s="238"/>
      <c r="DH664" s="238"/>
      <c r="DI664" s="238"/>
      <c r="DJ664" s="238"/>
      <c r="DK664" s="238"/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38"/>
      <c r="DW664" s="238"/>
      <c r="DX664" s="238"/>
      <c r="DY664" s="238"/>
      <c r="DZ664" s="238"/>
      <c r="EA664" s="238"/>
      <c r="EB664" s="238"/>
      <c r="EC664" s="238"/>
      <c r="ED664" s="3"/>
      <c r="EE664" s="3"/>
      <c r="EF664" s="3"/>
      <c r="EG664" s="3"/>
      <c r="EH664" s="3"/>
    </row>
    <row r="665" spans="1:138" s="82" customFormat="1" x14ac:dyDescent="0.2">
      <c r="A665" s="3"/>
      <c r="B665" s="167"/>
      <c r="C665" s="3"/>
      <c r="D665" s="3"/>
      <c r="E665" s="31"/>
      <c r="F665" s="133"/>
      <c r="G665" s="3"/>
      <c r="H665" s="31"/>
      <c r="I665" s="31"/>
      <c r="J665" s="3"/>
      <c r="K665" s="3"/>
      <c r="L665" s="3"/>
      <c r="M665" s="3"/>
      <c r="N665" s="3"/>
      <c r="O665" s="3"/>
      <c r="P665" s="3"/>
      <c r="Q665" s="3"/>
      <c r="R665" s="32"/>
      <c r="S665" s="32"/>
      <c r="T665" s="3"/>
      <c r="U665" s="33"/>
      <c r="V665" s="33"/>
      <c r="W665" s="3"/>
      <c r="X665" s="3"/>
      <c r="Y665" s="3"/>
      <c r="Z665" s="3"/>
      <c r="AA665" s="3"/>
      <c r="AB665" s="3"/>
      <c r="AC665" s="3"/>
      <c r="AD665" s="32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4"/>
      <c r="AT665" s="3"/>
      <c r="AU665" s="3"/>
      <c r="AV665" s="3"/>
      <c r="AW665" s="3"/>
      <c r="AX665" s="4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220"/>
      <c r="CY665" s="220"/>
      <c r="CZ665" s="220"/>
      <c r="DA665" s="220"/>
      <c r="DB665" s="237"/>
      <c r="DC665" s="238"/>
      <c r="DD665" s="238"/>
      <c r="DE665" s="238"/>
      <c r="DF665" s="238"/>
      <c r="DG665" s="238"/>
      <c r="DH665" s="238"/>
      <c r="DI665" s="238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3"/>
      <c r="EE665" s="3"/>
      <c r="EF665" s="3"/>
      <c r="EG665" s="3"/>
      <c r="EH665" s="3"/>
    </row>
    <row r="666" spans="1:138" s="82" customFormat="1" x14ac:dyDescent="0.2">
      <c r="A666" s="3"/>
      <c r="B666" s="167"/>
      <c r="C666" s="3"/>
      <c r="D666" s="3"/>
      <c r="E666" s="31"/>
      <c r="F666" s="133"/>
      <c r="G666" s="3"/>
      <c r="H666" s="31"/>
      <c r="I666" s="31"/>
      <c r="J666" s="3"/>
      <c r="K666" s="3"/>
      <c r="L666" s="3"/>
      <c r="M666" s="3"/>
      <c r="N666" s="3"/>
      <c r="O666" s="3"/>
      <c r="P666" s="3"/>
      <c r="Q666" s="3"/>
      <c r="R666" s="32"/>
      <c r="S666" s="32"/>
      <c r="T666" s="3"/>
      <c r="U666" s="33"/>
      <c r="V666" s="33"/>
      <c r="W666" s="3"/>
      <c r="X666" s="3"/>
      <c r="Y666" s="3"/>
      <c r="Z666" s="3"/>
      <c r="AA666" s="3"/>
      <c r="AB666" s="3"/>
      <c r="AC666" s="3"/>
      <c r="AD666" s="32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4"/>
      <c r="AT666" s="3"/>
      <c r="AU666" s="3"/>
      <c r="AV666" s="3"/>
      <c r="AW666" s="3"/>
      <c r="AX666" s="4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84"/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220"/>
      <c r="CY666" s="220"/>
      <c r="CZ666" s="220"/>
      <c r="DA666" s="220"/>
      <c r="DB666" s="237"/>
      <c r="DC666" s="238"/>
      <c r="DD666" s="238"/>
      <c r="DE666" s="238"/>
      <c r="DF666" s="238"/>
      <c r="DG666" s="238"/>
      <c r="DH666" s="238"/>
      <c r="DI666" s="238"/>
      <c r="DJ666" s="238"/>
      <c r="DK666" s="238"/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38"/>
      <c r="DW666" s="238"/>
      <c r="DX666" s="238"/>
      <c r="DY666" s="238"/>
      <c r="DZ666" s="238"/>
      <c r="EA666" s="238"/>
      <c r="EB666" s="238"/>
      <c r="EC666" s="238"/>
      <c r="ED666" s="3"/>
      <c r="EE666" s="3"/>
      <c r="EF666" s="3"/>
      <c r="EG666" s="3"/>
      <c r="EH666" s="3"/>
    </row>
    <row r="667" spans="1:138" s="82" customFormat="1" x14ac:dyDescent="0.2">
      <c r="A667" s="3"/>
      <c r="B667" s="167"/>
      <c r="C667" s="3"/>
      <c r="D667" s="3"/>
      <c r="E667" s="31"/>
      <c r="F667" s="133"/>
      <c r="G667" s="3"/>
      <c r="H667" s="31"/>
      <c r="I667" s="31"/>
      <c r="J667" s="3"/>
      <c r="K667" s="3"/>
      <c r="L667" s="3"/>
      <c r="M667" s="3"/>
      <c r="N667" s="3"/>
      <c r="O667" s="3"/>
      <c r="P667" s="3"/>
      <c r="Q667" s="3"/>
      <c r="R667" s="32"/>
      <c r="S667" s="32"/>
      <c r="T667" s="3"/>
      <c r="U667" s="33"/>
      <c r="V667" s="33"/>
      <c r="W667" s="3"/>
      <c r="X667" s="3"/>
      <c r="Y667" s="3"/>
      <c r="Z667" s="3"/>
      <c r="AA667" s="3"/>
      <c r="AB667" s="3"/>
      <c r="AC667" s="3"/>
      <c r="AD667" s="32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4"/>
      <c r="AT667" s="3"/>
      <c r="AU667" s="3"/>
      <c r="AV667" s="3"/>
      <c r="AW667" s="3"/>
      <c r="AX667" s="4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220"/>
      <c r="CY667" s="220"/>
      <c r="CZ667" s="220"/>
      <c r="DA667" s="220"/>
      <c r="DB667" s="237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238"/>
      <c r="EC667" s="238"/>
      <c r="ED667" s="3"/>
      <c r="EE667" s="3"/>
      <c r="EF667" s="3"/>
      <c r="EG667" s="3"/>
      <c r="EH667" s="3"/>
    </row>
    <row r="668" spans="1:138" s="82" customFormat="1" x14ac:dyDescent="0.2">
      <c r="A668" s="3"/>
      <c r="B668" s="167"/>
      <c r="C668" s="3"/>
      <c r="D668" s="3"/>
      <c r="E668" s="31"/>
      <c r="F668" s="133"/>
      <c r="G668" s="3"/>
      <c r="H668" s="31"/>
      <c r="I668" s="31"/>
      <c r="J668" s="3"/>
      <c r="K668" s="3"/>
      <c r="L668" s="3"/>
      <c r="M668" s="3"/>
      <c r="N668" s="3"/>
      <c r="O668" s="3"/>
      <c r="P668" s="3"/>
      <c r="Q668" s="3"/>
      <c r="R668" s="32"/>
      <c r="S668" s="32"/>
      <c r="T668" s="3"/>
      <c r="U668" s="33"/>
      <c r="V668" s="33"/>
      <c r="W668" s="3"/>
      <c r="X668" s="3"/>
      <c r="Y668" s="3"/>
      <c r="Z668" s="3"/>
      <c r="AA668" s="3"/>
      <c r="AB668" s="3"/>
      <c r="AC668" s="3"/>
      <c r="AD668" s="32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4"/>
      <c r="AT668" s="3"/>
      <c r="AU668" s="3"/>
      <c r="AV668" s="3"/>
      <c r="AW668" s="3"/>
      <c r="AX668" s="4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220"/>
      <c r="CY668" s="220"/>
      <c r="CZ668" s="220"/>
      <c r="DA668" s="220"/>
      <c r="DB668" s="237"/>
      <c r="DC668" s="238"/>
      <c r="DD668" s="238"/>
      <c r="DE668" s="238"/>
      <c r="DF668" s="238"/>
      <c r="DG668" s="238"/>
      <c r="DH668" s="238"/>
      <c r="DI668" s="238"/>
      <c r="DJ668" s="238"/>
      <c r="DK668" s="238"/>
      <c r="DL668" s="238"/>
      <c r="DM668" s="238"/>
      <c r="DN668" s="238"/>
      <c r="DO668" s="238"/>
      <c r="DP668" s="238"/>
      <c r="DQ668" s="238"/>
      <c r="DR668" s="238"/>
      <c r="DS668" s="238"/>
      <c r="DT668" s="238"/>
      <c r="DU668" s="238"/>
      <c r="DV668" s="238"/>
      <c r="DW668" s="238"/>
      <c r="DX668" s="238"/>
      <c r="DY668" s="238"/>
      <c r="DZ668" s="238"/>
      <c r="EA668" s="238"/>
      <c r="EB668" s="238"/>
      <c r="EC668" s="238"/>
      <c r="ED668" s="3"/>
      <c r="EE668" s="3"/>
      <c r="EF668" s="3"/>
      <c r="EG668" s="3"/>
      <c r="EH668" s="3"/>
    </row>
    <row r="669" spans="1:138" s="82" customFormat="1" x14ac:dyDescent="0.2">
      <c r="A669" s="3"/>
      <c r="B669" s="167"/>
      <c r="C669" s="3"/>
      <c r="D669" s="3"/>
      <c r="E669" s="31"/>
      <c r="F669" s="133"/>
      <c r="G669" s="3"/>
      <c r="H669" s="31"/>
      <c r="I669" s="31"/>
      <c r="J669" s="3"/>
      <c r="K669" s="3"/>
      <c r="L669" s="3"/>
      <c r="M669" s="3"/>
      <c r="N669" s="3"/>
      <c r="O669" s="3"/>
      <c r="P669" s="3"/>
      <c r="Q669" s="3"/>
      <c r="R669" s="32"/>
      <c r="S669" s="32"/>
      <c r="T669" s="3"/>
      <c r="U669" s="33"/>
      <c r="V669" s="33"/>
      <c r="W669" s="3"/>
      <c r="X669" s="3"/>
      <c r="Y669" s="3"/>
      <c r="Z669" s="3"/>
      <c r="AA669" s="3"/>
      <c r="AB669" s="3"/>
      <c r="AC669" s="3"/>
      <c r="AD669" s="32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4"/>
      <c r="AT669" s="3"/>
      <c r="AU669" s="3"/>
      <c r="AV669" s="3"/>
      <c r="AW669" s="3"/>
      <c r="AX669" s="4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220"/>
      <c r="CY669" s="220"/>
      <c r="CZ669" s="220"/>
      <c r="DA669" s="220"/>
      <c r="DB669" s="237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238"/>
      <c r="EC669" s="238"/>
      <c r="ED669" s="3"/>
      <c r="EE669" s="3"/>
      <c r="EF669" s="3"/>
      <c r="EG669" s="3"/>
      <c r="EH669" s="3"/>
    </row>
    <row r="670" spans="1:138" s="82" customFormat="1" x14ac:dyDescent="0.2">
      <c r="A670" s="3"/>
      <c r="B670" s="167"/>
      <c r="C670" s="3"/>
      <c r="D670" s="3"/>
      <c r="E670" s="31"/>
      <c r="F670" s="133"/>
      <c r="G670" s="3"/>
      <c r="H670" s="31"/>
      <c r="I670" s="31"/>
      <c r="J670" s="3"/>
      <c r="K670" s="3"/>
      <c r="L670" s="3"/>
      <c r="M670" s="3"/>
      <c r="N670" s="3"/>
      <c r="O670" s="3"/>
      <c r="P670" s="3"/>
      <c r="Q670" s="3"/>
      <c r="R670" s="32"/>
      <c r="S670" s="32"/>
      <c r="T670" s="3"/>
      <c r="U670" s="33"/>
      <c r="V670" s="33"/>
      <c r="W670" s="3"/>
      <c r="X670" s="3"/>
      <c r="Y670" s="3"/>
      <c r="Z670" s="3"/>
      <c r="AA670" s="3"/>
      <c r="AB670" s="3"/>
      <c r="AC670" s="3"/>
      <c r="AD670" s="32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4"/>
      <c r="AT670" s="3"/>
      <c r="AU670" s="3"/>
      <c r="AV670" s="3"/>
      <c r="AW670" s="3"/>
      <c r="AX670" s="4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220"/>
      <c r="CY670" s="220"/>
      <c r="CZ670" s="220"/>
      <c r="DA670" s="220"/>
      <c r="DB670" s="237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238"/>
      <c r="EC670" s="238"/>
      <c r="ED670" s="3"/>
      <c r="EE670" s="3"/>
      <c r="EF670" s="3"/>
      <c r="EG670" s="3"/>
      <c r="EH670" s="3"/>
    </row>
    <row r="671" spans="1:138" s="82" customFormat="1" x14ac:dyDescent="0.2">
      <c r="A671" s="3"/>
      <c r="B671" s="167"/>
      <c r="C671" s="3"/>
      <c r="D671" s="3"/>
      <c r="E671" s="31"/>
      <c r="F671" s="133"/>
      <c r="G671" s="3"/>
      <c r="H671" s="31"/>
      <c r="I671" s="31"/>
      <c r="J671" s="3"/>
      <c r="K671" s="3"/>
      <c r="L671" s="3"/>
      <c r="M671" s="3"/>
      <c r="N671" s="3"/>
      <c r="O671" s="3"/>
      <c r="P671" s="3"/>
      <c r="Q671" s="3"/>
      <c r="R671" s="32"/>
      <c r="S671" s="32"/>
      <c r="T671" s="3"/>
      <c r="U671" s="33"/>
      <c r="V671" s="33"/>
      <c r="W671" s="3"/>
      <c r="X671" s="3"/>
      <c r="Y671" s="3"/>
      <c r="Z671" s="3"/>
      <c r="AA671" s="3"/>
      <c r="AB671" s="3"/>
      <c r="AC671" s="3"/>
      <c r="AD671" s="32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4"/>
      <c r="AT671" s="3"/>
      <c r="AU671" s="3"/>
      <c r="AV671" s="3"/>
      <c r="AW671" s="3"/>
      <c r="AX671" s="4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84"/>
      <c r="BZ671" s="84"/>
      <c r="CA671" s="84"/>
      <c r="CB671" s="84"/>
      <c r="CC671" s="84"/>
      <c r="CD671" s="84"/>
      <c r="CE671" s="84"/>
      <c r="CF671" s="84"/>
      <c r="CG671" s="84"/>
      <c r="CH671" s="84"/>
      <c r="CI671" s="84"/>
      <c r="CJ671" s="84"/>
      <c r="CK671" s="84"/>
      <c r="CL671" s="84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220"/>
      <c r="CY671" s="220"/>
      <c r="CZ671" s="220"/>
      <c r="DA671" s="220"/>
      <c r="DB671" s="237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238"/>
      <c r="EC671" s="238"/>
      <c r="ED671" s="3"/>
      <c r="EE671" s="3"/>
      <c r="EF671" s="3"/>
      <c r="EG671" s="3"/>
      <c r="EH671" s="3"/>
    </row>
    <row r="672" spans="1:138" s="82" customFormat="1" x14ac:dyDescent="0.2">
      <c r="A672" s="3"/>
      <c r="B672" s="167"/>
      <c r="C672" s="3"/>
      <c r="D672" s="3"/>
      <c r="E672" s="31"/>
      <c r="F672" s="133"/>
      <c r="G672" s="3"/>
      <c r="H672" s="31"/>
      <c r="I672" s="31"/>
      <c r="J672" s="3"/>
      <c r="K672" s="3"/>
      <c r="L672" s="3"/>
      <c r="M672" s="3"/>
      <c r="N672" s="3"/>
      <c r="O672" s="3"/>
      <c r="P672" s="3"/>
      <c r="Q672" s="3"/>
      <c r="R672" s="32"/>
      <c r="S672" s="32"/>
      <c r="T672" s="3"/>
      <c r="U672" s="33"/>
      <c r="V672" s="33"/>
      <c r="W672" s="3"/>
      <c r="X672" s="3"/>
      <c r="Y672" s="3"/>
      <c r="Z672" s="3"/>
      <c r="AA672" s="3"/>
      <c r="AB672" s="3"/>
      <c r="AC672" s="3"/>
      <c r="AD672" s="32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4"/>
      <c r="AT672" s="3"/>
      <c r="AU672" s="3"/>
      <c r="AV672" s="3"/>
      <c r="AW672" s="3"/>
      <c r="AX672" s="4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220"/>
      <c r="CY672" s="220"/>
      <c r="CZ672" s="220"/>
      <c r="DA672" s="220"/>
      <c r="DB672" s="237"/>
      <c r="DC672" s="238"/>
      <c r="DD672" s="238"/>
      <c r="DE672" s="238"/>
      <c r="DF672" s="238"/>
      <c r="DG672" s="238"/>
      <c r="DH672" s="238"/>
      <c r="DI672" s="238"/>
      <c r="DJ672" s="238"/>
      <c r="DK672" s="238"/>
      <c r="DL672" s="238"/>
      <c r="DM672" s="238"/>
      <c r="DN672" s="238"/>
      <c r="DO672" s="238"/>
      <c r="DP672" s="238"/>
      <c r="DQ672" s="238"/>
      <c r="DR672" s="238"/>
      <c r="DS672" s="238"/>
      <c r="DT672" s="238"/>
      <c r="DU672" s="238"/>
      <c r="DV672" s="238"/>
      <c r="DW672" s="238"/>
      <c r="DX672" s="238"/>
      <c r="DY672" s="238"/>
      <c r="DZ672" s="238"/>
      <c r="EA672" s="238"/>
      <c r="EB672" s="238"/>
      <c r="EC672" s="238"/>
      <c r="ED672" s="3"/>
      <c r="EE672" s="3"/>
      <c r="EF672" s="3"/>
      <c r="EG672" s="3"/>
      <c r="EH672" s="3"/>
    </row>
    <row r="673" spans="1:138" s="82" customFormat="1" x14ac:dyDescent="0.2">
      <c r="A673" s="3"/>
      <c r="B673" s="167"/>
      <c r="C673" s="3"/>
      <c r="D673" s="3"/>
      <c r="E673" s="31"/>
      <c r="F673" s="133"/>
      <c r="G673" s="3"/>
      <c r="H673" s="31"/>
      <c r="I673" s="31"/>
      <c r="J673" s="3"/>
      <c r="K673" s="3"/>
      <c r="L673" s="3"/>
      <c r="M673" s="3"/>
      <c r="N673" s="3"/>
      <c r="O673" s="3"/>
      <c r="P673" s="3"/>
      <c r="Q673" s="3"/>
      <c r="R673" s="32"/>
      <c r="S673" s="32"/>
      <c r="T673" s="3"/>
      <c r="U673" s="33"/>
      <c r="V673" s="33"/>
      <c r="W673" s="3"/>
      <c r="X673" s="3"/>
      <c r="Y673" s="3"/>
      <c r="Z673" s="3"/>
      <c r="AA673" s="3"/>
      <c r="AB673" s="3"/>
      <c r="AC673" s="3"/>
      <c r="AD673" s="32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4"/>
      <c r="AT673" s="3"/>
      <c r="AU673" s="3"/>
      <c r="AV673" s="3"/>
      <c r="AW673" s="3"/>
      <c r="AX673" s="4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84"/>
      <c r="BZ673" s="84"/>
      <c r="CA673" s="84"/>
      <c r="CB673" s="84"/>
      <c r="CC673" s="84"/>
      <c r="CD673" s="84"/>
      <c r="CE673" s="84"/>
      <c r="CF673" s="84"/>
      <c r="CG673" s="84"/>
      <c r="CH673" s="84"/>
      <c r="CI673" s="84"/>
      <c r="CJ673" s="84"/>
      <c r="CK673" s="84"/>
      <c r="CL673" s="84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220"/>
      <c r="CY673" s="220"/>
      <c r="CZ673" s="220"/>
      <c r="DA673" s="220"/>
      <c r="DB673" s="237"/>
      <c r="DC673" s="238"/>
      <c r="DD673" s="238"/>
      <c r="DE673" s="238"/>
      <c r="DF673" s="238"/>
      <c r="DG673" s="238"/>
      <c r="DH673" s="238"/>
      <c r="DI673" s="238"/>
      <c r="DJ673" s="238"/>
      <c r="DK673" s="238"/>
      <c r="DL673" s="238"/>
      <c r="DM673" s="238"/>
      <c r="DN673" s="238"/>
      <c r="DO673" s="238"/>
      <c r="DP673" s="238"/>
      <c r="DQ673" s="238"/>
      <c r="DR673" s="238"/>
      <c r="DS673" s="238"/>
      <c r="DT673" s="238"/>
      <c r="DU673" s="238"/>
      <c r="DV673" s="238"/>
      <c r="DW673" s="238"/>
      <c r="DX673" s="238"/>
      <c r="DY673" s="238"/>
      <c r="DZ673" s="238"/>
      <c r="EA673" s="238"/>
      <c r="EB673" s="238"/>
      <c r="EC673" s="238"/>
      <c r="ED673" s="3"/>
      <c r="EE673" s="3"/>
      <c r="EF673" s="3"/>
      <c r="EG673" s="3"/>
      <c r="EH673" s="3"/>
    </row>
    <row r="674" spans="1:138" s="82" customFormat="1" x14ac:dyDescent="0.2">
      <c r="A674" s="3"/>
      <c r="B674" s="167"/>
      <c r="C674" s="3"/>
      <c r="D674" s="3"/>
      <c r="E674" s="31"/>
      <c r="F674" s="133"/>
      <c r="G674" s="3"/>
      <c r="H674" s="31"/>
      <c r="I674" s="31"/>
      <c r="J674" s="3"/>
      <c r="K674" s="3"/>
      <c r="L674" s="3"/>
      <c r="M674" s="3"/>
      <c r="N674" s="3"/>
      <c r="O674" s="3"/>
      <c r="P674" s="3"/>
      <c r="Q674" s="3"/>
      <c r="R674" s="32"/>
      <c r="S674" s="32"/>
      <c r="T674" s="3"/>
      <c r="U674" s="33"/>
      <c r="V674" s="33"/>
      <c r="W674" s="3"/>
      <c r="X674" s="3"/>
      <c r="Y674" s="3"/>
      <c r="Z674" s="3"/>
      <c r="AA674" s="3"/>
      <c r="AB674" s="3"/>
      <c r="AC674" s="3"/>
      <c r="AD674" s="32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4"/>
      <c r="AT674" s="3"/>
      <c r="AU674" s="3"/>
      <c r="AV674" s="3"/>
      <c r="AW674" s="3"/>
      <c r="AX674" s="4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220"/>
      <c r="CY674" s="220"/>
      <c r="CZ674" s="220"/>
      <c r="DA674" s="220"/>
      <c r="DB674" s="237"/>
      <c r="DC674" s="238"/>
      <c r="DD674" s="238"/>
      <c r="DE674" s="238"/>
      <c r="DF674" s="238"/>
      <c r="DG674" s="238"/>
      <c r="DH674" s="238"/>
      <c r="DI674" s="238"/>
      <c r="DJ674" s="238"/>
      <c r="DK674" s="238"/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38"/>
      <c r="DW674" s="238"/>
      <c r="DX674" s="238"/>
      <c r="DY674" s="238"/>
      <c r="DZ674" s="238"/>
      <c r="EA674" s="238"/>
      <c r="EB674" s="238"/>
      <c r="EC674" s="238"/>
      <c r="ED674" s="3"/>
      <c r="EE674" s="3"/>
      <c r="EF674" s="3"/>
      <c r="EG674" s="3"/>
      <c r="EH674" s="3"/>
    </row>
    <row r="675" spans="1:138" s="82" customFormat="1" x14ac:dyDescent="0.2">
      <c r="A675" s="3"/>
      <c r="B675" s="167"/>
      <c r="C675" s="3"/>
      <c r="D675" s="3"/>
      <c r="E675" s="31"/>
      <c r="F675" s="133"/>
      <c r="G675" s="3"/>
      <c r="H675" s="31"/>
      <c r="I675" s="31"/>
      <c r="J675" s="3"/>
      <c r="K675" s="3"/>
      <c r="L675" s="3"/>
      <c r="M675" s="3"/>
      <c r="N675" s="3"/>
      <c r="O675" s="3"/>
      <c r="P675" s="3"/>
      <c r="Q675" s="3"/>
      <c r="R675" s="32"/>
      <c r="S675" s="32"/>
      <c r="T675" s="3"/>
      <c r="U675" s="33"/>
      <c r="V675" s="33"/>
      <c r="W675" s="3"/>
      <c r="X675" s="3"/>
      <c r="Y675" s="3"/>
      <c r="Z675" s="3"/>
      <c r="AA675" s="3"/>
      <c r="AB675" s="3"/>
      <c r="AC675" s="3"/>
      <c r="AD675" s="32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4"/>
      <c r="AT675" s="3"/>
      <c r="AU675" s="3"/>
      <c r="AV675" s="3"/>
      <c r="AW675" s="3"/>
      <c r="AX675" s="4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84"/>
      <c r="BZ675" s="84"/>
      <c r="CA675" s="84"/>
      <c r="CB675" s="84"/>
      <c r="CC675" s="84"/>
      <c r="CD675" s="84"/>
      <c r="CE675" s="84"/>
      <c r="CF675" s="84"/>
      <c r="CG675" s="84"/>
      <c r="CH675" s="84"/>
      <c r="CI675" s="84"/>
      <c r="CJ675" s="84"/>
      <c r="CK675" s="84"/>
      <c r="CL675" s="84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220"/>
      <c r="CY675" s="220"/>
      <c r="CZ675" s="220"/>
      <c r="DA675" s="220"/>
      <c r="DB675" s="237"/>
      <c r="DC675" s="238"/>
      <c r="DD675" s="238"/>
      <c r="DE675" s="238"/>
      <c r="DF675" s="238"/>
      <c r="DG675" s="238"/>
      <c r="DH675" s="238"/>
      <c r="DI675" s="238"/>
      <c r="DJ675" s="238"/>
      <c r="DK675" s="238"/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38"/>
      <c r="DW675" s="238"/>
      <c r="DX675" s="238"/>
      <c r="DY675" s="238"/>
      <c r="DZ675" s="238"/>
      <c r="EA675" s="238"/>
      <c r="EB675" s="238"/>
      <c r="EC675" s="238"/>
      <c r="ED675" s="3"/>
      <c r="EE675" s="3"/>
      <c r="EF675" s="3"/>
      <c r="EG675" s="3"/>
      <c r="EH675" s="3"/>
    </row>
    <row r="676" spans="1:138" s="82" customFormat="1" x14ac:dyDescent="0.2">
      <c r="A676" s="3"/>
      <c r="B676" s="167"/>
      <c r="C676" s="3"/>
      <c r="D676" s="3"/>
      <c r="E676" s="31"/>
      <c r="F676" s="133"/>
      <c r="G676" s="3"/>
      <c r="H676" s="31"/>
      <c r="I676" s="31"/>
      <c r="J676" s="3"/>
      <c r="K676" s="3"/>
      <c r="L676" s="3"/>
      <c r="M676" s="3"/>
      <c r="N676" s="3"/>
      <c r="O676" s="3"/>
      <c r="P676" s="3"/>
      <c r="Q676" s="3"/>
      <c r="R676" s="32"/>
      <c r="S676" s="32"/>
      <c r="T676" s="3"/>
      <c r="U676" s="33"/>
      <c r="V676" s="33"/>
      <c r="W676" s="3"/>
      <c r="X676" s="3"/>
      <c r="Y676" s="3"/>
      <c r="Z676" s="3"/>
      <c r="AA676" s="3"/>
      <c r="AB676" s="3"/>
      <c r="AC676" s="3"/>
      <c r="AD676" s="32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4"/>
      <c r="AT676" s="3"/>
      <c r="AU676" s="3"/>
      <c r="AV676" s="3"/>
      <c r="AW676" s="3"/>
      <c r="AX676" s="4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84"/>
      <c r="BZ676" s="84"/>
      <c r="CA676" s="84"/>
      <c r="CB676" s="84"/>
      <c r="CC676" s="84"/>
      <c r="CD676" s="84"/>
      <c r="CE676" s="84"/>
      <c r="CF676" s="84"/>
      <c r="CG676" s="84"/>
      <c r="CH676" s="84"/>
      <c r="CI676" s="84"/>
      <c r="CJ676" s="84"/>
      <c r="CK676" s="84"/>
      <c r="CL676" s="84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220"/>
      <c r="CY676" s="220"/>
      <c r="CZ676" s="220"/>
      <c r="DA676" s="220"/>
      <c r="DB676" s="237"/>
      <c r="DC676" s="238"/>
      <c r="DD676" s="238"/>
      <c r="DE676" s="238"/>
      <c r="DF676" s="238"/>
      <c r="DG676" s="238"/>
      <c r="DH676" s="238"/>
      <c r="DI676" s="238"/>
      <c r="DJ676" s="238"/>
      <c r="DK676" s="238"/>
      <c r="DL676" s="238"/>
      <c r="DM676" s="238"/>
      <c r="DN676" s="238"/>
      <c r="DO676" s="238"/>
      <c r="DP676" s="238"/>
      <c r="DQ676" s="238"/>
      <c r="DR676" s="238"/>
      <c r="DS676" s="238"/>
      <c r="DT676" s="238"/>
      <c r="DU676" s="238"/>
      <c r="DV676" s="238"/>
      <c r="DW676" s="238"/>
      <c r="DX676" s="238"/>
      <c r="DY676" s="238"/>
      <c r="DZ676" s="238"/>
      <c r="EA676" s="238"/>
      <c r="EB676" s="238"/>
      <c r="EC676" s="238"/>
      <c r="ED676" s="3"/>
      <c r="EE676" s="3"/>
      <c r="EF676" s="3"/>
      <c r="EG676" s="3"/>
      <c r="EH676" s="3"/>
    </row>
    <row r="677" spans="1:138" s="82" customFormat="1" x14ac:dyDescent="0.2">
      <c r="A677" s="3"/>
      <c r="B677" s="167"/>
      <c r="C677" s="3"/>
      <c r="D677" s="3"/>
      <c r="E677" s="31"/>
      <c r="F677" s="133"/>
      <c r="G677" s="3"/>
      <c r="H677" s="31"/>
      <c r="I677" s="31"/>
      <c r="J677" s="3"/>
      <c r="K677" s="3"/>
      <c r="L677" s="3"/>
      <c r="M677" s="3"/>
      <c r="N677" s="3"/>
      <c r="O677" s="3"/>
      <c r="P677" s="3"/>
      <c r="Q677" s="3"/>
      <c r="R677" s="32"/>
      <c r="S677" s="32"/>
      <c r="T677" s="3"/>
      <c r="U677" s="33"/>
      <c r="V677" s="33"/>
      <c r="W677" s="3"/>
      <c r="X677" s="3"/>
      <c r="Y677" s="3"/>
      <c r="Z677" s="3"/>
      <c r="AA677" s="3"/>
      <c r="AB677" s="3"/>
      <c r="AC677" s="3"/>
      <c r="AD677" s="32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4"/>
      <c r="AT677" s="3"/>
      <c r="AU677" s="3"/>
      <c r="AV677" s="3"/>
      <c r="AW677" s="3"/>
      <c r="AX677" s="4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84"/>
      <c r="BZ677" s="84"/>
      <c r="CA677" s="84"/>
      <c r="CB677" s="84"/>
      <c r="CC677" s="84"/>
      <c r="CD677" s="84"/>
      <c r="CE677" s="84"/>
      <c r="CF677" s="84"/>
      <c r="CG677" s="84"/>
      <c r="CH677" s="84"/>
      <c r="CI677" s="84"/>
      <c r="CJ677" s="84"/>
      <c r="CK677" s="84"/>
      <c r="CL677" s="84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220"/>
      <c r="CY677" s="220"/>
      <c r="CZ677" s="220"/>
      <c r="DA677" s="220"/>
      <c r="DB677" s="237"/>
      <c r="DC677" s="238"/>
      <c r="DD677" s="238"/>
      <c r="DE677" s="238"/>
      <c r="DF677" s="238"/>
      <c r="DG677" s="238"/>
      <c r="DH677" s="238"/>
      <c r="DI677" s="238"/>
      <c r="DJ677" s="238"/>
      <c r="DK677" s="238"/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38"/>
      <c r="DW677" s="238"/>
      <c r="DX677" s="238"/>
      <c r="DY677" s="238"/>
      <c r="DZ677" s="238"/>
      <c r="EA677" s="238"/>
      <c r="EB677" s="238"/>
      <c r="EC677" s="238"/>
      <c r="ED677" s="3"/>
      <c r="EE677" s="3"/>
      <c r="EF677" s="3"/>
      <c r="EG677" s="3"/>
      <c r="EH677" s="3"/>
    </row>
    <row r="678" spans="1:138" s="82" customFormat="1" x14ac:dyDescent="0.2">
      <c r="A678" s="3"/>
      <c r="B678" s="167"/>
      <c r="C678" s="3"/>
      <c r="D678" s="3"/>
      <c r="E678" s="31"/>
      <c r="F678" s="133"/>
      <c r="G678" s="3"/>
      <c r="H678" s="31"/>
      <c r="I678" s="31"/>
      <c r="J678" s="3"/>
      <c r="K678" s="3"/>
      <c r="L678" s="3"/>
      <c r="M678" s="3"/>
      <c r="N678" s="3"/>
      <c r="O678" s="3"/>
      <c r="P678" s="3"/>
      <c r="Q678" s="3"/>
      <c r="R678" s="32"/>
      <c r="S678" s="32"/>
      <c r="T678" s="3"/>
      <c r="U678" s="33"/>
      <c r="V678" s="33"/>
      <c r="W678" s="3"/>
      <c r="X678" s="3"/>
      <c r="Y678" s="3"/>
      <c r="Z678" s="3"/>
      <c r="AA678" s="3"/>
      <c r="AB678" s="3"/>
      <c r="AC678" s="3"/>
      <c r="AD678" s="32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4"/>
      <c r="AT678" s="3"/>
      <c r="AU678" s="3"/>
      <c r="AV678" s="3"/>
      <c r="AW678" s="3"/>
      <c r="AX678" s="4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84"/>
      <c r="BZ678" s="84"/>
      <c r="CA678" s="84"/>
      <c r="CB678" s="84"/>
      <c r="CC678" s="84"/>
      <c r="CD678" s="84"/>
      <c r="CE678" s="84"/>
      <c r="CF678" s="84"/>
      <c r="CG678" s="84"/>
      <c r="CH678" s="84"/>
      <c r="CI678" s="84"/>
      <c r="CJ678" s="84"/>
      <c r="CK678" s="84"/>
      <c r="CL678" s="84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220"/>
      <c r="CY678" s="220"/>
      <c r="CZ678" s="220"/>
      <c r="DA678" s="220"/>
      <c r="DB678" s="237"/>
      <c r="DC678" s="238"/>
      <c r="DD678" s="238"/>
      <c r="DE678" s="238"/>
      <c r="DF678" s="238"/>
      <c r="DG678" s="238"/>
      <c r="DH678" s="238"/>
      <c r="DI678" s="238"/>
      <c r="DJ678" s="238"/>
      <c r="DK678" s="238"/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38"/>
      <c r="DW678" s="238"/>
      <c r="DX678" s="238"/>
      <c r="DY678" s="238"/>
      <c r="DZ678" s="238"/>
      <c r="EA678" s="238"/>
      <c r="EB678" s="238"/>
      <c r="EC678" s="238"/>
      <c r="ED678" s="3"/>
      <c r="EE678" s="3"/>
      <c r="EF678" s="3"/>
      <c r="EG678" s="3"/>
      <c r="EH678" s="3"/>
    </row>
    <row r="679" spans="1:138" s="82" customFormat="1" x14ac:dyDescent="0.2">
      <c r="A679" s="3"/>
      <c r="B679" s="167"/>
      <c r="C679" s="3"/>
      <c r="D679" s="3"/>
      <c r="E679" s="31"/>
      <c r="F679" s="133"/>
      <c r="G679" s="3"/>
      <c r="H679" s="31"/>
      <c r="I679" s="31"/>
      <c r="J679" s="3"/>
      <c r="K679" s="3"/>
      <c r="L679" s="3"/>
      <c r="M679" s="3"/>
      <c r="N679" s="3"/>
      <c r="O679" s="3"/>
      <c r="P679" s="3"/>
      <c r="Q679" s="3"/>
      <c r="R679" s="32"/>
      <c r="S679" s="32"/>
      <c r="T679" s="3"/>
      <c r="U679" s="33"/>
      <c r="V679" s="33"/>
      <c r="W679" s="3"/>
      <c r="X679" s="3"/>
      <c r="Y679" s="3"/>
      <c r="Z679" s="3"/>
      <c r="AA679" s="3"/>
      <c r="AB679" s="3"/>
      <c r="AC679" s="3"/>
      <c r="AD679" s="32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4"/>
      <c r="AT679" s="3"/>
      <c r="AU679" s="3"/>
      <c r="AV679" s="3"/>
      <c r="AW679" s="3"/>
      <c r="AX679" s="4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84"/>
      <c r="BZ679" s="84"/>
      <c r="CA679" s="84"/>
      <c r="CB679" s="84"/>
      <c r="CC679" s="84"/>
      <c r="CD679" s="84"/>
      <c r="CE679" s="84"/>
      <c r="CF679" s="84"/>
      <c r="CG679" s="84"/>
      <c r="CH679" s="84"/>
      <c r="CI679" s="84"/>
      <c r="CJ679" s="84"/>
      <c r="CK679" s="84"/>
      <c r="CL679" s="84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220"/>
      <c r="CY679" s="220"/>
      <c r="CZ679" s="220"/>
      <c r="DA679" s="220"/>
      <c r="DB679" s="237"/>
      <c r="DC679" s="238"/>
      <c r="DD679" s="238"/>
      <c r="DE679" s="238"/>
      <c r="DF679" s="238"/>
      <c r="DG679" s="238"/>
      <c r="DH679" s="238"/>
      <c r="DI679" s="238"/>
      <c r="DJ679" s="238"/>
      <c r="DK679" s="238"/>
      <c r="DL679" s="238"/>
      <c r="DM679" s="238"/>
      <c r="DN679" s="238"/>
      <c r="DO679" s="238"/>
      <c r="DP679" s="238"/>
      <c r="DQ679" s="238"/>
      <c r="DR679" s="238"/>
      <c r="DS679" s="238"/>
      <c r="DT679" s="238"/>
      <c r="DU679" s="238"/>
      <c r="DV679" s="238"/>
      <c r="DW679" s="238"/>
      <c r="DX679" s="238"/>
      <c r="DY679" s="238"/>
      <c r="DZ679" s="238"/>
      <c r="EA679" s="238"/>
      <c r="EB679" s="238"/>
      <c r="EC679" s="238"/>
      <c r="ED679" s="3"/>
      <c r="EE679" s="3"/>
      <c r="EF679" s="3"/>
      <c r="EG679" s="3"/>
      <c r="EH679" s="3"/>
    </row>
    <row r="680" spans="1:138" s="82" customFormat="1" x14ac:dyDescent="0.2">
      <c r="A680" s="3"/>
      <c r="B680" s="167"/>
      <c r="C680" s="3"/>
      <c r="D680" s="3"/>
      <c r="E680" s="31"/>
      <c r="F680" s="133"/>
      <c r="G680" s="3"/>
      <c r="H680" s="31"/>
      <c r="I680" s="31"/>
      <c r="J680" s="3"/>
      <c r="K680" s="3"/>
      <c r="L680" s="3"/>
      <c r="M680" s="3"/>
      <c r="N680" s="3"/>
      <c r="O680" s="3"/>
      <c r="P680" s="3"/>
      <c r="Q680" s="3"/>
      <c r="R680" s="32"/>
      <c r="S680" s="32"/>
      <c r="T680" s="3"/>
      <c r="U680" s="33"/>
      <c r="V680" s="33"/>
      <c r="W680" s="3"/>
      <c r="X680" s="3"/>
      <c r="Y680" s="3"/>
      <c r="Z680" s="3"/>
      <c r="AA680" s="3"/>
      <c r="AB680" s="3"/>
      <c r="AC680" s="3"/>
      <c r="AD680" s="32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4"/>
      <c r="AT680" s="3"/>
      <c r="AU680" s="3"/>
      <c r="AV680" s="3"/>
      <c r="AW680" s="3"/>
      <c r="AX680" s="4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220"/>
      <c r="CY680" s="220"/>
      <c r="CZ680" s="220"/>
      <c r="DA680" s="220"/>
      <c r="DB680" s="237"/>
      <c r="DC680" s="238"/>
      <c r="DD680" s="238"/>
      <c r="DE680" s="238"/>
      <c r="DF680" s="238"/>
      <c r="DG680" s="238"/>
      <c r="DH680" s="238"/>
      <c r="DI680" s="238"/>
      <c r="DJ680" s="238"/>
      <c r="DK680" s="238"/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38"/>
      <c r="DW680" s="238"/>
      <c r="DX680" s="238"/>
      <c r="DY680" s="238"/>
      <c r="DZ680" s="238"/>
      <c r="EA680" s="238"/>
      <c r="EB680" s="238"/>
      <c r="EC680" s="238"/>
      <c r="ED680" s="3"/>
      <c r="EE680" s="3"/>
      <c r="EF680" s="3"/>
      <c r="EG680" s="3"/>
      <c r="EH680" s="3"/>
    </row>
    <row r="681" spans="1:138" s="82" customFormat="1" x14ac:dyDescent="0.2">
      <c r="A681" s="3"/>
      <c r="B681" s="167"/>
      <c r="C681" s="3"/>
      <c r="D681" s="3"/>
      <c r="E681" s="31"/>
      <c r="F681" s="133"/>
      <c r="G681" s="3"/>
      <c r="H681" s="31"/>
      <c r="I681" s="31"/>
      <c r="J681" s="3"/>
      <c r="K681" s="3"/>
      <c r="L681" s="3"/>
      <c r="M681" s="3"/>
      <c r="N681" s="3"/>
      <c r="O681" s="3"/>
      <c r="P681" s="3"/>
      <c r="Q681" s="3"/>
      <c r="R681" s="32"/>
      <c r="S681" s="32"/>
      <c r="T681" s="3"/>
      <c r="U681" s="33"/>
      <c r="V681" s="33"/>
      <c r="W681" s="3"/>
      <c r="X681" s="3"/>
      <c r="Y681" s="3"/>
      <c r="Z681" s="3"/>
      <c r="AA681" s="3"/>
      <c r="AB681" s="3"/>
      <c r="AC681" s="3"/>
      <c r="AD681" s="3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4"/>
      <c r="AT681" s="3"/>
      <c r="AU681" s="3"/>
      <c r="AV681" s="3"/>
      <c r="AW681" s="3"/>
      <c r="AX681" s="4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220"/>
      <c r="CY681" s="220"/>
      <c r="CZ681" s="220"/>
      <c r="DA681" s="220"/>
      <c r="DB681" s="237"/>
      <c r="DC681" s="238"/>
      <c r="DD681" s="238"/>
      <c r="DE681" s="238"/>
      <c r="DF681" s="238"/>
      <c r="DG681" s="238"/>
      <c r="DH681" s="238"/>
      <c r="DI681" s="238"/>
      <c r="DJ681" s="238"/>
      <c r="DK681" s="238"/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38"/>
      <c r="DW681" s="238"/>
      <c r="DX681" s="238"/>
      <c r="DY681" s="238"/>
      <c r="DZ681" s="238"/>
      <c r="EA681" s="238"/>
      <c r="EB681" s="238"/>
      <c r="EC681" s="238"/>
      <c r="ED681" s="3"/>
      <c r="EE681" s="3"/>
      <c r="EF681" s="3"/>
      <c r="EG681" s="3"/>
      <c r="EH681" s="3"/>
    </row>
    <row r="682" spans="1:138" s="82" customFormat="1" x14ac:dyDescent="0.2">
      <c r="A682" s="3"/>
      <c r="B682" s="167"/>
      <c r="C682" s="3"/>
      <c r="D682" s="3"/>
      <c r="E682" s="31"/>
      <c r="F682" s="133"/>
      <c r="G682" s="3"/>
      <c r="H682" s="31"/>
      <c r="I682" s="31"/>
      <c r="J682" s="3"/>
      <c r="K682" s="3"/>
      <c r="L682" s="3"/>
      <c r="M682" s="3"/>
      <c r="N682" s="3"/>
      <c r="O682" s="3"/>
      <c r="P682" s="3"/>
      <c r="Q682" s="3"/>
      <c r="R682" s="32"/>
      <c r="S682" s="32"/>
      <c r="T682" s="3"/>
      <c r="U682" s="33"/>
      <c r="V682" s="33"/>
      <c r="W682" s="3"/>
      <c r="X682" s="3"/>
      <c r="Y682" s="3"/>
      <c r="Z682" s="3"/>
      <c r="AA682" s="3"/>
      <c r="AB682" s="3"/>
      <c r="AC682" s="3"/>
      <c r="AD682" s="32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4"/>
      <c r="AT682" s="3"/>
      <c r="AU682" s="3"/>
      <c r="AV682" s="3"/>
      <c r="AW682" s="3"/>
      <c r="AX682" s="4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84"/>
      <c r="BZ682" s="84"/>
      <c r="CA682" s="84"/>
      <c r="CB682" s="84"/>
      <c r="CC682" s="84"/>
      <c r="CD682" s="84"/>
      <c r="CE682" s="84"/>
      <c r="CF682" s="84"/>
      <c r="CG682" s="84"/>
      <c r="CH682" s="84"/>
      <c r="CI682" s="84"/>
      <c r="CJ682" s="84"/>
      <c r="CK682" s="84"/>
      <c r="CL682" s="84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220"/>
      <c r="CY682" s="220"/>
      <c r="CZ682" s="220"/>
      <c r="DA682" s="220"/>
      <c r="DB682" s="237"/>
      <c r="DC682" s="238"/>
      <c r="DD682" s="238"/>
      <c r="DE682" s="238"/>
      <c r="DF682" s="238"/>
      <c r="DG682" s="238"/>
      <c r="DH682" s="238"/>
      <c r="DI682" s="238"/>
      <c r="DJ682" s="238"/>
      <c r="DK682" s="238"/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38"/>
      <c r="DW682" s="238"/>
      <c r="DX682" s="238"/>
      <c r="DY682" s="238"/>
      <c r="DZ682" s="238"/>
      <c r="EA682" s="238"/>
      <c r="EB682" s="238"/>
      <c r="EC682" s="238"/>
      <c r="ED682" s="3"/>
      <c r="EE682" s="3"/>
      <c r="EF682" s="3"/>
      <c r="EG682" s="3"/>
      <c r="EH682" s="3"/>
    </row>
    <row r="683" spans="1:138" s="82" customFormat="1" x14ac:dyDescent="0.2">
      <c r="A683" s="3"/>
      <c r="B683" s="167"/>
      <c r="C683" s="3"/>
      <c r="D683" s="3"/>
      <c r="E683" s="31"/>
      <c r="F683" s="133"/>
      <c r="G683" s="3"/>
      <c r="H683" s="31"/>
      <c r="I683" s="31"/>
      <c r="J683" s="3"/>
      <c r="K683" s="3"/>
      <c r="L683" s="3"/>
      <c r="M683" s="3"/>
      <c r="N683" s="3"/>
      <c r="O683" s="3"/>
      <c r="P683" s="3"/>
      <c r="Q683" s="3"/>
      <c r="R683" s="32"/>
      <c r="S683" s="32"/>
      <c r="T683" s="3"/>
      <c r="U683" s="33"/>
      <c r="V683" s="33"/>
      <c r="W683" s="3"/>
      <c r="X683" s="3"/>
      <c r="Y683" s="3"/>
      <c r="Z683" s="3"/>
      <c r="AA683" s="3"/>
      <c r="AB683" s="3"/>
      <c r="AC683" s="3"/>
      <c r="AD683" s="32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4"/>
      <c r="AT683" s="3"/>
      <c r="AU683" s="3"/>
      <c r="AV683" s="3"/>
      <c r="AW683" s="3"/>
      <c r="AX683" s="4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84"/>
      <c r="BZ683" s="84"/>
      <c r="CA683" s="84"/>
      <c r="CB683" s="84"/>
      <c r="CC683" s="84"/>
      <c r="CD683" s="84"/>
      <c r="CE683" s="84"/>
      <c r="CF683" s="84"/>
      <c r="CG683" s="84"/>
      <c r="CH683" s="84"/>
      <c r="CI683" s="84"/>
      <c r="CJ683" s="84"/>
      <c r="CK683" s="84"/>
      <c r="CL683" s="84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220"/>
      <c r="CY683" s="220"/>
      <c r="CZ683" s="220"/>
      <c r="DA683" s="220"/>
      <c r="DB683" s="237"/>
      <c r="DC683" s="238"/>
      <c r="DD683" s="238"/>
      <c r="DE683" s="238"/>
      <c r="DF683" s="238"/>
      <c r="DG683" s="238"/>
      <c r="DH683" s="238"/>
      <c r="DI683" s="238"/>
      <c r="DJ683" s="238"/>
      <c r="DK683" s="238"/>
      <c r="DL683" s="238"/>
      <c r="DM683" s="238"/>
      <c r="DN683" s="238"/>
      <c r="DO683" s="238"/>
      <c r="DP683" s="238"/>
      <c r="DQ683" s="238"/>
      <c r="DR683" s="238"/>
      <c r="DS683" s="238"/>
      <c r="DT683" s="238"/>
      <c r="DU683" s="238"/>
      <c r="DV683" s="238"/>
      <c r="DW683" s="238"/>
      <c r="DX683" s="238"/>
      <c r="DY683" s="238"/>
      <c r="DZ683" s="238"/>
      <c r="EA683" s="238"/>
      <c r="EB683" s="238"/>
      <c r="EC683" s="238"/>
      <c r="ED683" s="3"/>
      <c r="EE683" s="3"/>
      <c r="EF683" s="3"/>
      <c r="EG683" s="3"/>
      <c r="EH683" s="3"/>
    </row>
    <row r="684" spans="1:138" s="82" customFormat="1" x14ac:dyDescent="0.2">
      <c r="A684" s="3"/>
      <c r="B684" s="167"/>
      <c r="C684" s="3"/>
      <c r="D684" s="3"/>
      <c r="E684" s="31"/>
      <c r="F684" s="133"/>
      <c r="G684" s="3"/>
      <c r="H684" s="31"/>
      <c r="I684" s="31"/>
      <c r="J684" s="3"/>
      <c r="K684" s="3"/>
      <c r="L684" s="3"/>
      <c r="M684" s="3"/>
      <c r="N684" s="3"/>
      <c r="O684" s="3"/>
      <c r="P684" s="3"/>
      <c r="Q684" s="3"/>
      <c r="R684" s="32"/>
      <c r="S684" s="32"/>
      <c r="T684" s="3"/>
      <c r="U684" s="33"/>
      <c r="V684" s="33"/>
      <c r="W684" s="3"/>
      <c r="X684" s="3"/>
      <c r="Y684" s="3"/>
      <c r="Z684" s="3"/>
      <c r="AA684" s="3"/>
      <c r="AB684" s="3"/>
      <c r="AC684" s="3"/>
      <c r="AD684" s="32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4"/>
      <c r="AT684" s="3"/>
      <c r="AU684" s="3"/>
      <c r="AV684" s="3"/>
      <c r="AW684" s="3"/>
      <c r="AX684" s="4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84"/>
      <c r="BZ684" s="84"/>
      <c r="CA684" s="84"/>
      <c r="CB684" s="84"/>
      <c r="CC684" s="84"/>
      <c r="CD684" s="84"/>
      <c r="CE684" s="84"/>
      <c r="CF684" s="84"/>
      <c r="CG684" s="84"/>
      <c r="CH684" s="84"/>
      <c r="CI684" s="84"/>
      <c r="CJ684" s="84"/>
      <c r="CK684" s="84"/>
      <c r="CL684" s="84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220"/>
      <c r="CY684" s="220"/>
      <c r="CZ684" s="220"/>
      <c r="DA684" s="220"/>
      <c r="DB684" s="237"/>
      <c r="DC684" s="238"/>
      <c r="DD684" s="238"/>
      <c r="DE684" s="238"/>
      <c r="DF684" s="238"/>
      <c r="DG684" s="238"/>
      <c r="DH684" s="238"/>
      <c r="DI684" s="238"/>
      <c r="DJ684" s="238"/>
      <c r="DK684" s="238"/>
      <c r="DL684" s="238"/>
      <c r="DM684" s="238"/>
      <c r="DN684" s="238"/>
      <c r="DO684" s="238"/>
      <c r="DP684" s="238"/>
      <c r="DQ684" s="238"/>
      <c r="DR684" s="238"/>
      <c r="DS684" s="238"/>
      <c r="DT684" s="238"/>
      <c r="DU684" s="238"/>
      <c r="DV684" s="238"/>
      <c r="DW684" s="238"/>
      <c r="DX684" s="238"/>
      <c r="DY684" s="238"/>
      <c r="DZ684" s="238"/>
      <c r="EA684" s="238"/>
      <c r="EB684" s="238"/>
      <c r="EC684" s="238"/>
      <c r="ED684" s="3"/>
      <c r="EE684" s="3"/>
      <c r="EF684" s="3"/>
      <c r="EG684" s="3"/>
      <c r="EH684" s="3"/>
    </row>
    <row r="685" spans="1:138" s="82" customFormat="1" x14ac:dyDescent="0.2">
      <c r="A685" s="3"/>
      <c r="B685" s="167"/>
      <c r="C685" s="3"/>
      <c r="D685" s="3"/>
      <c r="E685" s="31"/>
      <c r="F685" s="133"/>
      <c r="G685" s="3"/>
      <c r="H685" s="31"/>
      <c r="I685" s="31"/>
      <c r="J685" s="3"/>
      <c r="K685" s="3"/>
      <c r="L685" s="3"/>
      <c r="M685" s="3"/>
      <c r="N685" s="3"/>
      <c r="O685" s="3"/>
      <c r="P685" s="3"/>
      <c r="Q685" s="3"/>
      <c r="R685" s="32"/>
      <c r="S685" s="32"/>
      <c r="T685" s="3"/>
      <c r="U685" s="33"/>
      <c r="V685" s="33"/>
      <c r="W685" s="3"/>
      <c r="X685" s="3"/>
      <c r="Y685" s="3"/>
      <c r="Z685" s="3"/>
      <c r="AA685" s="3"/>
      <c r="AB685" s="3"/>
      <c r="AC685" s="3"/>
      <c r="AD685" s="32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4"/>
      <c r="AT685" s="3"/>
      <c r="AU685" s="3"/>
      <c r="AV685" s="3"/>
      <c r="AW685" s="3"/>
      <c r="AX685" s="4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84"/>
      <c r="BZ685" s="84"/>
      <c r="CA685" s="84"/>
      <c r="CB685" s="84"/>
      <c r="CC685" s="84"/>
      <c r="CD685" s="84"/>
      <c r="CE685" s="84"/>
      <c r="CF685" s="84"/>
      <c r="CG685" s="84"/>
      <c r="CH685" s="84"/>
      <c r="CI685" s="84"/>
      <c r="CJ685" s="84"/>
      <c r="CK685" s="84"/>
      <c r="CL685" s="84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220"/>
      <c r="CY685" s="220"/>
      <c r="CZ685" s="220"/>
      <c r="DA685" s="220"/>
      <c r="DB685" s="237"/>
      <c r="DC685" s="238"/>
      <c r="DD685" s="238"/>
      <c r="DE685" s="238"/>
      <c r="DF685" s="238"/>
      <c r="DG685" s="238"/>
      <c r="DH685" s="238"/>
      <c r="DI685" s="238"/>
      <c r="DJ685" s="238"/>
      <c r="DK685" s="238"/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38"/>
      <c r="DW685" s="238"/>
      <c r="DX685" s="238"/>
      <c r="DY685" s="238"/>
      <c r="DZ685" s="238"/>
      <c r="EA685" s="238"/>
      <c r="EB685" s="238"/>
      <c r="EC685" s="238"/>
      <c r="ED685" s="3"/>
      <c r="EE685" s="3"/>
      <c r="EF685" s="3"/>
      <c r="EG685" s="3"/>
      <c r="EH685" s="3"/>
    </row>
    <row r="686" spans="1:138" s="82" customFormat="1" x14ac:dyDescent="0.2">
      <c r="A686" s="3"/>
      <c r="B686" s="167"/>
      <c r="C686" s="3"/>
      <c r="D686" s="3"/>
      <c r="E686" s="31"/>
      <c r="F686" s="133"/>
      <c r="G686" s="3"/>
      <c r="H686" s="31"/>
      <c r="I686" s="31"/>
      <c r="J686" s="3"/>
      <c r="K686" s="3"/>
      <c r="L686" s="3"/>
      <c r="M686" s="3"/>
      <c r="N686" s="3"/>
      <c r="O686" s="3"/>
      <c r="P686" s="3"/>
      <c r="Q686" s="3"/>
      <c r="R686" s="32"/>
      <c r="S686" s="32"/>
      <c r="T686" s="3"/>
      <c r="U686" s="33"/>
      <c r="V686" s="33"/>
      <c r="W686" s="3"/>
      <c r="X686" s="3"/>
      <c r="Y686" s="3"/>
      <c r="Z686" s="3"/>
      <c r="AA686" s="3"/>
      <c r="AB686" s="3"/>
      <c r="AC686" s="3"/>
      <c r="AD686" s="32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4"/>
      <c r="AT686" s="3"/>
      <c r="AU686" s="3"/>
      <c r="AV686" s="3"/>
      <c r="AW686" s="3"/>
      <c r="AX686" s="4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220"/>
      <c r="CY686" s="220"/>
      <c r="CZ686" s="220"/>
      <c r="DA686" s="220"/>
      <c r="DB686" s="237"/>
      <c r="DC686" s="238"/>
      <c r="DD686" s="238"/>
      <c r="DE686" s="238"/>
      <c r="DF686" s="238"/>
      <c r="DG686" s="238"/>
      <c r="DH686" s="238"/>
      <c r="DI686" s="238"/>
      <c r="DJ686" s="238"/>
      <c r="DK686" s="238"/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38"/>
      <c r="DW686" s="238"/>
      <c r="DX686" s="238"/>
      <c r="DY686" s="238"/>
      <c r="DZ686" s="238"/>
      <c r="EA686" s="238"/>
      <c r="EB686" s="238"/>
      <c r="EC686" s="238"/>
      <c r="ED686" s="3"/>
      <c r="EE686" s="3"/>
      <c r="EF686" s="3"/>
      <c r="EG686" s="3"/>
      <c r="EH686" s="3"/>
    </row>
    <row r="687" spans="1:138" s="82" customFormat="1" x14ac:dyDescent="0.2">
      <c r="A687" s="3"/>
      <c r="B687" s="167"/>
      <c r="C687" s="3"/>
      <c r="D687" s="3"/>
      <c r="E687" s="31"/>
      <c r="F687" s="133"/>
      <c r="G687" s="3"/>
      <c r="H687" s="31"/>
      <c r="I687" s="31"/>
      <c r="J687" s="3"/>
      <c r="K687" s="3"/>
      <c r="L687" s="3"/>
      <c r="M687" s="3"/>
      <c r="N687" s="3"/>
      <c r="O687" s="3"/>
      <c r="P687" s="3"/>
      <c r="Q687" s="3"/>
      <c r="R687" s="32"/>
      <c r="S687" s="32"/>
      <c r="T687" s="3"/>
      <c r="U687" s="33"/>
      <c r="V687" s="33"/>
      <c r="W687" s="3"/>
      <c r="X687" s="3"/>
      <c r="Y687" s="3"/>
      <c r="Z687" s="3"/>
      <c r="AA687" s="3"/>
      <c r="AB687" s="3"/>
      <c r="AC687" s="3"/>
      <c r="AD687" s="32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4"/>
      <c r="AT687" s="3"/>
      <c r="AU687" s="3"/>
      <c r="AV687" s="3"/>
      <c r="AW687" s="3"/>
      <c r="AX687" s="4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220"/>
      <c r="CY687" s="220"/>
      <c r="CZ687" s="220"/>
      <c r="DA687" s="220"/>
      <c r="DB687" s="237"/>
      <c r="DC687" s="238"/>
      <c r="DD687" s="238"/>
      <c r="DE687" s="238"/>
      <c r="DF687" s="238"/>
      <c r="DG687" s="238"/>
      <c r="DH687" s="238"/>
      <c r="DI687" s="238"/>
      <c r="DJ687" s="238"/>
      <c r="DK687" s="238"/>
      <c r="DL687" s="238"/>
      <c r="DM687" s="238"/>
      <c r="DN687" s="238"/>
      <c r="DO687" s="238"/>
      <c r="DP687" s="238"/>
      <c r="DQ687" s="238"/>
      <c r="DR687" s="238"/>
      <c r="DS687" s="238"/>
      <c r="DT687" s="238"/>
      <c r="DU687" s="238"/>
      <c r="DV687" s="238"/>
      <c r="DW687" s="238"/>
      <c r="DX687" s="238"/>
      <c r="DY687" s="238"/>
      <c r="DZ687" s="238"/>
      <c r="EA687" s="238"/>
      <c r="EB687" s="238"/>
      <c r="EC687" s="238"/>
      <c r="ED687" s="3"/>
      <c r="EE687" s="3"/>
      <c r="EF687" s="3"/>
      <c r="EG687" s="3"/>
      <c r="EH687" s="3"/>
    </row>
    <row r="688" spans="1:138" s="82" customFormat="1" x14ac:dyDescent="0.2">
      <c r="A688" s="3"/>
      <c r="B688" s="167"/>
      <c r="C688" s="3"/>
      <c r="D688" s="3"/>
      <c r="E688" s="31"/>
      <c r="F688" s="133"/>
      <c r="G688" s="3"/>
      <c r="H688" s="31"/>
      <c r="I688" s="31"/>
      <c r="J688" s="3"/>
      <c r="K688" s="3"/>
      <c r="L688" s="3"/>
      <c r="M688" s="3"/>
      <c r="N688" s="3"/>
      <c r="O688" s="3"/>
      <c r="P688" s="3"/>
      <c r="Q688" s="3"/>
      <c r="R688" s="32"/>
      <c r="S688" s="32"/>
      <c r="T688" s="3"/>
      <c r="U688" s="33"/>
      <c r="V688" s="33"/>
      <c r="W688" s="3"/>
      <c r="X688" s="3"/>
      <c r="Y688" s="3"/>
      <c r="Z688" s="3"/>
      <c r="AA688" s="3"/>
      <c r="AB688" s="3"/>
      <c r="AC688" s="3"/>
      <c r="AD688" s="32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4"/>
      <c r="AT688" s="3"/>
      <c r="AU688" s="3"/>
      <c r="AV688" s="3"/>
      <c r="AW688" s="3"/>
      <c r="AX688" s="4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220"/>
      <c r="CY688" s="220"/>
      <c r="CZ688" s="220"/>
      <c r="DA688" s="220"/>
      <c r="DB688" s="237"/>
      <c r="DC688" s="238"/>
      <c r="DD688" s="238"/>
      <c r="DE688" s="238"/>
      <c r="DF688" s="238"/>
      <c r="DG688" s="238"/>
      <c r="DH688" s="238"/>
      <c r="DI688" s="238"/>
      <c r="DJ688" s="238"/>
      <c r="DK688" s="238"/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38"/>
      <c r="DW688" s="238"/>
      <c r="DX688" s="238"/>
      <c r="DY688" s="238"/>
      <c r="DZ688" s="238"/>
      <c r="EA688" s="238"/>
      <c r="EB688" s="238"/>
      <c r="EC688" s="238"/>
      <c r="ED688" s="3"/>
      <c r="EE688" s="3"/>
      <c r="EF688" s="3"/>
      <c r="EG688" s="3"/>
      <c r="EH688" s="3"/>
    </row>
    <row r="689" spans="1:138" s="82" customFormat="1" x14ac:dyDescent="0.2">
      <c r="A689" s="3"/>
      <c r="B689" s="167"/>
      <c r="C689" s="3"/>
      <c r="D689" s="3"/>
      <c r="E689" s="31"/>
      <c r="F689" s="133"/>
      <c r="G689" s="3"/>
      <c r="H689" s="31"/>
      <c r="I689" s="31"/>
      <c r="J689" s="3"/>
      <c r="K689" s="3"/>
      <c r="L689" s="3"/>
      <c r="M689" s="3"/>
      <c r="N689" s="3"/>
      <c r="O689" s="3"/>
      <c r="P689" s="3"/>
      <c r="Q689" s="3"/>
      <c r="R689" s="32"/>
      <c r="S689" s="32"/>
      <c r="T689" s="3"/>
      <c r="U689" s="33"/>
      <c r="V689" s="33"/>
      <c r="W689" s="3"/>
      <c r="X689" s="3"/>
      <c r="Y689" s="3"/>
      <c r="Z689" s="3"/>
      <c r="AA689" s="3"/>
      <c r="AB689" s="3"/>
      <c r="AC689" s="3"/>
      <c r="AD689" s="32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4"/>
      <c r="AT689" s="3"/>
      <c r="AU689" s="3"/>
      <c r="AV689" s="3"/>
      <c r="AW689" s="3"/>
      <c r="AX689" s="4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84"/>
      <c r="BZ689" s="84"/>
      <c r="CA689" s="84"/>
      <c r="CB689" s="84"/>
      <c r="CC689" s="84"/>
      <c r="CD689" s="84"/>
      <c r="CE689" s="84"/>
      <c r="CF689" s="84"/>
      <c r="CG689" s="84"/>
      <c r="CH689" s="84"/>
      <c r="CI689" s="84"/>
      <c r="CJ689" s="84"/>
      <c r="CK689" s="84"/>
      <c r="CL689" s="84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220"/>
      <c r="CY689" s="220"/>
      <c r="CZ689" s="220"/>
      <c r="DA689" s="220"/>
      <c r="DB689" s="237"/>
      <c r="DC689" s="238"/>
      <c r="DD689" s="238"/>
      <c r="DE689" s="238"/>
      <c r="DF689" s="238"/>
      <c r="DG689" s="238"/>
      <c r="DH689" s="238"/>
      <c r="DI689" s="238"/>
      <c r="DJ689" s="238"/>
      <c r="DK689" s="238"/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38"/>
      <c r="DW689" s="238"/>
      <c r="DX689" s="238"/>
      <c r="DY689" s="238"/>
      <c r="DZ689" s="238"/>
      <c r="EA689" s="238"/>
      <c r="EB689" s="238"/>
      <c r="EC689" s="238"/>
      <c r="ED689" s="3"/>
      <c r="EE689" s="3"/>
      <c r="EF689" s="3"/>
      <c r="EG689" s="3"/>
      <c r="EH689" s="3"/>
    </row>
    <row r="690" spans="1:138" s="82" customFormat="1" x14ac:dyDescent="0.2">
      <c r="A690" s="3"/>
      <c r="B690" s="167"/>
      <c r="C690" s="3"/>
      <c r="D690" s="3"/>
      <c r="E690" s="31"/>
      <c r="F690" s="133"/>
      <c r="G690" s="3"/>
      <c r="H690" s="31"/>
      <c r="I690" s="31"/>
      <c r="J690" s="3"/>
      <c r="K690" s="3"/>
      <c r="L690" s="3"/>
      <c r="M690" s="3"/>
      <c r="N690" s="3"/>
      <c r="O690" s="3"/>
      <c r="P690" s="3"/>
      <c r="Q690" s="3"/>
      <c r="R690" s="32"/>
      <c r="S690" s="32"/>
      <c r="T690" s="3"/>
      <c r="U690" s="33"/>
      <c r="V690" s="33"/>
      <c r="W690" s="3"/>
      <c r="X690" s="3"/>
      <c r="Y690" s="3"/>
      <c r="Z690" s="3"/>
      <c r="AA690" s="3"/>
      <c r="AB690" s="3"/>
      <c r="AC690" s="3"/>
      <c r="AD690" s="32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4"/>
      <c r="AT690" s="3"/>
      <c r="AU690" s="3"/>
      <c r="AV690" s="3"/>
      <c r="AW690" s="3"/>
      <c r="AX690" s="4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84"/>
      <c r="BZ690" s="84"/>
      <c r="CA690" s="84"/>
      <c r="CB690" s="84"/>
      <c r="CC690" s="84"/>
      <c r="CD690" s="84"/>
      <c r="CE690" s="84"/>
      <c r="CF690" s="84"/>
      <c r="CG690" s="84"/>
      <c r="CH690" s="84"/>
      <c r="CI690" s="84"/>
      <c r="CJ690" s="84"/>
      <c r="CK690" s="84"/>
      <c r="CL690" s="84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220"/>
      <c r="CY690" s="220"/>
      <c r="CZ690" s="220"/>
      <c r="DA690" s="220"/>
      <c r="DB690" s="237"/>
      <c r="DC690" s="238"/>
      <c r="DD690" s="238"/>
      <c r="DE690" s="238"/>
      <c r="DF690" s="238"/>
      <c r="DG690" s="238"/>
      <c r="DH690" s="238"/>
      <c r="DI690" s="238"/>
      <c r="DJ690" s="238"/>
      <c r="DK690" s="238"/>
      <c r="DL690" s="238"/>
      <c r="DM690" s="238"/>
      <c r="DN690" s="238"/>
      <c r="DO690" s="238"/>
      <c r="DP690" s="238"/>
      <c r="DQ690" s="238"/>
      <c r="DR690" s="238"/>
      <c r="DS690" s="238"/>
      <c r="DT690" s="238"/>
      <c r="DU690" s="238"/>
      <c r="DV690" s="238"/>
      <c r="DW690" s="238"/>
      <c r="DX690" s="238"/>
      <c r="DY690" s="238"/>
      <c r="DZ690" s="238"/>
      <c r="EA690" s="238"/>
      <c r="EB690" s="238"/>
      <c r="EC690" s="238"/>
      <c r="ED690" s="3"/>
      <c r="EE690" s="3"/>
      <c r="EF690" s="3"/>
      <c r="EG690" s="3"/>
      <c r="EH690" s="3"/>
    </row>
    <row r="691" spans="1:138" s="82" customFormat="1" x14ac:dyDescent="0.2">
      <c r="A691" s="3"/>
      <c r="B691" s="167"/>
      <c r="C691" s="3"/>
      <c r="D691" s="3"/>
      <c r="E691" s="31"/>
      <c r="F691" s="133"/>
      <c r="G691" s="3"/>
      <c r="H691" s="31"/>
      <c r="I691" s="31"/>
      <c r="J691" s="3"/>
      <c r="K691" s="3"/>
      <c r="L691" s="3"/>
      <c r="M691" s="3"/>
      <c r="N691" s="3"/>
      <c r="O691" s="3"/>
      <c r="P691" s="3"/>
      <c r="Q691" s="3"/>
      <c r="R691" s="32"/>
      <c r="S691" s="32"/>
      <c r="T691" s="3"/>
      <c r="U691" s="33"/>
      <c r="V691" s="33"/>
      <c r="W691" s="3"/>
      <c r="X691" s="3"/>
      <c r="Y691" s="3"/>
      <c r="Z691" s="3"/>
      <c r="AA691" s="3"/>
      <c r="AB691" s="3"/>
      <c r="AC691" s="3"/>
      <c r="AD691" s="32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4"/>
      <c r="AT691" s="3"/>
      <c r="AU691" s="3"/>
      <c r="AV691" s="3"/>
      <c r="AW691" s="3"/>
      <c r="AX691" s="4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84"/>
      <c r="BZ691" s="84"/>
      <c r="CA691" s="84"/>
      <c r="CB691" s="84"/>
      <c r="CC691" s="84"/>
      <c r="CD691" s="84"/>
      <c r="CE691" s="84"/>
      <c r="CF691" s="84"/>
      <c r="CG691" s="84"/>
      <c r="CH691" s="84"/>
      <c r="CI691" s="84"/>
      <c r="CJ691" s="84"/>
      <c r="CK691" s="84"/>
      <c r="CL691" s="84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220"/>
      <c r="CY691" s="220"/>
      <c r="CZ691" s="220"/>
      <c r="DA691" s="220"/>
      <c r="DB691" s="237"/>
      <c r="DC691" s="238"/>
      <c r="DD691" s="238"/>
      <c r="DE691" s="238"/>
      <c r="DF691" s="238"/>
      <c r="DG691" s="238"/>
      <c r="DH691" s="238"/>
      <c r="DI691" s="238"/>
      <c r="DJ691" s="238"/>
      <c r="DK691" s="238"/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38"/>
      <c r="DW691" s="238"/>
      <c r="DX691" s="238"/>
      <c r="DY691" s="238"/>
      <c r="DZ691" s="238"/>
      <c r="EA691" s="238"/>
      <c r="EB691" s="238"/>
      <c r="EC691" s="238"/>
      <c r="ED691" s="3"/>
      <c r="EE691" s="3"/>
      <c r="EF691" s="3"/>
      <c r="EG691" s="3"/>
      <c r="EH691" s="3"/>
    </row>
    <row r="692" spans="1:138" s="82" customFormat="1" x14ac:dyDescent="0.2">
      <c r="A692" s="3"/>
      <c r="B692" s="167"/>
      <c r="C692" s="3"/>
      <c r="D692" s="3"/>
      <c r="E692" s="31"/>
      <c r="F692" s="133"/>
      <c r="G692" s="3"/>
      <c r="H692" s="31"/>
      <c r="I692" s="31"/>
      <c r="J692" s="3"/>
      <c r="K692" s="3"/>
      <c r="L692" s="3"/>
      <c r="M692" s="3"/>
      <c r="N692" s="3"/>
      <c r="O692" s="3"/>
      <c r="P692" s="3"/>
      <c r="Q692" s="3"/>
      <c r="R692" s="32"/>
      <c r="S692" s="32"/>
      <c r="T692" s="3"/>
      <c r="U692" s="33"/>
      <c r="V692" s="33"/>
      <c r="W692" s="3"/>
      <c r="X692" s="3"/>
      <c r="Y692" s="3"/>
      <c r="Z692" s="3"/>
      <c r="AA692" s="3"/>
      <c r="AB692" s="3"/>
      <c r="AC692" s="3"/>
      <c r="AD692" s="32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4"/>
      <c r="AT692" s="3"/>
      <c r="AU692" s="3"/>
      <c r="AV692" s="3"/>
      <c r="AW692" s="3"/>
      <c r="AX692" s="4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84"/>
      <c r="BZ692" s="84"/>
      <c r="CA692" s="84"/>
      <c r="CB692" s="84"/>
      <c r="CC692" s="84"/>
      <c r="CD692" s="84"/>
      <c r="CE692" s="84"/>
      <c r="CF692" s="84"/>
      <c r="CG692" s="84"/>
      <c r="CH692" s="84"/>
      <c r="CI692" s="84"/>
      <c r="CJ692" s="84"/>
      <c r="CK692" s="84"/>
      <c r="CL692" s="84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220"/>
      <c r="CY692" s="220"/>
      <c r="CZ692" s="220"/>
      <c r="DA692" s="220"/>
      <c r="DB692" s="237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238"/>
      <c r="EC692" s="238"/>
      <c r="ED692" s="3"/>
      <c r="EE692" s="3"/>
      <c r="EF692" s="3"/>
      <c r="EG692" s="3"/>
      <c r="EH692" s="3"/>
    </row>
    <row r="693" spans="1:138" s="82" customFormat="1" x14ac:dyDescent="0.2">
      <c r="A693" s="3"/>
      <c r="B693" s="167"/>
      <c r="C693" s="3"/>
      <c r="D693" s="3"/>
      <c r="E693" s="31"/>
      <c r="F693" s="133"/>
      <c r="G693" s="3"/>
      <c r="H693" s="31"/>
      <c r="I693" s="31"/>
      <c r="J693" s="3"/>
      <c r="K693" s="3"/>
      <c r="L693" s="3"/>
      <c r="M693" s="3"/>
      <c r="N693" s="3"/>
      <c r="O693" s="3"/>
      <c r="P693" s="3"/>
      <c r="Q693" s="3"/>
      <c r="R693" s="32"/>
      <c r="S693" s="32"/>
      <c r="T693" s="3"/>
      <c r="U693" s="33"/>
      <c r="V693" s="33"/>
      <c r="W693" s="3"/>
      <c r="X693" s="3"/>
      <c r="Y693" s="3"/>
      <c r="Z693" s="3"/>
      <c r="AA693" s="3"/>
      <c r="AB693" s="3"/>
      <c r="AC693" s="3"/>
      <c r="AD693" s="32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4"/>
      <c r="AT693" s="3"/>
      <c r="AU693" s="3"/>
      <c r="AV693" s="3"/>
      <c r="AW693" s="3"/>
      <c r="AX693" s="4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84"/>
      <c r="BZ693" s="84"/>
      <c r="CA693" s="84"/>
      <c r="CB693" s="84"/>
      <c r="CC693" s="84"/>
      <c r="CD693" s="84"/>
      <c r="CE693" s="84"/>
      <c r="CF693" s="84"/>
      <c r="CG693" s="84"/>
      <c r="CH693" s="84"/>
      <c r="CI693" s="84"/>
      <c r="CJ693" s="84"/>
      <c r="CK693" s="84"/>
      <c r="CL693" s="84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220"/>
      <c r="CY693" s="220"/>
      <c r="CZ693" s="220"/>
      <c r="DA693" s="220"/>
      <c r="DB693" s="237"/>
      <c r="DC693" s="238"/>
      <c r="DD693" s="238"/>
      <c r="DE693" s="238"/>
      <c r="DF693" s="238"/>
      <c r="DG693" s="238"/>
      <c r="DH693" s="238"/>
      <c r="DI693" s="238"/>
      <c r="DJ693" s="238"/>
      <c r="DK693" s="238"/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38"/>
      <c r="DW693" s="238"/>
      <c r="DX693" s="238"/>
      <c r="DY693" s="238"/>
      <c r="DZ693" s="238"/>
      <c r="EA693" s="238"/>
      <c r="EB693" s="238"/>
      <c r="EC693" s="238"/>
      <c r="ED693" s="3"/>
      <c r="EE693" s="3"/>
      <c r="EF693" s="3"/>
      <c r="EG693" s="3"/>
      <c r="EH693" s="3"/>
    </row>
    <row r="694" spans="1:138" s="82" customFormat="1" x14ac:dyDescent="0.2">
      <c r="A694" s="3"/>
      <c r="B694" s="167"/>
      <c r="C694" s="3"/>
      <c r="D694" s="3"/>
      <c r="E694" s="31"/>
      <c r="F694" s="133"/>
      <c r="G694" s="3"/>
      <c r="H694" s="31"/>
      <c r="I694" s="31"/>
      <c r="J694" s="3"/>
      <c r="K694" s="3"/>
      <c r="L694" s="3"/>
      <c r="M694" s="3"/>
      <c r="N694" s="3"/>
      <c r="O694" s="3"/>
      <c r="P694" s="3"/>
      <c r="Q694" s="3"/>
      <c r="R694" s="32"/>
      <c r="S694" s="32"/>
      <c r="T694" s="3"/>
      <c r="U694" s="33"/>
      <c r="V694" s="33"/>
      <c r="W694" s="3"/>
      <c r="X694" s="3"/>
      <c r="Y694" s="3"/>
      <c r="Z694" s="3"/>
      <c r="AA694" s="3"/>
      <c r="AB694" s="3"/>
      <c r="AC694" s="3"/>
      <c r="AD694" s="32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4"/>
      <c r="AT694" s="3"/>
      <c r="AU694" s="3"/>
      <c r="AV694" s="3"/>
      <c r="AW694" s="3"/>
      <c r="AX694" s="4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84"/>
      <c r="BZ694" s="84"/>
      <c r="CA694" s="84"/>
      <c r="CB694" s="84"/>
      <c r="CC694" s="84"/>
      <c r="CD694" s="84"/>
      <c r="CE694" s="84"/>
      <c r="CF694" s="84"/>
      <c r="CG694" s="84"/>
      <c r="CH694" s="84"/>
      <c r="CI694" s="84"/>
      <c r="CJ694" s="84"/>
      <c r="CK694" s="84"/>
      <c r="CL694" s="84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220"/>
      <c r="CY694" s="220"/>
      <c r="CZ694" s="220"/>
      <c r="DA694" s="220"/>
      <c r="DB694" s="237"/>
      <c r="DC694" s="238"/>
      <c r="DD694" s="238"/>
      <c r="DE694" s="238"/>
      <c r="DF694" s="238"/>
      <c r="DG694" s="238"/>
      <c r="DH694" s="238"/>
      <c r="DI694" s="238"/>
      <c r="DJ694" s="238"/>
      <c r="DK694" s="238"/>
      <c r="DL694" s="238"/>
      <c r="DM694" s="238"/>
      <c r="DN694" s="238"/>
      <c r="DO694" s="238"/>
      <c r="DP694" s="238"/>
      <c r="DQ694" s="238"/>
      <c r="DR694" s="238"/>
      <c r="DS694" s="238"/>
      <c r="DT694" s="238"/>
      <c r="DU694" s="238"/>
      <c r="DV694" s="238"/>
      <c r="DW694" s="238"/>
      <c r="DX694" s="238"/>
      <c r="DY694" s="238"/>
      <c r="DZ694" s="238"/>
      <c r="EA694" s="238"/>
      <c r="EB694" s="238"/>
      <c r="EC694" s="238"/>
      <c r="ED694" s="3"/>
      <c r="EE694" s="3"/>
      <c r="EF694" s="3"/>
      <c r="EG694" s="3"/>
      <c r="EH694" s="3"/>
    </row>
    <row r="695" spans="1:138" s="82" customFormat="1" x14ac:dyDescent="0.2">
      <c r="A695" s="3"/>
      <c r="B695" s="167"/>
      <c r="C695" s="3"/>
      <c r="D695" s="3"/>
      <c r="E695" s="31"/>
      <c r="F695" s="133"/>
      <c r="G695" s="3"/>
      <c r="H695" s="31"/>
      <c r="I695" s="31"/>
      <c r="J695" s="3"/>
      <c r="K695" s="3"/>
      <c r="L695" s="3"/>
      <c r="M695" s="3"/>
      <c r="N695" s="3"/>
      <c r="O695" s="3"/>
      <c r="P695" s="3"/>
      <c r="Q695" s="3"/>
      <c r="R695" s="32"/>
      <c r="S695" s="32"/>
      <c r="T695" s="3"/>
      <c r="U695" s="33"/>
      <c r="V695" s="33"/>
      <c r="W695" s="3"/>
      <c r="X695" s="3"/>
      <c r="Y695" s="3"/>
      <c r="Z695" s="3"/>
      <c r="AA695" s="3"/>
      <c r="AB695" s="3"/>
      <c r="AC695" s="3"/>
      <c r="AD695" s="32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4"/>
      <c r="AT695" s="3"/>
      <c r="AU695" s="3"/>
      <c r="AV695" s="3"/>
      <c r="AW695" s="3"/>
      <c r="AX695" s="4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84"/>
      <c r="BZ695" s="84"/>
      <c r="CA695" s="84"/>
      <c r="CB695" s="84"/>
      <c r="CC695" s="84"/>
      <c r="CD695" s="84"/>
      <c r="CE695" s="84"/>
      <c r="CF695" s="84"/>
      <c r="CG695" s="84"/>
      <c r="CH695" s="84"/>
      <c r="CI695" s="84"/>
      <c r="CJ695" s="84"/>
      <c r="CK695" s="84"/>
      <c r="CL695" s="84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220"/>
      <c r="CY695" s="220"/>
      <c r="CZ695" s="220"/>
      <c r="DA695" s="220"/>
      <c r="DB695" s="237"/>
      <c r="DC695" s="238"/>
      <c r="DD695" s="238"/>
      <c r="DE695" s="238"/>
      <c r="DF695" s="238"/>
      <c r="DG695" s="238"/>
      <c r="DH695" s="238"/>
      <c r="DI695" s="238"/>
      <c r="DJ695" s="238"/>
      <c r="DK695" s="238"/>
      <c r="DL695" s="238"/>
      <c r="DM695" s="238"/>
      <c r="DN695" s="238"/>
      <c r="DO695" s="238"/>
      <c r="DP695" s="238"/>
      <c r="DQ695" s="238"/>
      <c r="DR695" s="238"/>
      <c r="DS695" s="238"/>
      <c r="DT695" s="238"/>
      <c r="DU695" s="238"/>
      <c r="DV695" s="238"/>
      <c r="DW695" s="238"/>
      <c r="DX695" s="238"/>
      <c r="DY695" s="238"/>
      <c r="DZ695" s="238"/>
      <c r="EA695" s="238"/>
      <c r="EB695" s="238"/>
      <c r="EC695" s="238"/>
      <c r="ED695" s="3"/>
      <c r="EE695" s="3"/>
      <c r="EF695" s="3"/>
      <c r="EG695" s="3"/>
      <c r="EH695" s="3"/>
    </row>
    <row r="696" spans="1:138" s="82" customFormat="1" x14ac:dyDescent="0.2">
      <c r="A696" s="3"/>
      <c r="B696" s="167"/>
      <c r="C696" s="3"/>
      <c r="D696" s="3"/>
      <c r="E696" s="31"/>
      <c r="F696" s="133"/>
      <c r="G696" s="3"/>
      <c r="H696" s="31"/>
      <c r="I696" s="31"/>
      <c r="J696" s="3"/>
      <c r="K696" s="3"/>
      <c r="L696" s="3"/>
      <c r="M696" s="3"/>
      <c r="N696" s="3"/>
      <c r="O696" s="3"/>
      <c r="P696" s="3"/>
      <c r="Q696" s="3"/>
      <c r="R696" s="32"/>
      <c r="S696" s="32"/>
      <c r="T696" s="3"/>
      <c r="U696" s="33"/>
      <c r="V696" s="33"/>
      <c r="W696" s="3"/>
      <c r="X696" s="3"/>
      <c r="Y696" s="3"/>
      <c r="Z696" s="3"/>
      <c r="AA696" s="3"/>
      <c r="AB696" s="3"/>
      <c r="AC696" s="3"/>
      <c r="AD696" s="32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4"/>
      <c r="AT696" s="3"/>
      <c r="AU696" s="3"/>
      <c r="AV696" s="3"/>
      <c r="AW696" s="3"/>
      <c r="AX696" s="4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84"/>
      <c r="BZ696" s="84"/>
      <c r="CA696" s="84"/>
      <c r="CB696" s="84"/>
      <c r="CC696" s="84"/>
      <c r="CD696" s="84"/>
      <c r="CE696" s="84"/>
      <c r="CF696" s="84"/>
      <c r="CG696" s="84"/>
      <c r="CH696" s="84"/>
      <c r="CI696" s="84"/>
      <c r="CJ696" s="84"/>
      <c r="CK696" s="84"/>
      <c r="CL696" s="84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220"/>
      <c r="CY696" s="220"/>
      <c r="CZ696" s="220"/>
      <c r="DA696" s="220"/>
      <c r="DB696" s="237"/>
      <c r="DC696" s="238"/>
      <c r="DD696" s="238"/>
      <c r="DE696" s="238"/>
      <c r="DF696" s="238"/>
      <c r="DG696" s="238"/>
      <c r="DH696" s="238"/>
      <c r="DI696" s="238"/>
      <c r="DJ696" s="238"/>
      <c r="DK696" s="238"/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38"/>
      <c r="DW696" s="238"/>
      <c r="DX696" s="238"/>
      <c r="DY696" s="238"/>
      <c r="DZ696" s="238"/>
      <c r="EA696" s="238"/>
      <c r="EB696" s="238"/>
      <c r="EC696" s="238"/>
      <c r="ED696" s="3"/>
      <c r="EE696" s="3"/>
      <c r="EF696" s="3"/>
      <c r="EG696" s="3"/>
      <c r="EH696" s="3"/>
    </row>
    <row r="697" spans="1:138" s="82" customFormat="1" x14ac:dyDescent="0.2">
      <c r="A697" s="3"/>
      <c r="B697" s="167"/>
      <c r="C697" s="3"/>
      <c r="D697" s="3"/>
      <c r="E697" s="31"/>
      <c r="F697" s="133"/>
      <c r="G697" s="3"/>
      <c r="H697" s="31"/>
      <c r="I697" s="31"/>
      <c r="J697" s="3"/>
      <c r="K697" s="3"/>
      <c r="L697" s="3"/>
      <c r="M697" s="3"/>
      <c r="N697" s="3"/>
      <c r="O697" s="3"/>
      <c r="P697" s="3"/>
      <c r="Q697" s="3"/>
      <c r="R697" s="32"/>
      <c r="S697" s="32"/>
      <c r="T697" s="3"/>
      <c r="U697" s="33"/>
      <c r="V697" s="33"/>
      <c r="W697" s="3"/>
      <c r="X697" s="3"/>
      <c r="Y697" s="3"/>
      <c r="Z697" s="3"/>
      <c r="AA697" s="3"/>
      <c r="AB697" s="3"/>
      <c r="AC697" s="3"/>
      <c r="AD697" s="32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4"/>
      <c r="AT697" s="3"/>
      <c r="AU697" s="3"/>
      <c r="AV697" s="3"/>
      <c r="AW697" s="3"/>
      <c r="AX697" s="4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84"/>
      <c r="BZ697" s="84"/>
      <c r="CA697" s="84"/>
      <c r="CB697" s="84"/>
      <c r="CC697" s="84"/>
      <c r="CD697" s="84"/>
      <c r="CE697" s="84"/>
      <c r="CF697" s="84"/>
      <c r="CG697" s="84"/>
      <c r="CH697" s="84"/>
      <c r="CI697" s="84"/>
      <c r="CJ697" s="84"/>
      <c r="CK697" s="84"/>
      <c r="CL697" s="84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220"/>
      <c r="CY697" s="220"/>
      <c r="CZ697" s="220"/>
      <c r="DA697" s="220"/>
      <c r="DB697" s="237"/>
      <c r="DC697" s="238"/>
      <c r="DD697" s="238"/>
      <c r="DE697" s="238"/>
      <c r="DF697" s="238"/>
      <c r="DG697" s="238"/>
      <c r="DH697" s="238"/>
      <c r="DI697" s="238"/>
      <c r="DJ697" s="238"/>
      <c r="DK697" s="238"/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38"/>
      <c r="DW697" s="238"/>
      <c r="DX697" s="238"/>
      <c r="DY697" s="238"/>
      <c r="DZ697" s="238"/>
      <c r="EA697" s="238"/>
      <c r="EB697" s="238"/>
      <c r="EC697" s="238"/>
      <c r="ED697" s="3"/>
      <c r="EE697" s="3"/>
      <c r="EF697" s="3"/>
      <c r="EG697" s="3"/>
      <c r="EH697" s="3"/>
    </row>
    <row r="698" spans="1:138" s="82" customFormat="1" x14ac:dyDescent="0.2">
      <c r="A698" s="3"/>
      <c r="B698" s="167"/>
      <c r="C698" s="3"/>
      <c r="D698" s="3"/>
      <c r="E698" s="31"/>
      <c r="F698" s="133"/>
      <c r="G698" s="3"/>
      <c r="H698" s="31"/>
      <c r="I698" s="31"/>
      <c r="J698" s="3"/>
      <c r="K698" s="3"/>
      <c r="L698" s="3"/>
      <c r="M698" s="3"/>
      <c r="N698" s="3"/>
      <c r="O698" s="3"/>
      <c r="P698" s="3"/>
      <c r="Q698" s="3"/>
      <c r="R698" s="32"/>
      <c r="S698" s="32"/>
      <c r="T698" s="3"/>
      <c r="U698" s="33"/>
      <c r="V698" s="33"/>
      <c r="W698" s="3"/>
      <c r="X698" s="3"/>
      <c r="Y698" s="3"/>
      <c r="Z698" s="3"/>
      <c r="AA698" s="3"/>
      <c r="AB698" s="3"/>
      <c r="AC698" s="3"/>
      <c r="AD698" s="32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4"/>
      <c r="AT698" s="3"/>
      <c r="AU698" s="3"/>
      <c r="AV698" s="3"/>
      <c r="AW698" s="3"/>
      <c r="AX698" s="4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84"/>
      <c r="BZ698" s="84"/>
      <c r="CA698" s="84"/>
      <c r="CB698" s="84"/>
      <c r="CC698" s="84"/>
      <c r="CD698" s="84"/>
      <c r="CE698" s="84"/>
      <c r="CF698" s="84"/>
      <c r="CG698" s="84"/>
      <c r="CH698" s="84"/>
      <c r="CI698" s="84"/>
      <c r="CJ698" s="84"/>
      <c r="CK698" s="84"/>
      <c r="CL698" s="84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220"/>
      <c r="CY698" s="220"/>
      <c r="CZ698" s="220"/>
      <c r="DA698" s="220"/>
      <c r="DB698" s="237"/>
      <c r="DC698" s="238"/>
      <c r="DD698" s="238"/>
      <c r="DE698" s="238"/>
      <c r="DF698" s="238"/>
      <c r="DG698" s="238"/>
      <c r="DH698" s="238"/>
      <c r="DI698" s="238"/>
      <c r="DJ698" s="238"/>
      <c r="DK698" s="238"/>
      <c r="DL698" s="238"/>
      <c r="DM698" s="238"/>
      <c r="DN698" s="238"/>
      <c r="DO698" s="238"/>
      <c r="DP698" s="238"/>
      <c r="DQ698" s="238"/>
      <c r="DR698" s="238"/>
      <c r="DS698" s="238"/>
      <c r="DT698" s="238"/>
      <c r="DU698" s="238"/>
      <c r="DV698" s="238"/>
      <c r="DW698" s="238"/>
      <c r="DX698" s="238"/>
      <c r="DY698" s="238"/>
      <c r="DZ698" s="238"/>
      <c r="EA698" s="238"/>
      <c r="EB698" s="238"/>
      <c r="EC698" s="238"/>
      <c r="ED698" s="3"/>
      <c r="EE698" s="3"/>
      <c r="EF698" s="3"/>
      <c r="EG698" s="3"/>
      <c r="EH698" s="3"/>
    </row>
    <row r="699" spans="1:138" s="82" customFormat="1" x14ac:dyDescent="0.2">
      <c r="A699" s="3"/>
      <c r="B699" s="167"/>
      <c r="C699" s="3"/>
      <c r="D699" s="3"/>
      <c r="E699" s="31"/>
      <c r="F699" s="133"/>
      <c r="G699" s="3"/>
      <c r="H699" s="31"/>
      <c r="I699" s="31"/>
      <c r="J699" s="3"/>
      <c r="K699" s="3"/>
      <c r="L699" s="3"/>
      <c r="M699" s="3"/>
      <c r="N699" s="3"/>
      <c r="O699" s="3"/>
      <c r="P699" s="3"/>
      <c r="Q699" s="3"/>
      <c r="R699" s="32"/>
      <c r="S699" s="32"/>
      <c r="T699" s="3"/>
      <c r="U699" s="33"/>
      <c r="V699" s="33"/>
      <c r="W699" s="3"/>
      <c r="X699" s="3"/>
      <c r="Y699" s="3"/>
      <c r="Z699" s="3"/>
      <c r="AA699" s="3"/>
      <c r="AB699" s="3"/>
      <c r="AC699" s="3"/>
      <c r="AD699" s="32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4"/>
      <c r="AT699" s="3"/>
      <c r="AU699" s="3"/>
      <c r="AV699" s="3"/>
      <c r="AW699" s="3"/>
      <c r="AX699" s="4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84"/>
      <c r="BZ699" s="84"/>
      <c r="CA699" s="84"/>
      <c r="CB699" s="84"/>
      <c r="CC699" s="84"/>
      <c r="CD699" s="84"/>
      <c r="CE699" s="84"/>
      <c r="CF699" s="84"/>
      <c r="CG699" s="84"/>
      <c r="CH699" s="84"/>
      <c r="CI699" s="84"/>
      <c r="CJ699" s="84"/>
      <c r="CK699" s="84"/>
      <c r="CL699" s="84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220"/>
      <c r="CY699" s="220"/>
      <c r="CZ699" s="220"/>
      <c r="DA699" s="220"/>
      <c r="DB699" s="237"/>
      <c r="DC699" s="238"/>
      <c r="DD699" s="238"/>
      <c r="DE699" s="238"/>
      <c r="DF699" s="238"/>
      <c r="DG699" s="238"/>
      <c r="DH699" s="238"/>
      <c r="DI699" s="238"/>
      <c r="DJ699" s="238"/>
      <c r="DK699" s="238"/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38"/>
      <c r="DW699" s="238"/>
      <c r="DX699" s="238"/>
      <c r="DY699" s="238"/>
      <c r="DZ699" s="238"/>
      <c r="EA699" s="238"/>
      <c r="EB699" s="238"/>
      <c r="EC699" s="238"/>
      <c r="ED699" s="3"/>
      <c r="EE699" s="3"/>
      <c r="EF699" s="3"/>
      <c r="EG699" s="3"/>
      <c r="EH699" s="3"/>
    </row>
    <row r="700" spans="1:138" s="82" customFormat="1" x14ac:dyDescent="0.2">
      <c r="A700" s="3"/>
      <c r="B700" s="167"/>
      <c r="C700" s="3"/>
      <c r="D700" s="3"/>
      <c r="E700" s="31"/>
      <c r="F700" s="133"/>
      <c r="G700" s="3"/>
      <c r="H700" s="31"/>
      <c r="I700" s="31"/>
      <c r="J700" s="3"/>
      <c r="K700" s="3"/>
      <c r="L700" s="3"/>
      <c r="M700" s="3"/>
      <c r="N700" s="3"/>
      <c r="O700" s="3"/>
      <c r="P700" s="3"/>
      <c r="Q700" s="3"/>
      <c r="R700" s="32"/>
      <c r="S700" s="32"/>
      <c r="T700" s="3"/>
      <c r="U700" s="33"/>
      <c r="V700" s="33"/>
      <c r="W700" s="3"/>
      <c r="X700" s="3"/>
      <c r="Y700" s="3"/>
      <c r="Z700" s="3"/>
      <c r="AA700" s="3"/>
      <c r="AB700" s="3"/>
      <c r="AC700" s="3"/>
      <c r="AD700" s="32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4"/>
      <c r="AT700" s="3"/>
      <c r="AU700" s="3"/>
      <c r="AV700" s="3"/>
      <c r="AW700" s="3"/>
      <c r="AX700" s="4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84"/>
      <c r="BZ700" s="84"/>
      <c r="CA700" s="84"/>
      <c r="CB700" s="84"/>
      <c r="CC700" s="84"/>
      <c r="CD700" s="84"/>
      <c r="CE700" s="84"/>
      <c r="CF700" s="84"/>
      <c r="CG700" s="84"/>
      <c r="CH700" s="84"/>
      <c r="CI700" s="84"/>
      <c r="CJ700" s="84"/>
      <c r="CK700" s="84"/>
      <c r="CL700" s="84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220"/>
      <c r="CY700" s="220"/>
      <c r="CZ700" s="220"/>
      <c r="DA700" s="220"/>
      <c r="DB700" s="237"/>
      <c r="DC700" s="238"/>
      <c r="DD700" s="238"/>
      <c r="DE700" s="238"/>
      <c r="DF700" s="238"/>
      <c r="DG700" s="238"/>
      <c r="DH700" s="238"/>
      <c r="DI700" s="238"/>
      <c r="DJ700" s="238"/>
      <c r="DK700" s="238"/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38"/>
      <c r="DW700" s="238"/>
      <c r="DX700" s="238"/>
      <c r="DY700" s="238"/>
      <c r="DZ700" s="238"/>
      <c r="EA700" s="238"/>
      <c r="EB700" s="238"/>
      <c r="EC700" s="238"/>
      <c r="ED700" s="3"/>
      <c r="EE700" s="3"/>
      <c r="EF700" s="3"/>
      <c r="EG700" s="3"/>
      <c r="EH700" s="3"/>
    </row>
    <row r="701" spans="1:138" s="82" customFormat="1" x14ac:dyDescent="0.2">
      <c r="A701" s="3"/>
      <c r="B701" s="167"/>
      <c r="C701" s="3"/>
      <c r="D701" s="3"/>
      <c r="E701" s="31"/>
      <c r="F701" s="133"/>
      <c r="G701" s="3"/>
      <c r="H701" s="31"/>
      <c r="I701" s="31"/>
      <c r="J701" s="3"/>
      <c r="K701" s="3"/>
      <c r="L701" s="3"/>
      <c r="M701" s="3"/>
      <c r="N701" s="3"/>
      <c r="O701" s="3"/>
      <c r="P701" s="3"/>
      <c r="Q701" s="3"/>
      <c r="R701" s="32"/>
      <c r="S701" s="32"/>
      <c r="T701" s="3"/>
      <c r="U701" s="33"/>
      <c r="V701" s="33"/>
      <c r="W701" s="3"/>
      <c r="X701" s="3"/>
      <c r="Y701" s="3"/>
      <c r="Z701" s="3"/>
      <c r="AA701" s="3"/>
      <c r="AB701" s="3"/>
      <c r="AC701" s="3"/>
      <c r="AD701" s="32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4"/>
      <c r="AT701" s="3"/>
      <c r="AU701" s="3"/>
      <c r="AV701" s="3"/>
      <c r="AW701" s="3"/>
      <c r="AX701" s="4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84"/>
      <c r="BZ701" s="84"/>
      <c r="CA701" s="84"/>
      <c r="CB701" s="84"/>
      <c r="CC701" s="84"/>
      <c r="CD701" s="84"/>
      <c r="CE701" s="84"/>
      <c r="CF701" s="84"/>
      <c r="CG701" s="84"/>
      <c r="CH701" s="84"/>
      <c r="CI701" s="84"/>
      <c r="CJ701" s="84"/>
      <c r="CK701" s="84"/>
      <c r="CL701" s="84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220"/>
      <c r="CY701" s="220"/>
      <c r="CZ701" s="220"/>
      <c r="DA701" s="220"/>
      <c r="DB701" s="237"/>
      <c r="DC701" s="238"/>
      <c r="DD701" s="238"/>
      <c r="DE701" s="238"/>
      <c r="DF701" s="238"/>
      <c r="DG701" s="238"/>
      <c r="DH701" s="238"/>
      <c r="DI701" s="238"/>
      <c r="DJ701" s="238"/>
      <c r="DK701" s="238"/>
      <c r="DL701" s="238"/>
      <c r="DM701" s="238"/>
      <c r="DN701" s="238"/>
      <c r="DO701" s="238"/>
      <c r="DP701" s="238"/>
      <c r="DQ701" s="238"/>
      <c r="DR701" s="238"/>
      <c r="DS701" s="238"/>
      <c r="DT701" s="238"/>
      <c r="DU701" s="238"/>
      <c r="DV701" s="238"/>
      <c r="DW701" s="238"/>
      <c r="DX701" s="238"/>
      <c r="DY701" s="238"/>
      <c r="DZ701" s="238"/>
      <c r="EA701" s="238"/>
      <c r="EB701" s="238"/>
      <c r="EC701" s="238"/>
      <c r="ED701" s="3"/>
      <c r="EE701" s="3"/>
      <c r="EF701" s="3"/>
      <c r="EG701" s="3"/>
      <c r="EH701" s="3"/>
    </row>
    <row r="702" spans="1:138" s="82" customFormat="1" x14ac:dyDescent="0.2">
      <c r="A702" s="3"/>
      <c r="B702" s="167"/>
      <c r="C702" s="3"/>
      <c r="D702" s="3"/>
      <c r="E702" s="31"/>
      <c r="F702" s="133"/>
      <c r="G702" s="3"/>
      <c r="H702" s="31"/>
      <c r="I702" s="31"/>
      <c r="J702" s="3"/>
      <c r="K702" s="3"/>
      <c r="L702" s="3"/>
      <c r="M702" s="3"/>
      <c r="N702" s="3"/>
      <c r="O702" s="3"/>
      <c r="P702" s="3"/>
      <c r="Q702" s="3"/>
      <c r="R702" s="32"/>
      <c r="S702" s="32"/>
      <c r="T702" s="3"/>
      <c r="U702" s="33"/>
      <c r="V702" s="33"/>
      <c r="W702" s="3"/>
      <c r="X702" s="3"/>
      <c r="Y702" s="3"/>
      <c r="Z702" s="3"/>
      <c r="AA702" s="3"/>
      <c r="AB702" s="3"/>
      <c r="AC702" s="3"/>
      <c r="AD702" s="32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4"/>
      <c r="AT702" s="3"/>
      <c r="AU702" s="3"/>
      <c r="AV702" s="3"/>
      <c r="AW702" s="3"/>
      <c r="AX702" s="4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84"/>
      <c r="BZ702" s="84"/>
      <c r="CA702" s="84"/>
      <c r="CB702" s="84"/>
      <c r="CC702" s="84"/>
      <c r="CD702" s="84"/>
      <c r="CE702" s="84"/>
      <c r="CF702" s="84"/>
      <c r="CG702" s="84"/>
      <c r="CH702" s="84"/>
      <c r="CI702" s="84"/>
      <c r="CJ702" s="84"/>
      <c r="CK702" s="84"/>
      <c r="CL702" s="84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220"/>
      <c r="CY702" s="220"/>
      <c r="CZ702" s="220"/>
      <c r="DA702" s="220"/>
      <c r="DB702" s="237"/>
      <c r="DC702" s="238"/>
      <c r="DD702" s="238"/>
      <c r="DE702" s="238"/>
      <c r="DF702" s="238"/>
      <c r="DG702" s="238"/>
      <c r="DH702" s="238"/>
      <c r="DI702" s="238"/>
      <c r="DJ702" s="238"/>
      <c r="DK702" s="238"/>
      <c r="DL702" s="238"/>
      <c r="DM702" s="238"/>
      <c r="DN702" s="238"/>
      <c r="DO702" s="238"/>
      <c r="DP702" s="238"/>
      <c r="DQ702" s="238"/>
      <c r="DR702" s="238"/>
      <c r="DS702" s="238"/>
      <c r="DT702" s="238"/>
      <c r="DU702" s="238"/>
      <c r="DV702" s="238"/>
      <c r="DW702" s="238"/>
      <c r="DX702" s="238"/>
      <c r="DY702" s="238"/>
      <c r="DZ702" s="238"/>
      <c r="EA702" s="238"/>
      <c r="EB702" s="238"/>
      <c r="EC702" s="238"/>
      <c r="ED702" s="3"/>
      <c r="EE702" s="3"/>
      <c r="EF702" s="3"/>
      <c r="EG702" s="3"/>
      <c r="EH702" s="3"/>
    </row>
    <row r="703" spans="1:138" s="82" customFormat="1" x14ac:dyDescent="0.2">
      <c r="A703" s="3"/>
      <c r="B703" s="167"/>
      <c r="C703" s="3"/>
      <c r="D703" s="3"/>
      <c r="E703" s="31"/>
      <c r="F703" s="133"/>
      <c r="G703" s="3"/>
      <c r="H703" s="31"/>
      <c r="I703" s="31"/>
      <c r="J703" s="3"/>
      <c r="K703" s="3"/>
      <c r="L703" s="3"/>
      <c r="M703" s="3"/>
      <c r="N703" s="3"/>
      <c r="O703" s="3"/>
      <c r="P703" s="3"/>
      <c r="Q703" s="3"/>
      <c r="R703" s="32"/>
      <c r="S703" s="32"/>
      <c r="T703" s="3"/>
      <c r="U703" s="33"/>
      <c r="V703" s="33"/>
      <c r="W703" s="3"/>
      <c r="X703" s="3"/>
      <c r="Y703" s="3"/>
      <c r="Z703" s="3"/>
      <c r="AA703" s="3"/>
      <c r="AB703" s="3"/>
      <c r="AC703" s="3"/>
      <c r="AD703" s="32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4"/>
      <c r="AT703" s="3"/>
      <c r="AU703" s="3"/>
      <c r="AV703" s="3"/>
      <c r="AW703" s="3"/>
      <c r="AX703" s="4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84"/>
      <c r="BZ703" s="84"/>
      <c r="CA703" s="84"/>
      <c r="CB703" s="84"/>
      <c r="CC703" s="84"/>
      <c r="CD703" s="84"/>
      <c r="CE703" s="84"/>
      <c r="CF703" s="84"/>
      <c r="CG703" s="84"/>
      <c r="CH703" s="84"/>
      <c r="CI703" s="84"/>
      <c r="CJ703" s="84"/>
      <c r="CK703" s="84"/>
      <c r="CL703" s="84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220"/>
      <c r="CY703" s="220"/>
      <c r="CZ703" s="220"/>
      <c r="DA703" s="220"/>
      <c r="DB703" s="237"/>
      <c r="DC703" s="238"/>
      <c r="DD703" s="238"/>
      <c r="DE703" s="238"/>
      <c r="DF703" s="238"/>
      <c r="DG703" s="238"/>
      <c r="DH703" s="238"/>
      <c r="DI703" s="238"/>
      <c r="DJ703" s="238"/>
      <c r="DK703" s="238"/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38"/>
      <c r="DW703" s="238"/>
      <c r="DX703" s="238"/>
      <c r="DY703" s="238"/>
      <c r="DZ703" s="238"/>
      <c r="EA703" s="238"/>
      <c r="EB703" s="238"/>
      <c r="EC703" s="238"/>
      <c r="ED703" s="3"/>
      <c r="EE703" s="3"/>
      <c r="EF703" s="3"/>
      <c r="EG703" s="3"/>
      <c r="EH703" s="3"/>
    </row>
    <row r="704" spans="1:138" s="82" customFormat="1" x14ac:dyDescent="0.2">
      <c r="A704" s="3"/>
      <c r="B704" s="167"/>
      <c r="C704" s="3"/>
      <c r="D704" s="3"/>
      <c r="E704" s="31"/>
      <c r="F704" s="133"/>
      <c r="G704" s="3"/>
      <c r="H704" s="31"/>
      <c r="I704" s="31"/>
      <c r="J704" s="3"/>
      <c r="K704" s="3"/>
      <c r="L704" s="3"/>
      <c r="M704" s="3"/>
      <c r="N704" s="3"/>
      <c r="O704" s="3"/>
      <c r="P704" s="3"/>
      <c r="Q704" s="3"/>
      <c r="R704" s="32"/>
      <c r="S704" s="32"/>
      <c r="T704" s="3"/>
      <c r="U704" s="33"/>
      <c r="V704" s="33"/>
      <c r="W704" s="3"/>
      <c r="X704" s="3"/>
      <c r="Y704" s="3"/>
      <c r="Z704" s="3"/>
      <c r="AA704" s="3"/>
      <c r="AB704" s="3"/>
      <c r="AC704" s="3"/>
      <c r="AD704" s="32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4"/>
      <c r="AT704" s="3"/>
      <c r="AU704" s="3"/>
      <c r="AV704" s="3"/>
      <c r="AW704" s="3"/>
      <c r="AX704" s="4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84"/>
      <c r="BZ704" s="84"/>
      <c r="CA704" s="84"/>
      <c r="CB704" s="84"/>
      <c r="CC704" s="84"/>
      <c r="CD704" s="84"/>
      <c r="CE704" s="84"/>
      <c r="CF704" s="84"/>
      <c r="CG704" s="84"/>
      <c r="CH704" s="84"/>
      <c r="CI704" s="84"/>
      <c r="CJ704" s="84"/>
      <c r="CK704" s="84"/>
      <c r="CL704" s="84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220"/>
      <c r="CY704" s="220"/>
      <c r="CZ704" s="220"/>
      <c r="DA704" s="220"/>
      <c r="DB704" s="237"/>
      <c r="DC704" s="238"/>
      <c r="DD704" s="238"/>
      <c r="DE704" s="238"/>
      <c r="DF704" s="238"/>
      <c r="DG704" s="238"/>
      <c r="DH704" s="238"/>
      <c r="DI704" s="238"/>
      <c r="DJ704" s="238"/>
      <c r="DK704" s="238"/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38"/>
      <c r="DW704" s="238"/>
      <c r="DX704" s="238"/>
      <c r="DY704" s="238"/>
      <c r="DZ704" s="238"/>
      <c r="EA704" s="238"/>
      <c r="EB704" s="238"/>
      <c r="EC704" s="238"/>
      <c r="ED704" s="3"/>
      <c r="EE704" s="3"/>
      <c r="EF704" s="3"/>
      <c r="EG704" s="3"/>
      <c r="EH704" s="3"/>
    </row>
    <row r="705" spans="5:40" x14ac:dyDescent="0.2">
      <c r="E705" s="31"/>
      <c r="F705" s="133"/>
      <c r="H705" s="31"/>
      <c r="I705" s="31"/>
      <c r="R705" s="32"/>
      <c r="S705" s="32"/>
      <c r="U705" s="33"/>
      <c r="V705" s="33"/>
      <c r="AD705" s="32"/>
    </row>
    <row r="706" spans="5:40" x14ac:dyDescent="0.2">
      <c r="E706" s="31"/>
      <c r="F706" s="133"/>
      <c r="H706" s="31"/>
      <c r="I706" s="31"/>
      <c r="R706" s="32"/>
      <c r="S706" s="32"/>
      <c r="U706" s="33"/>
      <c r="V706" s="33"/>
      <c r="AD706" s="32"/>
    </row>
    <row r="707" spans="5:40" x14ac:dyDescent="0.2">
      <c r="E707" s="31"/>
      <c r="F707" s="133"/>
      <c r="H707" s="31"/>
      <c r="I707" s="31"/>
      <c r="R707" s="32"/>
      <c r="S707" s="32"/>
      <c r="U707" s="33"/>
      <c r="V707" s="33"/>
      <c r="AD707" s="32"/>
    </row>
    <row r="708" spans="5:40" x14ac:dyDescent="0.2">
      <c r="E708" s="31"/>
      <c r="F708" s="133"/>
      <c r="H708" s="31"/>
      <c r="I708" s="31"/>
      <c r="R708" s="32"/>
      <c r="S708" s="32"/>
      <c r="U708" s="33"/>
      <c r="V708" s="33"/>
      <c r="AD708" s="32"/>
    </row>
    <row r="709" spans="5:40" x14ac:dyDescent="0.2">
      <c r="E709" s="31"/>
      <c r="F709" s="133"/>
      <c r="H709" s="31"/>
      <c r="I709" s="31"/>
      <c r="R709" s="32"/>
      <c r="S709" s="32"/>
      <c r="U709" s="33"/>
      <c r="V709" s="33"/>
      <c r="AD709" s="32"/>
    </row>
    <row r="710" spans="5:40" x14ac:dyDescent="0.2">
      <c r="E710" s="31"/>
      <c r="F710" s="133"/>
      <c r="H710" s="31"/>
      <c r="I710" s="31"/>
      <c r="R710" s="32"/>
      <c r="S710" s="32"/>
      <c r="U710" s="33"/>
      <c r="V710" s="33"/>
      <c r="AD710" s="32"/>
    </row>
    <row r="711" spans="5:40" x14ac:dyDescent="0.2">
      <c r="E711" s="31"/>
      <c r="F711" s="133"/>
      <c r="H711" s="31"/>
      <c r="I711" s="31"/>
      <c r="R711" s="32"/>
      <c r="S711" s="32"/>
      <c r="U711" s="33"/>
      <c r="V711" s="33"/>
      <c r="AD711" s="32"/>
    </row>
    <row r="712" spans="5:40" x14ac:dyDescent="0.2">
      <c r="E712" s="31"/>
      <c r="F712" s="133"/>
      <c r="H712" s="31"/>
      <c r="I712" s="31"/>
      <c r="R712" s="32"/>
      <c r="S712" s="32"/>
      <c r="U712" s="33"/>
      <c r="V712" s="33"/>
      <c r="AD712" s="32"/>
    </row>
    <row r="713" spans="5:40" x14ac:dyDescent="0.2">
      <c r="E713" s="31"/>
      <c r="F713" s="133"/>
      <c r="H713" s="31"/>
      <c r="I713" s="31"/>
      <c r="R713" s="32"/>
      <c r="S713" s="32"/>
      <c r="U713" s="33"/>
      <c r="V713" s="33"/>
      <c r="AD713" s="32"/>
    </row>
    <row r="714" spans="5:40" x14ac:dyDescent="0.2">
      <c r="E714" s="31"/>
      <c r="F714" s="133"/>
      <c r="H714" s="31"/>
      <c r="I714" s="31"/>
      <c r="R714" s="32"/>
      <c r="S714" s="32"/>
      <c r="U714" s="33"/>
      <c r="V714" s="33"/>
      <c r="AD714" s="32"/>
    </row>
    <row r="715" spans="5:40" x14ac:dyDescent="0.2">
      <c r="E715" s="31"/>
      <c r="F715" s="133"/>
      <c r="H715" s="31"/>
      <c r="I715" s="31"/>
      <c r="R715" s="32"/>
      <c r="S715" s="32"/>
      <c r="U715" s="33"/>
      <c r="V715" s="33"/>
      <c r="AD715" s="32"/>
    </row>
    <row r="716" spans="5:40" x14ac:dyDescent="0.2">
      <c r="E716" s="31"/>
      <c r="F716" s="133"/>
      <c r="H716" s="31"/>
      <c r="I716" s="31"/>
      <c r="R716" s="32"/>
      <c r="S716" s="32"/>
      <c r="U716" s="33"/>
      <c r="V716" s="33"/>
      <c r="AD716" s="32"/>
    </row>
    <row r="717" spans="5:40" x14ac:dyDescent="0.2">
      <c r="E717" s="31"/>
      <c r="F717" s="133"/>
      <c r="H717" s="31"/>
      <c r="I717" s="31"/>
      <c r="R717" s="32"/>
      <c r="S717" s="32"/>
      <c r="U717" s="33"/>
      <c r="V717" s="33"/>
      <c r="AD717" s="32"/>
    </row>
    <row r="718" spans="5:40" x14ac:dyDescent="0.2">
      <c r="E718" s="31"/>
      <c r="F718" s="133"/>
      <c r="H718" s="31"/>
      <c r="I718" s="31"/>
      <c r="R718" s="32"/>
      <c r="S718" s="32"/>
      <c r="U718" s="33"/>
      <c r="V718" s="33"/>
      <c r="AD718" s="32"/>
    </row>
    <row r="719" spans="5:40" x14ac:dyDescent="0.2">
      <c r="E719" s="31"/>
      <c r="F719" s="133"/>
      <c r="G719" s="32"/>
      <c r="H719" s="31"/>
      <c r="I719" s="31"/>
      <c r="J719" s="32"/>
      <c r="K719" s="32"/>
      <c r="N719" s="32"/>
      <c r="O719" s="32"/>
      <c r="P719" s="32"/>
      <c r="Q719" s="32"/>
      <c r="R719" s="32"/>
      <c r="S719" s="32"/>
      <c r="T719" s="32"/>
      <c r="U719" s="32"/>
      <c r="V719" s="32"/>
      <c r="AD719" s="32"/>
      <c r="AE719" s="119"/>
      <c r="AF719" s="32"/>
      <c r="AG719" s="32"/>
      <c r="AH719" s="32"/>
      <c r="AJ719" s="32"/>
      <c r="AK719" s="32"/>
      <c r="AL719" s="32"/>
      <c r="AM719" s="32"/>
      <c r="AN719" s="32"/>
    </row>
    <row r="720" spans="5:40" x14ac:dyDescent="0.2">
      <c r="E720" s="31"/>
      <c r="F720" s="133"/>
      <c r="H720" s="31"/>
      <c r="I720" s="31"/>
      <c r="R720" s="32"/>
      <c r="S720" s="32"/>
      <c r="U720" s="33"/>
      <c r="V720" s="33"/>
      <c r="AD720" s="32"/>
    </row>
    <row r="721" spans="1:138" s="82" customFormat="1" x14ac:dyDescent="0.2">
      <c r="A721" s="3"/>
      <c r="B721" s="167"/>
      <c r="C721" s="3"/>
      <c r="D721" s="3"/>
      <c r="E721" s="31"/>
      <c r="F721" s="133"/>
      <c r="G721" s="3"/>
      <c r="H721" s="31"/>
      <c r="I721" s="31"/>
      <c r="J721" s="3"/>
      <c r="K721" s="3"/>
      <c r="L721" s="3"/>
      <c r="M721" s="3"/>
      <c r="N721" s="3"/>
      <c r="O721" s="3"/>
      <c r="P721" s="3"/>
      <c r="Q721" s="3"/>
      <c r="R721" s="32"/>
      <c r="S721" s="32"/>
      <c r="T721" s="3"/>
      <c r="U721" s="33"/>
      <c r="V721" s="33"/>
      <c r="W721" s="3"/>
      <c r="X721" s="3"/>
      <c r="Y721" s="3"/>
      <c r="Z721" s="3"/>
      <c r="AA721" s="3"/>
      <c r="AB721" s="3"/>
      <c r="AC721" s="3"/>
      <c r="AD721" s="32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4"/>
      <c r="AT721" s="3"/>
      <c r="AU721" s="3"/>
      <c r="AV721" s="3"/>
      <c r="AW721" s="3"/>
      <c r="AX721" s="4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84"/>
      <c r="BZ721" s="84"/>
      <c r="CA721" s="84"/>
      <c r="CB721" s="84"/>
      <c r="CC721" s="84"/>
      <c r="CD721" s="84"/>
      <c r="CE721" s="84"/>
      <c r="CF721" s="84"/>
      <c r="CG721" s="84"/>
      <c r="CH721" s="84"/>
      <c r="CI721" s="84"/>
      <c r="CJ721" s="84"/>
      <c r="CK721" s="84"/>
      <c r="CL721" s="84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220"/>
      <c r="CY721" s="220"/>
      <c r="CZ721" s="220"/>
      <c r="DA721" s="220"/>
      <c r="DB721" s="237"/>
      <c r="DC721" s="238"/>
      <c r="DD721" s="238"/>
      <c r="DE721" s="238"/>
      <c r="DF721" s="238"/>
      <c r="DG721" s="238"/>
      <c r="DH721" s="238"/>
      <c r="DI721" s="238"/>
      <c r="DJ721" s="238"/>
      <c r="DK721" s="238"/>
      <c r="DL721" s="238"/>
      <c r="DM721" s="238"/>
      <c r="DN721" s="238"/>
      <c r="DO721" s="238"/>
      <c r="DP721" s="238"/>
      <c r="DQ721" s="238"/>
      <c r="DR721" s="238"/>
      <c r="DS721" s="238"/>
      <c r="DT721" s="238"/>
      <c r="DU721" s="238"/>
      <c r="DV721" s="238"/>
      <c r="DW721" s="238"/>
      <c r="DX721" s="238"/>
      <c r="DY721" s="238"/>
      <c r="DZ721" s="238"/>
      <c r="EA721" s="238"/>
      <c r="EB721" s="238"/>
      <c r="EC721" s="238"/>
      <c r="ED721" s="3"/>
      <c r="EE721" s="3"/>
      <c r="EF721" s="3"/>
      <c r="EG721" s="3"/>
      <c r="EH721" s="3"/>
    </row>
    <row r="722" spans="1:138" s="82" customFormat="1" x14ac:dyDescent="0.2">
      <c r="A722" s="3"/>
      <c r="B722" s="167"/>
      <c r="C722" s="3"/>
      <c r="D722" s="3"/>
      <c r="E722" s="31"/>
      <c r="F722" s="133"/>
      <c r="G722" s="3"/>
      <c r="H722" s="31"/>
      <c r="I722" s="31"/>
      <c r="J722" s="3"/>
      <c r="K722" s="3"/>
      <c r="L722" s="3"/>
      <c r="M722" s="3"/>
      <c r="N722" s="3"/>
      <c r="O722" s="3"/>
      <c r="P722" s="3"/>
      <c r="Q722" s="3"/>
      <c r="R722" s="32"/>
      <c r="S722" s="32"/>
      <c r="T722" s="3"/>
      <c r="U722" s="33"/>
      <c r="V722" s="33"/>
      <c r="W722" s="3"/>
      <c r="X722" s="3"/>
      <c r="Y722" s="3"/>
      <c r="Z722" s="3"/>
      <c r="AA722" s="3"/>
      <c r="AB722" s="3"/>
      <c r="AC722" s="3"/>
      <c r="AD722" s="32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4"/>
      <c r="AT722" s="3"/>
      <c r="AU722" s="3"/>
      <c r="AV722" s="3"/>
      <c r="AW722" s="3"/>
      <c r="AX722" s="4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84"/>
      <c r="BZ722" s="84"/>
      <c r="CA722" s="84"/>
      <c r="CB722" s="84"/>
      <c r="CC722" s="84"/>
      <c r="CD722" s="84"/>
      <c r="CE722" s="84"/>
      <c r="CF722" s="84"/>
      <c r="CG722" s="84"/>
      <c r="CH722" s="84"/>
      <c r="CI722" s="84"/>
      <c r="CJ722" s="84"/>
      <c r="CK722" s="84"/>
      <c r="CL722" s="84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220"/>
      <c r="CY722" s="220"/>
      <c r="CZ722" s="220"/>
      <c r="DA722" s="220"/>
      <c r="DB722" s="237"/>
      <c r="DC722" s="238"/>
      <c r="DD722" s="238"/>
      <c r="DE722" s="238"/>
      <c r="DF722" s="238"/>
      <c r="DG722" s="238"/>
      <c r="DH722" s="238"/>
      <c r="DI722" s="238"/>
      <c r="DJ722" s="238"/>
      <c r="DK722" s="238"/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38"/>
      <c r="DW722" s="238"/>
      <c r="DX722" s="238"/>
      <c r="DY722" s="238"/>
      <c r="DZ722" s="238"/>
      <c r="EA722" s="238"/>
      <c r="EB722" s="238"/>
      <c r="EC722" s="238"/>
      <c r="ED722" s="3"/>
      <c r="EE722" s="3"/>
      <c r="EF722" s="3"/>
      <c r="EG722" s="3"/>
      <c r="EH722" s="3"/>
    </row>
    <row r="723" spans="1:138" s="82" customFormat="1" x14ac:dyDescent="0.2">
      <c r="A723" s="3"/>
      <c r="B723" s="167"/>
      <c r="C723" s="3"/>
      <c r="D723" s="3"/>
      <c r="E723" s="31"/>
      <c r="F723" s="133"/>
      <c r="G723" s="3"/>
      <c r="H723" s="31"/>
      <c r="I723" s="31"/>
      <c r="J723" s="3"/>
      <c r="K723" s="3"/>
      <c r="L723" s="3"/>
      <c r="M723" s="3"/>
      <c r="N723" s="3"/>
      <c r="O723" s="3"/>
      <c r="P723" s="3"/>
      <c r="Q723" s="3"/>
      <c r="R723" s="32"/>
      <c r="S723" s="32"/>
      <c r="T723" s="3"/>
      <c r="U723" s="33"/>
      <c r="V723" s="33"/>
      <c r="W723" s="3"/>
      <c r="X723" s="3"/>
      <c r="Y723" s="3"/>
      <c r="Z723" s="3"/>
      <c r="AA723" s="3"/>
      <c r="AB723" s="3"/>
      <c r="AC723" s="3"/>
      <c r="AD723" s="32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4"/>
      <c r="AT723" s="3"/>
      <c r="AU723" s="3"/>
      <c r="AV723" s="3"/>
      <c r="AW723" s="3"/>
      <c r="AX723" s="4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84"/>
      <c r="BZ723" s="84"/>
      <c r="CA723" s="84"/>
      <c r="CB723" s="84"/>
      <c r="CC723" s="84"/>
      <c r="CD723" s="84"/>
      <c r="CE723" s="84"/>
      <c r="CF723" s="84"/>
      <c r="CG723" s="84"/>
      <c r="CH723" s="84"/>
      <c r="CI723" s="84"/>
      <c r="CJ723" s="84"/>
      <c r="CK723" s="84"/>
      <c r="CL723" s="84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220"/>
      <c r="CY723" s="220"/>
      <c r="CZ723" s="220"/>
      <c r="DA723" s="220"/>
      <c r="DB723" s="237"/>
      <c r="DC723" s="238"/>
      <c r="DD723" s="238"/>
      <c r="DE723" s="238"/>
      <c r="DF723" s="238"/>
      <c r="DG723" s="238"/>
      <c r="DH723" s="238"/>
      <c r="DI723" s="238"/>
      <c r="DJ723" s="238"/>
      <c r="DK723" s="238"/>
      <c r="DL723" s="238"/>
      <c r="DM723" s="238"/>
      <c r="DN723" s="238"/>
      <c r="DO723" s="238"/>
      <c r="DP723" s="238"/>
      <c r="DQ723" s="238"/>
      <c r="DR723" s="238"/>
      <c r="DS723" s="238"/>
      <c r="DT723" s="238"/>
      <c r="DU723" s="238"/>
      <c r="DV723" s="238"/>
      <c r="DW723" s="238"/>
      <c r="DX723" s="238"/>
      <c r="DY723" s="238"/>
      <c r="DZ723" s="238"/>
      <c r="EA723" s="238"/>
      <c r="EB723" s="238"/>
      <c r="EC723" s="238"/>
      <c r="ED723" s="3"/>
      <c r="EE723" s="3"/>
      <c r="EF723" s="3"/>
      <c r="EG723" s="3"/>
      <c r="EH723" s="3"/>
    </row>
    <row r="724" spans="1:138" s="82" customFormat="1" x14ac:dyDescent="0.2">
      <c r="A724" s="3"/>
      <c r="B724" s="167"/>
      <c r="C724" s="3"/>
      <c r="D724" s="3"/>
      <c r="E724" s="31"/>
      <c r="F724" s="133"/>
      <c r="G724" s="3"/>
      <c r="H724" s="31"/>
      <c r="I724" s="31"/>
      <c r="J724" s="3"/>
      <c r="K724" s="3"/>
      <c r="L724" s="3"/>
      <c r="M724" s="3"/>
      <c r="N724" s="3"/>
      <c r="O724" s="3"/>
      <c r="P724" s="3"/>
      <c r="Q724" s="3"/>
      <c r="R724" s="32"/>
      <c r="S724" s="32"/>
      <c r="T724" s="3"/>
      <c r="U724" s="33"/>
      <c r="V724" s="33"/>
      <c r="W724" s="3"/>
      <c r="X724" s="3"/>
      <c r="Y724" s="3"/>
      <c r="Z724" s="3"/>
      <c r="AA724" s="3"/>
      <c r="AB724" s="3"/>
      <c r="AC724" s="3"/>
      <c r="AD724" s="32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4"/>
      <c r="AT724" s="3"/>
      <c r="AU724" s="3"/>
      <c r="AV724" s="3"/>
      <c r="AW724" s="3"/>
      <c r="AX724" s="4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84"/>
      <c r="BZ724" s="84"/>
      <c r="CA724" s="84"/>
      <c r="CB724" s="84"/>
      <c r="CC724" s="84"/>
      <c r="CD724" s="84"/>
      <c r="CE724" s="84"/>
      <c r="CF724" s="84"/>
      <c r="CG724" s="84"/>
      <c r="CH724" s="84"/>
      <c r="CI724" s="84"/>
      <c r="CJ724" s="84"/>
      <c r="CK724" s="84"/>
      <c r="CL724" s="84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220"/>
      <c r="CY724" s="220"/>
      <c r="CZ724" s="220"/>
      <c r="DA724" s="220"/>
      <c r="DB724" s="237"/>
      <c r="DC724" s="238"/>
      <c r="DD724" s="238"/>
      <c r="DE724" s="238"/>
      <c r="DF724" s="238"/>
      <c r="DG724" s="238"/>
      <c r="DH724" s="238"/>
      <c r="DI724" s="238"/>
      <c r="DJ724" s="238"/>
      <c r="DK724" s="238"/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38"/>
      <c r="DW724" s="238"/>
      <c r="DX724" s="238"/>
      <c r="DY724" s="238"/>
      <c r="DZ724" s="238"/>
      <c r="EA724" s="238"/>
      <c r="EB724" s="238"/>
      <c r="EC724" s="238"/>
      <c r="ED724" s="3"/>
      <c r="EE724" s="3"/>
      <c r="EF724" s="3"/>
      <c r="EG724" s="3"/>
      <c r="EH724" s="3"/>
    </row>
    <row r="725" spans="1:138" s="82" customFormat="1" x14ac:dyDescent="0.2">
      <c r="A725" s="3"/>
      <c r="B725" s="167"/>
      <c r="C725" s="3"/>
      <c r="D725" s="3"/>
      <c r="E725" s="31"/>
      <c r="F725" s="133"/>
      <c r="G725" s="3"/>
      <c r="H725" s="31"/>
      <c r="I725" s="31"/>
      <c r="J725" s="3"/>
      <c r="K725" s="3"/>
      <c r="L725" s="3"/>
      <c r="M725" s="3"/>
      <c r="N725" s="3"/>
      <c r="O725" s="3"/>
      <c r="P725" s="3"/>
      <c r="Q725" s="3"/>
      <c r="R725" s="32"/>
      <c r="S725" s="32"/>
      <c r="T725" s="3"/>
      <c r="U725" s="33"/>
      <c r="V725" s="33"/>
      <c r="W725" s="3"/>
      <c r="X725" s="3"/>
      <c r="Y725" s="3"/>
      <c r="Z725" s="3"/>
      <c r="AA725" s="3"/>
      <c r="AB725" s="3"/>
      <c r="AC725" s="3"/>
      <c r="AD725" s="32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4"/>
      <c r="AT725" s="3"/>
      <c r="AU725" s="3"/>
      <c r="AV725" s="3"/>
      <c r="AW725" s="3"/>
      <c r="AX725" s="4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84"/>
      <c r="BZ725" s="84"/>
      <c r="CA725" s="84"/>
      <c r="CB725" s="84"/>
      <c r="CC725" s="84"/>
      <c r="CD725" s="84"/>
      <c r="CE725" s="84"/>
      <c r="CF725" s="84"/>
      <c r="CG725" s="84"/>
      <c r="CH725" s="84"/>
      <c r="CI725" s="84"/>
      <c r="CJ725" s="84"/>
      <c r="CK725" s="84"/>
      <c r="CL725" s="84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220"/>
      <c r="CY725" s="220"/>
      <c r="CZ725" s="220"/>
      <c r="DA725" s="220"/>
      <c r="DB725" s="237"/>
      <c r="DC725" s="238"/>
      <c r="DD725" s="238"/>
      <c r="DE725" s="238"/>
      <c r="DF725" s="238"/>
      <c r="DG725" s="238"/>
      <c r="DH725" s="238"/>
      <c r="DI725" s="238"/>
      <c r="DJ725" s="238"/>
      <c r="DK725" s="238"/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38"/>
      <c r="DW725" s="238"/>
      <c r="DX725" s="238"/>
      <c r="DY725" s="238"/>
      <c r="DZ725" s="238"/>
      <c r="EA725" s="238"/>
      <c r="EB725" s="238"/>
      <c r="EC725" s="238"/>
      <c r="ED725" s="3"/>
      <c r="EE725" s="3"/>
      <c r="EF725" s="3"/>
      <c r="EG725" s="3"/>
      <c r="EH725" s="3"/>
    </row>
    <row r="726" spans="1:138" s="82" customFormat="1" x14ac:dyDescent="0.2">
      <c r="A726" s="3"/>
      <c r="B726" s="167"/>
      <c r="C726" s="3"/>
      <c r="D726" s="3"/>
      <c r="E726" s="31"/>
      <c r="F726" s="133"/>
      <c r="G726" s="3"/>
      <c r="H726" s="31"/>
      <c r="I726" s="31"/>
      <c r="J726" s="3"/>
      <c r="K726" s="3"/>
      <c r="L726" s="3"/>
      <c r="M726" s="3"/>
      <c r="N726" s="3"/>
      <c r="O726" s="3"/>
      <c r="P726" s="3"/>
      <c r="Q726" s="3"/>
      <c r="R726" s="32"/>
      <c r="S726" s="32"/>
      <c r="T726" s="3"/>
      <c r="U726" s="33"/>
      <c r="V726" s="33"/>
      <c r="W726" s="3"/>
      <c r="X726" s="3"/>
      <c r="Y726" s="3"/>
      <c r="Z726" s="3"/>
      <c r="AA726" s="3"/>
      <c r="AB726" s="3"/>
      <c r="AC726" s="3"/>
      <c r="AD726" s="32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4"/>
      <c r="AT726" s="3"/>
      <c r="AU726" s="3"/>
      <c r="AV726" s="3"/>
      <c r="AW726" s="3"/>
      <c r="AX726" s="4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84"/>
      <c r="BZ726" s="84"/>
      <c r="CA726" s="84"/>
      <c r="CB726" s="84"/>
      <c r="CC726" s="84"/>
      <c r="CD726" s="84"/>
      <c r="CE726" s="84"/>
      <c r="CF726" s="84"/>
      <c r="CG726" s="84"/>
      <c r="CH726" s="84"/>
      <c r="CI726" s="84"/>
      <c r="CJ726" s="84"/>
      <c r="CK726" s="84"/>
      <c r="CL726" s="84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220"/>
      <c r="CY726" s="220"/>
      <c r="CZ726" s="220"/>
      <c r="DA726" s="220"/>
      <c r="DB726" s="237"/>
      <c r="DC726" s="238"/>
      <c r="DD726" s="238"/>
      <c r="DE726" s="238"/>
      <c r="DF726" s="238"/>
      <c r="DG726" s="238"/>
      <c r="DH726" s="238"/>
      <c r="DI726" s="238"/>
      <c r="DJ726" s="238"/>
      <c r="DK726" s="238"/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38"/>
      <c r="DW726" s="238"/>
      <c r="DX726" s="238"/>
      <c r="DY726" s="238"/>
      <c r="DZ726" s="238"/>
      <c r="EA726" s="238"/>
      <c r="EB726" s="238"/>
      <c r="EC726" s="238"/>
      <c r="ED726" s="3"/>
      <c r="EE726" s="3"/>
      <c r="EF726" s="3"/>
      <c r="EG726" s="3"/>
      <c r="EH726" s="3"/>
    </row>
    <row r="727" spans="1:138" s="82" customFormat="1" x14ac:dyDescent="0.2">
      <c r="A727" s="3"/>
      <c r="B727" s="167"/>
      <c r="C727" s="3"/>
      <c r="D727" s="3"/>
      <c r="E727" s="31"/>
      <c r="F727" s="133"/>
      <c r="G727" s="3"/>
      <c r="H727" s="31"/>
      <c r="I727" s="31"/>
      <c r="J727" s="3"/>
      <c r="K727" s="3"/>
      <c r="L727" s="3"/>
      <c r="M727" s="3"/>
      <c r="N727" s="3"/>
      <c r="O727" s="3"/>
      <c r="P727" s="3"/>
      <c r="Q727" s="3"/>
      <c r="R727" s="32"/>
      <c r="S727" s="32"/>
      <c r="T727" s="3"/>
      <c r="U727" s="33"/>
      <c r="V727" s="33"/>
      <c r="W727" s="3"/>
      <c r="X727" s="3"/>
      <c r="Y727" s="3"/>
      <c r="Z727" s="3"/>
      <c r="AA727" s="3"/>
      <c r="AB727" s="3"/>
      <c r="AC727" s="3"/>
      <c r="AD727" s="32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4"/>
      <c r="AT727" s="3"/>
      <c r="AU727" s="3"/>
      <c r="AV727" s="3"/>
      <c r="AW727" s="3"/>
      <c r="AX727" s="4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84"/>
      <c r="BZ727" s="84"/>
      <c r="CA727" s="84"/>
      <c r="CB727" s="84"/>
      <c r="CC727" s="84"/>
      <c r="CD727" s="84"/>
      <c r="CE727" s="84"/>
      <c r="CF727" s="84"/>
      <c r="CG727" s="84"/>
      <c r="CH727" s="84"/>
      <c r="CI727" s="84"/>
      <c r="CJ727" s="84"/>
      <c r="CK727" s="84"/>
      <c r="CL727" s="84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220"/>
      <c r="CY727" s="220"/>
      <c r="CZ727" s="220"/>
      <c r="DA727" s="220"/>
      <c r="DB727" s="237"/>
      <c r="DC727" s="238"/>
      <c r="DD727" s="238"/>
      <c r="DE727" s="238"/>
      <c r="DF727" s="238"/>
      <c r="DG727" s="238"/>
      <c r="DH727" s="238"/>
      <c r="DI727" s="238"/>
      <c r="DJ727" s="238"/>
      <c r="DK727" s="238"/>
      <c r="DL727" s="238"/>
      <c r="DM727" s="238"/>
      <c r="DN727" s="238"/>
      <c r="DO727" s="238"/>
      <c r="DP727" s="238"/>
      <c r="DQ727" s="238"/>
      <c r="DR727" s="238"/>
      <c r="DS727" s="238"/>
      <c r="DT727" s="238"/>
      <c r="DU727" s="238"/>
      <c r="DV727" s="238"/>
      <c r="DW727" s="238"/>
      <c r="DX727" s="238"/>
      <c r="DY727" s="238"/>
      <c r="DZ727" s="238"/>
      <c r="EA727" s="238"/>
      <c r="EB727" s="238"/>
      <c r="EC727" s="238"/>
      <c r="ED727" s="3"/>
      <c r="EE727" s="3"/>
      <c r="EF727" s="3"/>
      <c r="EG727" s="3"/>
      <c r="EH727" s="3"/>
    </row>
    <row r="728" spans="1:138" s="82" customFormat="1" x14ac:dyDescent="0.2">
      <c r="A728" s="3"/>
      <c r="B728" s="167"/>
      <c r="C728" s="3"/>
      <c r="D728" s="3"/>
      <c r="E728" s="31"/>
      <c r="F728" s="133"/>
      <c r="G728" s="3"/>
      <c r="H728" s="31"/>
      <c r="I728" s="31"/>
      <c r="J728" s="3"/>
      <c r="K728" s="3"/>
      <c r="L728" s="3"/>
      <c r="M728" s="3"/>
      <c r="N728" s="3"/>
      <c r="O728" s="3"/>
      <c r="P728" s="3"/>
      <c r="Q728" s="3"/>
      <c r="R728" s="32"/>
      <c r="S728" s="32"/>
      <c r="T728" s="3"/>
      <c r="U728" s="33"/>
      <c r="V728" s="33"/>
      <c r="W728" s="3"/>
      <c r="X728" s="3"/>
      <c r="Y728" s="3"/>
      <c r="Z728" s="3"/>
      <c r="AA728" s="3"/>
      <c r="AB728" s="3"/>
      <c r="AC728" s="3"/>
      <c r="AD728" s="32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4"/>
      <c r="AT728" s="3"/>
      <c r="AU728" s="3"/>
      <c r="AV728" s="3"/>
      <c r="AW728" s="3"/>
      <c r="AX728" s="4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84"/>
      <c r="BZ728" s="84"/>
      <c r="CA728" s="84"/>
      <c r="CB728" s="84"/>
      <c r="CC728" s="84"/>
      <c r="CD728" s="84"/>
      <c r="CE728" s="84"/>
      <c r="CF728" s="84"/>
      <c r="CG728" s="84"/>
      <c r="CH728" s="84"/>
      <c r="CI728" s="84"/>
      <c r="CJ728" s="84"/>
      <c r="CK728" s="84"/>
      <c r="CL728" s="84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220"/>
      <c r="CY728" s="220"/>
      <c r="CZ728" s="220"/>
      <c r="DA728" s="220"/>
      <c r="DB728" s="237"/>
      <c r="DC728" s="238"/>
      <c r="DD728" s="238"/>
      <c r="DE728" s="238"/>
      <c r="DF728" s="238"/>
      <c r="DG728" s="238"/>
      <c r="DH728" s="238"/>
      <c r="DI728" s="238"/>
      <c r="DJ728" s="238"/>
      <c r="DK728" s="238"/>
      <c r="DL728" s="238"/>
      <c r="DM728" s="238"/>
      <c r="DN728" s="238"/>
      <c r="DO728" s="238"/>
      <c r="DP728" s="238"/>
      <c r="DQ728" s="238"/>
      <c r="DR728" s="238"/>
      <c r="DS728" s="238"/>
      <c r="DT728" s="238"/>
      <c r="DU728" s="238"/>
      <c r="DV728" s="238"/>
      <c r="DW728" s="238"/>
      <c r="DX728" s="238"/>
      <c r="DY728" s="238"/>
      <c r="DZ728" s="238"/>
      <c r="EA728" s="238"/>
      <c r="EB728" s="238"/>
      <c r="EC728" s="238"/>
      <c r="ED728" s="3"/>
      <c r="EE728" s="3"/>
      <c r="EF728" s="3"/>
      <c r="EG728" s="3"/>
      <c r="EH728" s="3"/>
    </row>
    <row r="729" spans="1:138" s="82" customFormat="1" x14ac:dyDescent="0.2">
      <c r="A729" s="3"/>
      <c r="B729" s="167"/>
      <c r="C729" s="3"/>
      <c r="D729" s="3"/>
      <c r="E729" s="31"/>
      <c r="F729" s="133"/>
      <c r="G729" s="3"/>
      <c r="H729" s="31"/>
      <c r="I729" s="31"/>
      <c r="J729" s="3"/>
      <c r="K729" s="3"/>
      <c r="L729" s="3"/>
      <c r="M729" s="3"/>
      <c r="N729" s="3"/>
      <c r="O729" s="3"/>
      <c r="P729" s="3"/>
      <c r="Q729" s="3"/>
      <c r="R729" s="32"/>
      <c r="S729" s="32"/>
      <c r="T729" s="3"/>
      <c r="U729" s="33"/>
      <c r="V729" s="33"/>
      <c r="W729" s="3"/>
      <c r="X729" s="3"/>
      <c r="Y729" s="3"/>
      <c r="Z729" s="3"/>
      <c r="AA729" s="3"/>
      <c r="AB729" s="3"/>
      <c r="AC729" s="3"/>
      <c r="AD729" s="32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4"/>
      <c r="AT729" s="3"/>
      <c r="AU729" s="3"/>
      <c r="AV729" s="3"/>
      <c r="AW729" s="3"/>
      <c r="AX729" s="4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220"/>
      <c r="CY729" s="220"/>
      <c r="CZ729" s="220"/>
      <c r="DA729" s="220"/>
      <c r="DB729" s="237"/>
      <c r="DC729" s="238"/>
      <c r="DD729" s="238"/>
      <c r="DE729" s="238"/>
      <c r="DF729" s="238"/>
      <c r="DG729" s="238"/>
      <c r="DH729" s="238"/>
      <c r="DI729" s="238"/>
      <c r="DJ729" s="238"/>
      <c r="DK729" s="238"/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38"/>
      <c r="DW729" s="238"/>
      <c r="DX729" s="238"/>
      <c r="DY729" s="238"/>
      <c r="DZ729" s="238"/>
      <c r="EA729" s="238"/>
      <c r="EB729" s="238"/>
      <c r="EC729" s="238"/>
      <c r="ED729" s="3"/>
      <c r="EE729" s="3"/>
      <c r="EF729" s="3"/>
      <c r="EG729" s="3"/>
      <c r="EH729" s="3"/>
    </row>
    <row r="730" spans="1:138" s="82" customFormat="1" x14ac:dyDescent="0.2">
      <c r="A730" s="3"/>
      <c r="B730" s="167"/>
      <c r="C730" s="3"/>
      <c r="D730" s="3"/>
      <c r="E730" s="31"/>
      <c r="F730" s="133"/>
      <c r="G730" s="3"/>
      <c r="H730" s="31"/>
      <c r="I730" s="31"/>
      <c r="J730" s="3"/>
      <c r="K730" s="3"/>
      <c r="L730" s="3"/>
      <c r="M730" s="3"/>
      <c r="N730" s="3"/>
      <c r="O730" s="3"/>
      <c r="P730" s="3"/>
      <c r="Q730" s="3"/>
      <c r="R730" s="32"/>
      <c r="S730" s="32"/>
      <c r="T730" s="3"/>
      <c r="U730" s="33"/>
      <c r="V730" s="33"/>
      <c r="W730" s="3"/>
      <c r="X730" s="3"/>
      <c r="Y730" s="3"/>
      <c r="Z730" s="3"/>
      <c r="AA730" s="3"/>
      <c r="AB730" s="3"/>
      <c r="AC730" s="3"/>
      <c r="AD730" s="32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4"/>
      <c r="AT730" s="3"/>
      <c r="AU730" s="3"/>
      <c r="AV730" s="3"/>
      <c r="AW730" s="3"/>
      <c r="AX730" s="4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84"/>
      <c r="BZ730" s="84"/>
      <c r="CA730" s="84"/>
      <c r="CB730" s="84"/>
      <c r="CC730" s="84"/>
      <c r="CD730" s="84"/>
      <c r="CE730" s="84"/>
      <c r="CF730" s="84"/>
      <c r="CG730" s="84"/>
      <c r="CH730" s="84"/>
      <c r="CI730" s="84"/>
      <c r="CJ730" s="84"/>
      <c r="CK730" s="84"/>
      <c r="CL730" s="84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220"/>
      <c r="CY730" s="220"/>
      <c r="CZ730" s="220"/>
      <c r="DA730" s="220"/>
      <c r="DB730" s="237"/>
      <c r="DC730" s="238"/>
      <c r="DD730" s="238"/>
      <c r="DE730" s="238"/>
      <c r="DF730" s="238"/>
      <c r="DG730" s="238"/>
      <c r="DH730" s="238"/>
      <c r="DI730" s="238"/>
      <c r="DJ730" s="238"/>
      <c r="DK730" s="238"/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38"/>
      <c r="DW730" s="238"/>
      <c r="DX730" s="238"/>
      <c r="DY730" s="238"/>
      <c r="DZ730" s="238"/>
      <c r="EA730" s="238"/>
      <c r="EB730" s="238"/>
      <c r="EC730" s="238"/>
      <c r="ED730" s="3"/>
      <c r="EE730" s="3"/>
      <c r="EF730" s="3"/>
      <c r="EG730" s="3"/>
      <c r="EH730" s="3"/>
    </row>
    <row r="731" spans="1:138" s="82" customFormat="1" x14ac:dyDescent="0.2">
      <c r="A731" s="3"/>
      <c r="B731" s="167"/>
      <c r="C731" s="3"/>
      <c r="D731" s="3"/>
      <c r="E731" s="31"/>
      <c r="F731" s="133"/>
      <c r="G731" s="3"/>
      <c r="H731" s="31"/>
      <c r="I731" s="31"/>
      <c r="J731" s="3"/>
      <c r="K731" s="3"/>
      <c r="L731" s="3"/>
      <c r="M731" s="3"/>
      <c r="N731" s="3"/>
      <c r="O731" s="3"/>
      <c r="P731" s="3"/>
      <c r="Q731" s="3"/>
      <c r="R731" s="32"/>
      <c r="S731" s="32"/>
      <c r="T731" s="3"/>
      <c r="U731" s="33"/>
      <c r="V731" s="33"/>
      <c r="W731" s="3"/>
      <c r="X731" s="3"/>
      <c r="Y731" s="3"/>
      <c r="Z731" s="3"/>
      <c r="AA731" s="3"/>
      <c r="AB731" s="3"/>
      <c r="AC731" s="3"/>
      <c r="AD731" s="32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4"/>
      <c r="AT731" s="3"/>
      <c r="AU731" s="3"/>
      <c r="AV731" s="3"/>
      <c r="AW731" s="3"/>
      <c r="AX731" s="4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220"/>
      <c r="CY731" s="220"/>
      <c r="CZ731" s="220"/>
      <c r="DA731" s="220"/>
      <c r="DB731" s="237"/>
      <c r="DC731" s="238"/>
      <c r="DD731" s="238"/>
      <c r="DE731" s="238"/>
      <c r="DF731" s="238"/>
      <c r="DG731" s="238"/>
      <c r="DH731" s="238"/>
      <c r="DI731" s="238"/>
      <c r="DJ731" s="238"/>
      <c r="DK731" s="238"/>
      <c r="DL731" s="238"/>
      <c r="DM731" s="238"/>
      <c r="DN731" s="238"/>
      <c r="DO731" s="238"/>
      <c r="DP731" s="238"/>
      <c r="DQ731" s="238"/>
      <c r="DR731" s="238"/>
      <c r="DS731" s="238"/>
      <c r="DT731" s="238"/>
      <c r="DU731" s="238"/>
      <c r="DV731" s="238"/>
      <c r="DW731" s="238"/>
      <c r="DX731" s="238"/>
      <c r="DY731" s="238"/>
      <c r="DZ731" s="238"/>
      <c r="EA731" s="238"/>
      <c r="EB731" s="238"/>
      <c r="EC731" s="238"/>
      <c r="ED731" s="3"/>
      <c r="EE731" s="3"/>
      <c r="EF731" s="3"/>
      <c r="EG731" s="3"/>
      <c r="EH731" s="3"/>
    </row>
    <row r="732" spans="1:138" s="82" customFormat="1" x14ac:dyDescent="0.2">
      <c r="A732" s="3"/>
      <c r="B732" s="167"/>
      <c r="C732" s="3"/>
      <c r="D732" s="3"/>
      <c r="E732" s="31"/>
      <c r="F732" s="133"/>
      <c r="G732" s="3"/>
      <c r="H732" s="31"/>
      <c r="I732" s="31"/>
      <c r="J732" s="3"/>
      <c r="K732" s="3"/>
      <c r="L732" s="3"/>
      <c r="M732" s="3"/>
      <c r="N732" s="3"/>
      <c r="O732" s="3"/>
      <c r="P732" s="3"/>
      <c r="Q732" s="3"/>
      <c r="R732" s="32"/>
      <c r="S732" s="32"/>
      <c r="T732" s="3"/>
      <c r="U732" s="33"/>
      <c r="V732" s="33"/>
      <c r="W732" s="3"/>
      <c r="X732" s="3"/>
      <c r="Y732" s="3"/>
      <c r="Z732" s="3"/>
      <c r="AA732" s="3"/>
      <c r="AB732" s="3"/>
      <c r="AC732" s="3"/>
      <c r="AD732" s="32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4"/>
      <c r="AT732" s="3"/>
      <c r="AU732" s="3"/>
      <c r="AV732" s="3"/>
      <c r="AW732" s="3"/>
      <c r="AX732" s="4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84"/>
      <c r="BZ732" s="84"/>
      <c r="CA732" s="84"/>
      <c r="CB732" s="84"/>
      <c r="CC732" s="84"/>
      <c r="CD732" s="84"/>
      <c r="CE732" s="84"/>
      <c r="CF732" s="84"/>
      <c r="CG732" s="84"/>
      <c r="CH732" s="84"/>
      <c r="CI732" s="84"/>
      <c r="CJ732" s="84"/>
      <c r="CK732" s="84"/>
      <c r="CL732" s="84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220"/>
      <c r="CY732" s="220"/>
      <c r="CZ732" s="220"/>
      <c r="DA732" s="220"/>
      <c r="DB732" s="237"/>
      <c r="DC732" s="238"/>
      <c r="DD732" s="238"/>
      <c r="DE732" s="238"/>
      <c r="DF732" s="238"/>
      <c r="DG732" s="238"/>
      <c r="DH732" s="238"/>
      <c r="DI732" s="238"/>
      <c r="DJ732" s="238"/>
      <c r="DK732" s="238"/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38"/>
      <c r="DW732" s="238"/>
      <c r="DX732" s="238"/>
      <c r="DY732" s="238"/>
      <c r="DZ732" s="238"/>
      <c r="EA732" s="238"/>
      <c r="EB732" s="238"/>
      <c r="EC732" s="238"/>
      <c r="ED732" s="3"/>
      <c r="EE732" s="3"/>
      <c r="EF732" s="3"/>
      <c r="EG732" s="3"/>
      <c r="EH732" s="3"/>
    </row>
    <row r="733" spans="1:138" s="82" customFormat="1" x14ac:dyDescent="0.2">
      <c r="A733" s="3"/>
      <c r="B733" s="167"/>
      <c r="C733" s="3"/>
      <c r="D733" s="3"/>
      <c r="E733" s="31"/>
      <c r="F733" s="133"/>
      <c r="G733" s="3"/>
      <c r="H733" s="31"/>
      <c r="I733" s="31"/>
      <c r="J733" s="3"/>
      <c r="K733" s="3"/>
      <c r="L733" s="3"/>
      <c r="M733" s="3"/>
      <c r="N733" s="3"/>
      <c r="O733" s="3"/>
      <c r="P733" s="3"/>
      <c r="Q733" s="3"/>
      <c r="R733" s="32"/>
      <c r="S733" s="32"/>
      <c r="T733" s="3"/>
      <c r="U733" s="33"/>
      <c r="V733" s="33"/>
      <c r="W733" s="3"/>
      <c r="X733" s="3"/>
      <c r="Y733" s="3"/>
      <c r="Z733" s="3"/>
      <c r="AA733" s="3"/>
      <c r="AB733" s="3"/>
      <c r="AC733" s="3"/>
      <c r="AD733" s="32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4"/>
      <c r="AT733" s="3"/>
      <c r="AU733" s="3"/>
      <c r="AV733" s="3"/>
      <c r="AW733" s="3"/>
      <c r="AX733" s="4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84"/>
      <c r="BZ733" s="84"/>
      <c r="CA733" s="84"/>
      <c r="CB733" s="84"/>
      <c r="CC733" s="84"/>
      <c r="CD733" s="84"/>
      <c r="CE733" s="84"/>
      <c r="CF733" s="84"/>
      <c r="CG733" s="84"/>
      <c r="CH733" s="84"/>
      <c r="CI733" s="84"/>
      <c r="CJ733" s="84"/>
      <c r="CK733" s="84"/>
      <c r="CL733" s="84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220"/>
      <c r="CY733" s="220"/>
      <c r="CZ733" s="220"/>
      <c r="DA733" s="220"/>
      <c r="DB733" s="237"/>
      <c r="DC733" s="238"/>
      <c r="DD733" s="238"/>
      <c r="DE733" s="238"/>
      <c r="DF733" s="238"/>
      <c r="DG733" s="238"/>
      <c r="DH733" s="238"/>
      <c r="DI733" s="238"/>
      <c r="DJ733" s="238"/>
      <c r="DK733" s="238"/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38"/>
      <c r="DW733" s="238"/>
      <c r="DX733" s="238"/>
      <c r="DY733" s="238"/>
      <c r="DZ733" s="238"/>
      <c r="EA733" s="238"/>
      <c r="EB733" s="238"/>
      <c r="EC733" s="238"/>
      <c r="ED733" s="3"/>
      <c r="EE733" s="3"/>
      <c r="EF733" s="3"/>
      <c r="EG733" s="3"/>
      <c r="EH733" s="3"/>
    </row>
    <row r="734" spans="1:138" s="82" customFormat="1" x14ac:dyDescent="0.2">
      <c r="A734" s="3"/>
      <c r="B734" s="167"/>
      <c r="C734" s="3"/>
      <c r="D734" s="3"/>
      <c r="E734" s="31"/>
      <c r="F734" s="133"/>
      <c r="G734" s="3"/>
      <c r="H734" s="31"/>
      <c r="I734" s="31"/>
      <c r="J734" s="3"/>
      <c r="K734" s="3"/>
      <c r="L734" s="3"/>
      <c r="M734" s="3"/>
      <c r="N734" s="3"/>
      <c r="O734" s="3"/>
      <c r="P734" s="3"/>
      <c r="Q734" s="3"/>
      <c r="R734" s="32"/>
      <c r="S734" s="32"/>
      <c r="T734" s="3"/>
      <c r="U734" s="33"/>
      <c r="V734" s="33"/>
      <c r="W734" s="3"/>
      <c r="X734" s="3"/>
      <c r="Y734" s="3"/>
      <c r="Z734" s="3"/>
      <c r="AA734" s="3"/>
      <c r="AB734" s="3"/>
      <c r="AC734" s="3"/>
      <c r="AD734" s="32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4"/>
      <c r="AT734" s="3"/>
      <c r="AU734" s="3"/>
      <c r="AV734" s="3"/>
      <c r="AW734" s="3"/>
      <c r="AX734" s="4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84"/>
      <c r="BZ734" s="84"/>
      <c r="CA734" s="84"/>
      <c r="CB734" s="84"/>
      <c r="CC734" s="84"/>
      <c r="CD734" s="84"/>
      <c r="CE734" s="84"/>
      <c r="CF734" s="84"/>
      <c r="CG734" s="84"/>
      <c r="CH734" s="84"/>
      <c r="CI734" s="84"/>
      <c r="CJ734" s="84"/>
      <c r="CK734" s="84"/>
      <c r="CL734" s="84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220"/>
      <c r="CY734" s="220"/>
      <c r="CZ734" s="220"/>
      <c r="DA734" s="220"/>
      <c r="DB734" s="237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38"/>
      <c r="DW734" s="238"/>
      <c r="DX734" s="238"/>
      <c r="DY734" s="238"/>
      <c r="DZ734" s="238"/>
      <c r="EA734" s="238"/>
      <c r="EB734" s="238"/>
      <c r="EC734" s="238"/>
      <c r="ED734" s="3"/>
      <c r="EE734" s="3"/>
      <c r="EF734" s="3"/>
      <c r="EG734" s="3"/>
      <c r="EH734" s="3"/>
    </row>
    <row r="735" spans="1:138" s="82" customFormat="1" x14ac:dyDescent="0.2">
      <c r="A735" s="3"/>
      <c r="B735" s="167"/>
      <c r="C735" s="3"/>
      <c r="D735" s="3"/>
      <c r="E735" s="31"/>
      <c r="F735" s="133"/>
      <c r="G735" s="3"/>
      <c r="H735" s="31"/>
      <c r="I735" s="31"/>
      <c r="J735" s="3"/>
      <c r="K735" s="3"/>
      <c r="L735" s="3"/>
      <c r="M735" s="3"/>
      <c r="N735" s="3"/>
      <c r="O735" s="3"/>
      <c r="P735" s="3"/>
      <c r="Q735" s="3"/>
      <c r="R735" s="32"/>
      <c r="S735" s="32"/>
      <c r="T735" s="3"/>
      <c r="U735" s="33"/>
      <c r="V735" s="33"/>
      <c r="W735" s="3"/>
      <c r="X735" s="3"/>
      <c r="Y735" s="3"/>
      <c r="Z735" s="3"/>
      <c r="AA735" s="3"/>
      <c r="AB735" s="3"/>
      <c r="AC735" s="3"/>
      <c r="AD735" s="32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4"/>
      <c r="AT735" s="3"/>
      <c r="AU735" s="3"/>
      <c r="AV735" s="3"/>
      <c r="AW735" s="3"/>
      <c r="AX735" s="4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84"/>
      <c r="BZ735" s="84"/>
      <c r="CA735" s="84"/>
      <c r="CB735" s="84"/>
      <c r="CC735" s="84"/>
      <c r="CD735" s="84"/>
      <c r="CE735" s="84"/>
      <c r="CF735" s="84"/>
      <c r="CG735" s="84"/>
      <c r="CH735" s="84"/>
      <c r="CI735" s="84"/>
      <c r="CJ735" s="84"/>
      <c r="CK735" s="84"/>
      <c r="CL735" s="84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220"/>
      <c r="CY735" s="220"/>
      <c r="CZ735" s="220"/>
      <c r="DA735" s="220"/>
      <c r="DB735" s="237"/>
      <c r="DC735" s="238"/>
      <c r="DD735" s="238"/>
      <c r="DE735" s="238"/>
      <c r="DF735" s="238"/>
      <c r="DG735" s="238"/>
      <c r="DH735" s="238"/>
      <c r="DI735" s="238"/>
      <c r="DJ735" s="238"/>
      <c r="DK735" s="238"/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38"/>
      <c r="DW735" s="238"/>
      <c r="DX735" s="238"/>
      <c r="DY735" s="238"/>
      <c r="DZ735" s="238"/>
      <c r="EA735" s="238"/>
      <c r="EB735" s="238"/>
      <c r="EC735" s="238"/>
      <c r="ED735" s="3"/>
      <c r="EE735" s="3"/>
      <c r="EF735" s="3"/>
      <c r="EG735" s="3"/>
      <c r="EH735" s="3"/>
    </row>
    <row r="736" spans="1:138" s="82" customFormat="1" x14ac:dyDescent="0.2">
      <c r="A736" s="3"/>
      <c r="B736" s="167"/>
      <c r="C736" s="3"/>
      <c r="D736" s="3"/>
      <c r="E736" s="31"/>
      <c r="F736" s="133"/>
      <c r="G736" s="3"/>
      <c r="H736" s="31"/>
      <c r="I736" s="31"/>
      <c r="J736" s="3"/>
      <c r="K736" s="3"/>
      <c r="L736" s="3"/>
      <c r="M736" s="3"/>
      <c r="N736" s="3"/>
      <c r="O736" s="3"/>
      <c r="P736" s="3"/>
      <c r="Q736" s="3"/>
      <c r="R736" s="32"/>
      <c r="S736" s="32"/>
      <c r="T736" s="3"/>
      <c r="U736" s="33"/>
      <c r="V736" s="33"/>
      <c r="W736" s="3"/>
      <c r="X736" s="3"/>
      <c r="Y736" s="3"/>
      <c r="Z736" s="3"/>
      <c r="AA736" s="3"/>
      <c r="AB736" s="3"/>
      <c r="AC736" s="3"/>
      <c r="AD736" s="32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4"/>
      <c r="AT736" s="3"/>
      <c r="AU736" s="3"/>
      <c r="AV736" s="3"/>
      <c r="AW736" s="3"/>
      <c r="AX736" s="4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84"/>
      <c r="BZ736" s="84"/>
      <c r="CA736" s="84"/>
      <c r="CB736" s="84"/>
      <c r="CC736" s="84"/>
      <c r="CD736" s="84"/>
      <c r="CE736" s="84"/>
      <c r="CF736" s="84"/>
      <c r="CG736" s="84"/>
      <c r="CH736" s="84"/>
      <c r="CI736" s="84"/>
      <c r="CJ736" s="84"/>
      <c r="CK736" s="84"/>
      <c r="CL736" s="84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220"/>
      <c r="CY736" s="220"/>
      <c r="CZ736" s="220"/>
      <c r="DA736" s="220"/>
      <c r="DB736" s="237"/>
      <c r="DC736" s="238"/>
      <c r="DD736" s="238"/>
      <c r="DE736" s="238"/>
      <c r="DF736" s="238"/>
      <c r="DG736" s="238"/>
      <c r="DH736" s="238"/>
      <c r="DI736" s="238"/>
      <c r="DJ736" s="238"/>
      <c r="DK736" s="238"/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38"/>
      <c r="DW736" s="238"/>
      <c r="DX736" s="238"/>
      <c r="DY736" s="238"/>
      <c r="DZ736" s="238"/>
      <c r="EA736" s="238"/>
      <c r="EB736" s="238"/>
      <c r="EC736" s="238"/>
      <c r="ED736" s="3"/>
      <c r="EE736" s="3"/>
      <c r="EF736" s="3"/>
      <c r="EG736" s="3"/>
      <c r="EH736" s="3"/>
    </row>
    <row r="737" spans="1:138" s="82" customFormat="1" x14ac:dyDescent="0.2">
      <c r="A737" s="3"/>
      <c r="B737" s="167"/>
      <c r="C737" s="3"/>
      <c r="D737" s="3"/>
      <c r="E737" s="31"/>
      <c r="F737" s="133"/>
      <c r="G737" s="3"/>
      <c r="H737" s="31"/>
      <c r="I737" s="31"/>
      <c r="J737" s="3"/>
      <c r="K737" s="3"/>
      <c r="L737" s="3"/>
      <c r="M737" s="3"/>
      <c r="N737" s="3"/>
      <c r="O737" s="3"/>
      <c r="P737" s="3"/>
      <c r="Q737" s="3"/>
      <c r="R737" s="32"/>
      <c r="S737" s="32"/>
      <c r="T737" s="3"/>
      <c r="U737" s="33"/>
      <c r="V737" s="33"/>
      <c r="W737" s="3"/>
      <c r="X737" s="3"/>
      <c r="Y737" s="3"/>
      <c r="Z737" s="3"/>
      <c r="AA737" s="3"/>
      <c r="AB737" s="3"/>
      <c r="AC737" s="3"/>
      <c r="AD737" s="32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4"/>
      <c r="AT737" s="3"/>
      <c r="AU737" s="3"/>
      <c r="AV737" s="3"/>
      <c r="AW737" s="3"/>
      <c r="AX737" s="4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84"/>
      <c r="BZ737" s="84"/>
      <c r="CA737" s="84"/>
      <c r="CB737" s="84"/>
      <c r="CC737" s="84"/>
      <c r="CD737" s="84"/>
      <c r="CE737" s="84"/>
      <c r="CF737" s="84"/>
      <c r="CG737" s="84"/>
      <c r="CH737" s="84"/>
      <c r="CI737" s="84"/>
      <c r="CJ737" s="84"/>
      <c r="CK737" s="84"/>
      <c r="CL737" s="84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220"/>
      <c r="CY737" s="220"/>
      <c r="CZ737" s="220"/>
      <c r="DA737" s="220"/>
      <c r="DB737" s="237"/>
      <c r="DC737" s="238"/>
      <c r="DD737" s="238"/>
      <c r="DE737" s="238"/>
      <c r="DF737" s="238"/>
      <c r="DG737" s="238"/>
      <c r="DH737" s="238"/>
      <c r="DI737" s="238"/>
      <c r="DJ737" s="238"/>
      <c r="DK737" s="238"/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38"/>
      <c r="DW737" s="238"/>
      <c r="DX737" s="238"/>
      <c r="DY737" s="238"/>
      <c r="DZ737" s="238"/>
      <c r="EA737" s="238"/>
      <c r="EB737" s="238"/>
      <c r="EC737" s="238"/>
      <c r="ED737" s="3"/>
      <c r="EE737" s="3"/>
      <c r="EF737" s="3"/>
      <c r="EG737" s="3"/>
      <c r="EH737" s="3"/>
    </row>
    <row r="738" spans="1:138" s="82" customFormat="1" x14ac:dyDescent="0.2">
      <c r="A738" s="3"/>
      <c r="B738" s="167"/>
      <c r="C738" s="3"/>
      <c r="D738" s="3"/>
      <c r="E738" s="31"/>
      <c r="F738" s="133"/>
      <c r="G738" s="3"/>
      <c r="H738" s="31"/>
      <c r="I738" s="31"/>
      <c r="J738" s="3"/>
      <c r="K738" s="3"/>
      <c r="L738" s="3"/>
      <c r="M738" s="3"/>
      <c r="N738" s="3"/>
      <c r="O738" s="3"/>
      <c r="P738" s="3"/>
      <c r="Q738" s="3"/>
      <c r="R738" s="32"/>
      <c r="S738" s="32"/>
      <c r="T738" s="3"/>
      <c r="U738" s="33"/>
      <c r="V738" s="33"/>
      <c r="W738" s="3"/>
      <c r="X738" s="3"/>
      <c r="Y738" s="3"/>
      <c r="Z738" s="3"/>
      <c r="AA738" s="3"/>
      <c r="AB738" s="3"/>
      <c r="AC738" s="3"/>
      <c r="AD738" s="32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4"/>
      <c r="AT738" s="3"/>
      <c r="AU738" s="3"/>
      <c r="AV738" s="3"/>
      <c r="AW738" s="3"/>
      <c r="AX738" s="4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84"/>
      <c r="BZ738" s="84"/>
      <c r="CA738" s="84"/>
      <c r="CB738" s="84"/>
      <c r="CC738" s="84"/>
      <c r="CD738" s="84"/>
      <c r="CE738" s="84"/>
      <c r="CF738" s="84"/>
      <c r="CG738" s="84"/>
      <c r="CH738" s="84"/>
      <c r="CI738" s="84"/>
      <c r="CJ738" s="84"/>
      <c r="CK738" s="84"/>
      <c r="CL738" s="84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220"/>
      <c r="CY738" s="220"/>
      <c r="CZ738" s="220"/>
      <c r="DA738" s="220"/>
      <c r="DB738" s="237"/>
      <c r="DC738" s="238"/>
      <c r="DD738" s="238"/>
      <c r="DE738" s="238"/>
      <c r="DF738" s="238"/>
      <c r="DG738" s="238"/>
      <c r="DH738" s="238"/>
      <c r="DI738" s="238"/>
      <c r="DJ738" s="238"/>
      <c r="DK738" s="238"/>
      <c r="DL738" s="238"/>
      <c r="DM738" s="238"/>
      <c r="DN738" s="238"/>
      <c r="DO738" s="238"/>
      <c r="DP738" s="238"/>
      <c r="DQ738" s="238"/>
      <c r="DR738" s="238"/>
      <c r="DS738" s="238"/>
      <c r="DT738" s="238"/>
      <c r="DU738" s="238"/>
      <c r="DV738" s="238"/>
      <c r="DW738" s="238"/>
      <c r="DX738" s="238"/>
      <c r="DY738" s="238"/>
      <c r="DZ738" s="238"/>
      <c r="EA738" s="238"/>
      <c r="EB738" s="238"/>
      <c r="EC738" s="238"/>
      <c r="ED738" s="3"/>
      <c r="EE738" s="3"/>
      <c r="EF738" s="3"/>
      <c r="EG738" s="3"/>
      <c r="EH738" s="3"/>
    </row>
    <row r="739" spans="1:138" s="82" customFormat="1" x14ac:dyDescent="0.2">
      <c r="A739" s="3"/>
      <c r="B739" s="167"/>
      <c r="C739" s="3"/>
      <c r="D739" s="3"/>
      <c r="E739" s="31"/>
      <c r="F739" s="133"/>
      <c r="G739" s="3"/>
      <c r="H739" s="31"/>
      <c r="I739" s="31"/>
      <c r="J739" s="3"/>
      <c r="K739" s="3"/>
      <c r="L739" s="3"/>
      <c r="M739" s="3"/>
      <c r="N739" s="3"/>
      <c r="O739" s="3"/>
      <c r="P739" s="3"/>
      <c r="Q739" s="3"/>
      <c r="R739" s="32"/>
      <c r="S739" s="32"/>
      <c r="T739" s="3"/>
      <c r="U739" s="33"/>
      <c r="V739" s="33"/>
      <c r="W739" s="3"/>
      <c r="X739" s="3"/>
      <c r="Y739" s="3"/>
      <c r="Z739" s="3"/>
      <c r="AA739" s="3"/>
      <c r="AB739" s="3"/>
      <c r="AC739" s="3"/>
      <c r="AD739" s="32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4"/>
      <c r="AT739" s="3"/>
      <c r="AU739" s="3"/>
      <c r="AV739" s="3"/>
      <c r="AW739" s="3"/>
      <c r="AX739" s="4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84"/>
      <c r="BZ739" s="84"/>
      <c r="CA739" s="84"/>
      <c r="CB739" s="84"/>
      <c r="CC739" s="84"/>
      <c r="CD739" s="84"/>
      <c r="CE739" s="84"/>
      <c r="CF739" s="84"/>
      <c r="CG739" s="84"/>
      <c r="CH739" s="84"/>
      <c r="CI739" s="84"/>
      <c r="CJ739" s="84"/>
      <c r="CK739" s="84"/>
      <c r="CL739" s="84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220"/>
      <c r="CY739" s="220"/>
      <c r="CZ739" s="220"/>
      <c r="DA739" s="220"/>
      <c r="DB739" s="237"/>
      <c r="DC739" s="238"/>
      <c r="DD739" s="238"/>
      <c r="DE739" s="238"/>
      <c r="DF739" s="238"/>
      <c r="DG739" s="238"/>
      <c r="DH739" s="238"/>
      <c r="DI739" s="238"/>
      <c r="DJ739" s="238"/>
      <c r="DK739" s="238"/>
      <c r="DL739" s="238"/>
      <c r="DM739" s="238"/>
      <c r="DN739" s="238"/>
      <c r="DO739" s="238"/>
      <c r="DP739" s="238"/>
      <c r="DQ739" s="238"/>
      <c r="DR739" s="238"/>
      <c r="DS739" s="238"/>
      <c r="DT739" s="238"/>
      <c r="DU739" s="238"/>
      <c r="DV739" s="238"/>
      <c r="DW739" s="238"/>
      <c r="DX739" s="238"/>
      <c r="DY739" s="238"/>
      <c r="DZ739" s="238"/>
      <c r="EA739" s="238"/>
      <c r="EB739" s="238"/>
      <c r="EC739" s="238"/>
      <c r="ED739" s="3"/>
      <c r="EE739" s="3"/>
      <c r="EF739" s="3"/>
      <c r="EG739" s="3"/>
      <c r="EH739" s="3"/>
    </row>
    <row r="740" spans="1:138" s="82" customFormat="1" x14ac:dyDescent="0.2">
      <c r="A740" s="3"/>
      <c r="B740" s="167"/>
      <c r="C740" s="3"/>
      <c r="D740" s="3"/>
      <c r="E740" s="31"/>
      <c r="F740" s="133"/>
      <c r="G740" s="3"/>
      <c r="H740" s="31"/>
      <c r="I740" s="31"/>
      <c r="J740" s="3"/>
      <c r="K740" s="3"/>
      <c r="L740" s="3"/>
      <c r="M740" s="3"/>
      <c r="N740" s="3"/>
      <c r="O740" s="3"/>
      <c r="P740" s="3"/>
      <c r="Q740" s="3"/>
      <c r="R740" s="32"/>
      <c r="S740" s="32"/>
      <c r="T740" s="3"/>
      <c r="U740" s="33"/>
      <c r="V740" s="33"/>
      <c r="W740" s="3"/>
      <c r="X740" s="3"/>
      <c r="Y740" s="3"/>
      <c r="Z740" s="3"/>
      <c r="AA740" s="3"/>
      <c r="AB740" s="3"/>
      <c r="AC740" s="3"/>
      <c r="AD740" s="32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4"/>
      <c r="AT740" s="3"/>
      <c r="AU740" s="3"/>
      <c r="AV740" s="3"/>
      <c r="AW740" s="3"/>
      <c r="AX740" s="4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84"/>
      <c r="BZ740" s="84"/>
      <c r="CA740" s="84"/>
      <c r="CB740" s="84"/>
      <c r="CC740" s="84"/>
      <c r="CD740" s="84"/>
      <c r="CE740" s="84"/>
      <c r="CF740" s="84"/>
      <c r="CG740" s="84"/>
      <c r="CH740" s="84"/>
      <c r="CI740" s="84"/>
      <c r="CJ740" s="84"/>
      <c r="CK740" s="84"/>
      <c r="CL740" s="84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220"/>
      <c r="CY740" s="220"/>
      <c r="CZ740" s="220"/>
      <c r="DA740" s="220"/>
      <c r="DB740" s="237"/>
      <c r="DC740" s="238"/>
      <c r="DD740" s="238"/>
      <c r="DE740" s="238"/>
      <c r="DF740" s="238"/>
      <c r="DG740" s="238"/>
      <c r="DH740" s="238"/>
      <c r="DI740" s="238"/>
      <c r="DJ740" s="238"/>
      <c r="DK740" s="238"/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38"/>
      <c r="DW740" s="238"/>
      <c r="DX740" s="238"/>
      <c r="DY740" s="238"/>
      <c r="DZ740" s="238"/>
      <c r="EA740" s="238"/>
      <c r="EB740" s="238"/>
      <c r="EC740" s="238"/>
      <c r="ED740" s="3"/>
      <c r="EE740" s="3"/>
      <c r="EF740" s="3"/>
      <c r="EG740" s="3"/>
      <c r="EH740" s="3"/>
    </row>
    <row r="741" spans="1:138" s="82" customFormat="1" x14ac:dyDescent="0.2">
      <c r="A741" s="3"/>
      <c r="B741" s="167"/>
      <c r="C741" s="3"/>
      <c r="D741" s="3"/>
      <c r="E741" s="31"/>
      <c r="F741" s="133"/>
      <c r="G741" s="3"/>
      <c r="H741" s="31"/>
      <c r="I741" s="31"/>
      <c r="J741" s="3"/>
      <c r="K741" s="3"/>
      <c r="L741" s="3"/>
      <c r="M741" s="3"/>
      <c r="N741" s="3"/>
      <c r="O741" s="3"/>
      <c r="P741" s="3"/>
      <c r="Q741" s="3"/>
      <c r="R741" s="32"/>
      <c r="S741" s="32"/>
      <c r="T741" s="3"/>
      <c r="U741" s="33"/>
      <c r="V741" s="33"/>
      <c r="W741" s="3"/>
      <c r="X741" s="3"/>
      <c r="Y741" s="3"/>
      <c r="Z741" s="3"/>
      <c r="AA741" s="3"/>
      <c r="AB741" s="3"/>
      <c r="AC741" s="3"/>
      <c r="AD741" s="32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4"/>
      <c r="AT741" s="3"/>
      <c r="AU741" s="3"/>
      <c r="AV741" s="3"/>
      <c r="AW741" s="3"/>
      <c r="AX741" s="4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84"/>
      <c r="BZ741" s="84"/>
      <c r="CA741" s="84"/>
      <c r="CB741" s="84"/>
      <c r="CC741" s="84"/>
      <c r="CD741" s="84"/>
      <c r="CE741" s="84"/>
      <c r="CF741" s="84"/>
      <c r="CG741" s="84"/>
      <c r="CH741" s="84"/>
      <c r="CI741" s="84"/>
      <c r="CJ741" s="84"/>
      <c r="CK741" s="84"/>
      <c r="CL741" s="84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220"/>
      <c r="CY741" s="220"/>
      <c r="CZ741" s="220"/>
      <c r="DA741" s="220"/>
      <c r="DB741" s="237"/>
      <c r="DC741" s="238"/>
      <c r="DD741" s="238"/>
      <c r="DE741" s="238"/>
      <c r="DF741" s="238"/>
      <c r="DG741" s="238"/>
      <c r="DH741" s="238"/>
      <c r="DI741" s="238"/>
      <c r="DJ741" s="238"/>
      <c r="DK741" s="238"/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38"/>
      <c r="DW741" s="238"/>
      <c r="DX741" s="238"/>
      <c r="DY741" s="238"/>
      <c r="DZ741" s="238"/>
      <c r="EA741" s="238"/>
      <c r="EB741" s="238"/>
      <c r="EC741" s="238"/>
      <c r="ED741" s="3"/>
      <c r="EE741" s="3"/>
      <c r="EF741" s="3"/>
      <c r="EG741" s="3"/>
      <c r="EH741" s="3"/>
    </row>
    <row r="742" spans="1:138" s="82" customFormat="1" x14ac:dyDescent="0.2">
      <c r="A742" s="3"/>
      <c r="B742" s="167"/>
      <c r="C742" s="3"/>
      <c r="D742" s="3"/>
      <c r="E742" s="31"/>
      <c r="F742" s="133"/>
      <c r="G742" s="3"/>
      <c r="H742" s="31"/>
      <c r="I742" s="31"/>
      <c r="J742" s="3"/>
      <c r="K742" s="3"/>
      <c r="L742" s="3"/>
      <c r="M742" s="3"/>
      <c r="N742" s="3"/>
      <c r="O742" s="3"/>
      <c r="P742" s="3"/>
      <c r="Q742" s="3"/>
      <c r="R742" s="32"/>
      <c r="S742" s="32"/>
      <c r="T742" s="3"/>
      <c r="U742" s="33"/>
      <c r="V742" s="33"/>
      <c r="W742" s="3"/>
      <c r="X742" s="3"/>
      <c r="Y742" s="3"/>
      <c r="Z742" s="3"/>
      <c r="AA742" s="3"/>
      <c r="AB742" s="3"/>
      <c r="AC742" s="3"/>
      <c r="AD742" s="32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4"/>
      <c r="AT742" s="3"/>
      <c r="AU742" s="3"/>
      <c r="AV742" s="3"/>
      <c r="AW742" s="3"/>
      <c r="AX742" s="4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84"/>
      <c r="BZ742" s="84"/>
      <c r="CA742" s="84"/>
      <c r="CB742" s="84"/>
      <c r="CC742" s="84"/>
      <c r="CD742" s="84"/>
      <c r="CE742" s="84"/>
      <c r="CF742" s="84"/>
      <c r="CG742" s="84"/>
      <c r="CH742" s="84"/>
      <c r="CI742" s="84"/>
      <c r="CJ742" s="84"/>
      <c r="CK742" s="84"/>
      <c r="CL742" s="84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220"/>
      <c r="CY742" s="220"/>
      <c r="CZ742" s="220"/>
      <c r="DA742" s="220"/>
      <c r="DB742" s="237"/>
      <c r="DC742" s="238"/>
      <c r="DD742" s="238"/>
      <c r="DE742" s="238"/>
      <c r="DF742" s="238"/>
      <c r="DG742" s="238"/>
      <c r="DH742" s="238"/>
      <c r="DI742" s="238"/>
      <c r="DJ742" s="238"/>
      <c r="DK742" s="238"/>
      <c r="DL742" s="238"/>
      <c r="DM742" s="238"/>
      <c r="DN742" s="238"/>
      <c r="DO742" s="238"/>
      <c r="DP742" s="238"/>
      <c r="DQ742" s="238"/>
      <c r="DR742" s="238"/>
      <c r="DS742" s="238"/>
      <c r="DT742" s="238"/>
      <c r="DU742" s="238"/>
      <c r="DV742" s="238"/>
      <c r="DW742" s="238"/>
      <c r="DX742" s="238"/>
      <c r="DY742" s="238"/>
      <c r="DZ742" s="238"/>
      <c r="EA742" s="238"/>
      <c r="EB742" s="238"/>
      <c r="EC742" s="238"/>
      <c r="ED742" s="3"/>
      <c r="EE742" s="3"/>
      <c r="EF742" s="3"/>
      <c r="EG742" s="3"/>
      <c r="EH742" s="3"/>
    </row>
    <row r="743" spans="1:138" s="82" customFormat="1" x14ac:dyDescent="0.2">
      <c r="A743" s="3"/>
      <c r="B743" s="167"/>
      <c r="C743" s="3"/>
      <c r="D743" s="3"/>
      <c r="E743" s="31"/>
      <c r="F743" s="133"/>
      <c r="G743" s="3"/>
      <c r="H743" s="31"/>
      <c r="I743" s="31"/>
      <c r="J743" s="3"/>
      <c r="K743" s="3"/>
      <c r="L743" s="3"/>
      <c r="M743" s="3"/>
      <c r="N743" s="3"/>
      <c r="O743" s="3"/>
      <c r="P743" s="3"/>
      <c r="Q743" s="3"/>
      <c r="R743" s="32"/>
      <c r="S743" s="32"/>
      <c r="T743" s="3"/>
      <c r="U743" s="33"/>
      <c r="V743" s="33"/>
      <c r="W743" s="3"/>
      <c r="X743" s="3"/>
      <c r="Y743" s="3"/>
      <c r="Z743" s="3"/>
      <c r="AA743" s="3"/>
      <c r="AB743" s="3"/>
      <c r="AC743" s="3"/>
      <c r="AD743" s="32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4"/>
      <c r="AT743" s="3"/>
      <c r="AU743" s="3"/>
      <c r="AV743" s="3"/>
      <c r="AW743" s="3"/>
      <c r="AX743" s="4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84"/>
      <c r="BZ743" s="84"/>
      <c r="CA743" s="84"/>
      <c r="CB743" s="84"/>
      <c r="CC743" s="84"/>
      <c r="CD743" s="84"/>
      <c r="CE743" s="84"/>
      <c r="CF743" s="84"/>
      <c r="CG743" s="84"/>
      <c r="CH743" s="84"/>
      <c r="CI743" s="84"/>
      <c r="CJ743" s="84"/>
      <c r="CK743" s="84"/>
      <c r="CL743" s="84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220"/>
      <c r="CY743" s="220"/>
      <c r="CZ743" s="220"/>
      <c r="DA743" s="220"/>
      <c r="DB743" s="237"/>
      <c r="DC743" s="238"/>
      <c r="DD743" s="238"/>
      <c r="DE743" s="238"/>
      <c r="DF743" s="238"/>
      <c r="DG743" s="238"/>
      <c r="DH743" s="238"/>
      <c r="DI743" s="238"/>
      <c r="DJ743" s="238"/>
      <c r="DK743" s="238"/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38"/>
      <c r="DW743" s="238"/>
      <c r="DX743" s="238"/>
      <c r="DY743" s="238"/>
      <c r="DZ743" s="238"/>
      <c r="EA743" s="238"/>
      <c r="EB743" s="238"/>
      <c r="EC743" s="238"/>
      <c r="ED743" s="3"/>
      <c r="EE743" s="3"/>
      <c r="EF743" s="3"/>
      <c r="EG743" s="3"/>
      <c r="EH743" s="3"/>
    </row>
    <row r="744" spans="1:138" s="82" customFormat="1" x14ac:dyDescent="0.2">
      <c r="A744" s="3"/>
      <c r="B744" s="167"/>
      <c r="C744" s="3"/>
      <c r="D744" s="3"/>
      <c r="E744" s="31"/>
      <c r="F744" s="133"/>
      <c r="G744" s="3"/>
      <c r="H744" s="31"/>
      <c r="I744" s="31"/>
      <c r="J744" s="3"/>
      <c r="K744" s="3"/>
      <c r="L744" s="3"/>
      <c r="M744" s="3"/>
      <c r="N744" s="3"/>
      <c r="O744" s="3"/>
      <c r="P744" s="3"/>
      <c r="Q744" s="3"/>
      <c r="R744" s="32"/>
      <c r="S744" s="32"/>
      <c r="T744" s="3"/>
      <c r="U744" s="33"/>
      <c r="V744" s="33"/>
      <c r="W744" s="3"/>
      <c r="X744" s="3"/>
      <c r="Y744" s="3"/>
      <c r="Z744" s="3"/>
      <c r="AA744" s="3"/>
      <c r="AB744" s="3"/>
      <c r="AC744" s="3"/>
      <c r="AD744" s="32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4"/>
      <c r="AT744" s="3"/>
      <c r="AU744" s="3"/>
      <c r="AV744" s="3"/>
      <c r="AW744" s="3"/>
      <c r="AX744" s="4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84"/>
      <c r="BZ744" s="84"/>
      <c r="CA744" s="84"/>
      <c r="CB744" s="84"/>
      <c r="CC744" s="84"/>
      <c r="CD744" s="84"/>
      <c r="CE744" s="84"/>
      <c r="CF744" s="84"/>
      <c r="CG744" s="84"/>
      <c r="CH744" s="84"/>
      <c r="CI744" s="84"/>
      <c r="CJ744" s="84"/>
      <c r="CK744" s="84"/>
      <c r="CL744" s="84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220"/>
      <c r="CY744" s="220"/>
      <c r="CZ744" s="220"/>
      <c r="DA744" s="220"/>
      <c r="DB744" s="237"/>
      <c r="DC744" s="238"/>
      <c r="DD744" s="238"/>
      <c r="DE744" s="238"/>
      <c r="DF744" s="238"/>
      <c r="DG744" s="238"/>
      <c r="DH744" s="238"/>
      <c r="DI744" s="238"/>
      <c r="DJ744" s="238"/>
      <c r="DK744" s="238"/>
      <c r="DL744" s="238"/>
      <c r="DM744" s="238"/>
      <c r="DN744" s="238"/>
      <c r="DO744" s="238"/>
      <c r="DP744" s="238"/>
      <c r="DQ744" s="238"/>
      <c r="DR744" s="238"/>
      <c r="DS744" s="238"/>
      <c r="DT744" s="238"/>
      <c r="DU744" s="238"/>
      <c r="DV744" s="238"/>
      <c r="DW744" s="238"/>
      <c r="DX744" s="238"/>
      <c r="DY744" s="238"/>
      <c r="DZ744" s="238"/>
      <c r="EA744" s="238"/>
      <c r="EB744" s="238"/>
      <c r="EC744" s="238"/>
      <c r="ED744" s="3"/>
      <c r="EE744" s="3"/>
      <c r="EF744" s="3"/>
      <c r="EG744" s="3"/>
      <c r="EH744" s="3"/>
    </row>
    <row r="745" spans="1:138" s="82" customFormat="1" x14ac:dyDescent="0.2">
      <c r="A745" s="3"/>
      <c r="B745" s="167"/>
      <c r="C745" s="3"/>
      <c r="D745" s="3"/>
      <c r="E745" s="31"/>
      <c r="F745" s="133"/>
      <c r="G745" s="3"/>
      <c r="H745" s="31"/>
      <c r="I745" s="31"/>
      <c r="J745" s="3"/>
      <c r="K745" s="3"/>
      <c r="L745" s="3"/>
      <c r="M745" s="3"/>
      <c r="N745" s="3"/>
      <c r="O745" s="3"/>
      <c r="P745" s="3"/>
      <c r="Q745" s="3"/>
      <c r="R745" s="32"/>
      <c r="S745" s="32"/>
      <c r="T745" s="3"/>
      <c r="U745" s="33"/>
      <c r="V745" s="33"/>
      <c r="W745" s="3"/>
      <c r="X745" s="3"/>
      <c r="Y745" s="3"/>
      <c r="Z745" s="3"/>
      <c r="AA745" s="3"/>
      <c r="AB745" s="3"/>
      <c r="AC745" s="3"/>
      <c r="AD745" s="32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4"/>
      <c r="AT745" s="3"/>
      <c r="AU745" s="3"/>
      <c r="AV745" s="3"/>
      <c r="AW745" s="3"/>
      <c r="AX745" s="4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84"/>
      <c r="BZ745" s="84"/>
      <c r="CA745" s="84"/>
      <c r="CB745" s="84"/>
      <c r="CC745" s="84"/>
      <c r="CD745" s="84"/>
      <c r="CE745" s="84"/>
      <c r="CF745" s="84"/>
      <c r="CG745" s="84"/>
      <c r="CH745" s="84"/>
      <c r="CI745" s="84"/>
      <c r="CJ745" s="84"/>
      <c r="CK745" s="84"/>
      <c r="CL745" s="84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220"/>
      <c r="CY745" s="220"/>
      <c r="CZ745" s="220"/>
      <c r="DA745" s="220"/>
      <c r="DB745" s="237"/>
      <c r="DC745" s="238"/>
      <c r="DD745" s="238"/>
      <c r="DE745" s="238"/>
      <c r="DF745" s="238"/>
      <c r="DG745" s="238"/>
      <c r="DH745" s="238"/>
      <c r="DI745" s="238"/>
      <c r="DJ745" s="238"/>
      <c r="DK745" s="238"/>
      <c r="DL745" s="238"/>
      <c r="DM745" s="238"/>
      <c r="DN745" s="238"/>
      <c r="DO745" s="238"/>
      <c r="DP745" s="238"/>
      <c r="DQ745" s="238"/>
      <c r="DR745" s="238"/>
      <c r="DS745" s="238"/>
      <c r="DT745" s="238"/>
      <c r="DU745" s="238"/>
      <c r="DV745" s="238"/>
      <c r="DW745" s="238"/>
      <c r="DX745" s="238"/>
      <c r="DY745" s="238"/>
      <c r="DZ745" s="238"/>
      <c r="EA745" s="238"/>
      <c r="EB745" s="238"/>
      <c r="EC745" s="238"/>
      <c r="ED745" s="3"/>
      <c r="EE745" s="3"/>
      <c r="EF745" s="3"/>
      <c r="EG745" s="3"/>
      <c r="EH745" s="3"/>
    </row>
    <row r="746" spans="1:138" s="82" customFormat="1" x14ac:dyDescent="0.2">
      <c r="A746" s="3"/>
      <c r="B746" s="167"/>
      <c r="C746" s="3"/>
      <c r="D746" s="3"/>
      <c r="E746" s="31"/>
      <c r="F746" s="133"/>
      <c r="G746" s="3"/>
      <c r="H746" s="31"/>
      <c r="I746" s="31"/>
      <c r="J746" s="3"/>
      <c r="K746" s="3"/>
      <c r="L746" s="3"/>
      <c r="M746" s="3"/>
      <c r="N746" s="3"/>
      <c r="O746" s="3"/>
      <c r="P746" s="3"/>
      <c r="Q746" s="3"/>
      <c r="R746" s="32"/>
      <c r="S746" s="32"/>
      <c r="T746" s="3"/>
      <c r="U746" s="33"/>
      <c r="V746" s="33"/>
      <c r="W746" s="3"/>
      <c r="X746" s="3"/>
      <c r="Y746" s="3"/>
      <c r="Z746" s="3"/>
      <c r="AA746" s="3"/>
      <c r="AB746" s="3"/>
      <c r="AC746" s="3"/>
      <c r="AD746" s="32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4"/>
      <c r="AT746" s="3"/>
      <c r="AU746" s="3"/>
      <c r="AV746" s="3"/>
      <c r="AW746" s="3"/>
      <c r="AX746" s="4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84"/>
      <c r="BZ746" s="84"/>
      <c r="CA746" s="84"/>
      <c r="CB746" s="84"/>
      <c r="CC746" s="84"/>
      <c r="CD746" s="84"/>
      <c r="CE746" s="84"/>
      <c r="CF746" s="84"/>
      <c r="CG746" s="84"/>
      <c r="CH746" s="84"/>
      <c r="CI746" s="84"/>
      <c r="CJ746" s="84"/>
      <c r="CK746" s="84"/>
      <c r="CL746" s="84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220"/>
      <c r="CY746" s="220"/>
      <c r="CZ746" s="220"/>
      <c r="DA746" s="220"/>
      <c r="DB746" s="237"/>
      <c r="DC746" s="238"/>
      <c r="DD746" s="238"/>
      <c r="DE746" s="238"/>
      <c r="DF746" s="238"/>
      <c r="DG746" s="238"/>
      <c r="DH746" s="238"/>
      <c r="DI746" s="238"/>
      <c r="DJ746" s="238"/>
      <c r="DK746" s="238"/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38"/>
      <c r="DW746" s="238"/>
      <c r="DX746" s="238"/>
      <c r="DY746" s="238"/>
      <c r="DZ746" s="238"/>
      <c r="EA746" s="238"/>
      <c r="EB746" s="238"/>
      <c r="EC746" s="238"/>
      <c r="ED746" s="3"/>
      <c r="EE746" s="3"/>
      <c r="EF746" s="3"/>
      <c r="EG746" s="3"/>
      <c r="EH746" s="3"/>
    </row>
    <row r="747" spans="1:138" s="82" customFormat="1" x14ac:dyDescent="0.2">
      <c r="A747" s="3"/>
      <c r="B747" s="167"/>
      <c r="C747" s="3"/>
      <c r="D747" s="3"/>
      <c r="E747" s="31"/>
      <c r="F747" s="133"/>
      <c r="G747" s="3"/>
      <c r="H747" s="31"/>
      <c r="I747" s="31"/>
      <c r="J747" s="3"/>
      <c r="K747" s="3"/>
      <c r="L747" s="3"/>
      <c r="M747" s="3"/>
      <c r="N747" s="3"/>
      <c r="O747" s="3"/>
      <c r="P747" s="3"/>
      <c r="Q747" s="3"/>
      <c r="R747" s="32"/>
      <c r="S747" s="32"/>
      <c r="T747" s="3"/>
      <c r="U747" s="33"/>
      <c r="V747" s="33"/>
      <c r="W747" s="3"/>
      <c r="X747" s="3"/>
      <c r="Y747" s="3"/>
      <c r="Z747" s="3"/>
      <c r="AA747" s="3"/>
      <c r="AB747" s="3"/>
      <c r="AC747" s="3"/>
      <c r="AD747" s="32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4"/>
      <c r="AT747" s="3"/>
      <c r="AU747" s="3"/>
      <c r="AV747" s="3"/>
      <c r="AW747" s="3"/>
      <c r="AX747" s="4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84"/>
      <c r="BZ747" s="84"/>
      <c r="CA747" s="84"/>
      <c r="CB747" s="84"/>
      <c r="CC747" s="84"/>
      <c r="CD747" s="84"/>
      <c r="CE747" s="84"/>
      <c r="CF747" s="84"/>
      <c r="CG747" s="84"/>
      <c r="CH747" s="84"/>
      <c r="CI747" s="84"/>
      <c r="CJ747" s="84"/>
      <c r="CK747" s="84"/>
      <c r="CL747" s="84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220"/>
      <c r="CY747" s="220"/>
      <c r="CZ747" s="220"/>
      <c r="DA747" s="220"/>
      <c r="DB747" s="237"/>
      <c r="DC747" s="238"/>
      <c r="DD747" s="238"/>
      <c r="DE747" s="238"/>
      <c r="DF747" s="238"/>
      <c r="DG747" s="238"/>
      <c r="DH747" s="238"/>
      <c r="DI747" s="238"/>
      <c r="DJ747" s="238"/>
      <c r="DK747" s="238"/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38"/>
      <c r="DW747" s="238"/>
      <c r="DX747" s="238"/>
      <c r="DY747" s="238"/>
      <c r="DZ747" s="238"/>
      <c r="EA747" s="238"/>
      <c r="EB747" s="238"/>
      <c r="EC747" s="238"/>
      <c r="ED747" s="3"/>
      <c r="EE747" s="3"/>
      <c r="EF747" s="3"/>
      <c r="EG747" s="3"/>
      <c r="EH747" s="3"/>
    </row>
    <row r="748" spans="1:138" s="82" customFormat="1" x14ac:dyDescent="0.2">
      <c r="A748" s="3"/>
      <c r="B748" s="167"/>
      <c r="C748" s="3"/>
      <c r="D748" s="3"/>
      <c r="E748" s="31"/>
      <c r="F748" s="133"/>
      <c r="G748" s="3"/>
      <c r="H748" s="31"/>
      <c r="I748" s="31"/>
      <c r="J748" s="3"/>
      <c r="K748" s="3"/>
      <c r="L748" s="3"/>
      <c r="M748" s="3"/>
      <c r="N748" s="3"/>
      <c r="O748" s="3"/>
      <c r="P748" s="3"/>
      <c r="Q748" s="3"/>
      <c r="R748" s="32"/>
      <c r="S748" s="32"/>
      <c r="T748" s="3"/>
      <c r="U748" s="33"/>
      <c r="V748" s="33"/>
      <c r="W748" s="3"/>
      <c r="X748" s="3"/>
      <c r="Y748" s="3"/>
      <c r="Z748" s="3"/>
      <c r="AA748" s="3"/>
      <c r="AB748" s="3"/>
      <c r="AC748" s="3"/>
      <c r="AD748" s="32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4"/>
      <c r="AT748" s="3"/>
      <c r="AU748" s="3"/>
      <c r="AV748" s="3"/>
      <c r="AW748" s="3"/>
      <c r="AX748" s="4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84"/>
      <c r="BZ748" s="84"/>
      <c r="CA748" s="84"/>
      <c r="CB748" s="84"/>
      <c r="CC748" s="84"/>
      <c r="CD748" s="84"/>
      <c r="CE748" s="84"/>
      <c r="CF748" s="84"/>
      <c r="CG748" s="84"/>
      <c r="CH748" s="84"/>
      <c r="CI748" s="84"/>
      <c r="CJ748" s="84"/>
      <c r="CK748" s="84"/>
      <c r="CL748" s="84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220"/>
      <c r="CY748" s="220"/>
      <c r="CZ748" s="220"/>
      <c r="DA748" s="220"/>
      <c r="DB748" s="237"/>
      <c r="DC748" s="238"/>
      <c r="DD748" s="238"/>
      <c r="DE748" s="238"/>
      <c r="DF748" s="238"/>
      <c r="DG748" s="238"/>
      <c r="DH748" s="238"/>
      <c r="DI748" s="238"/>
      <c r="DJ748" s="238"/>
      <c r="DK748" s="238"/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38"/>
      <c r="DW748" s="238"/>
      <c r="DX748" s="238"/>
      <c r="DY748" s="238"/>
      <c r="DZ748" s="238"/>
      <c r="EA748" s="238"/>
      <c r="EB748" s="238"/>
      <c r="EC748" s="238"/>
      <c r="ED748" s="3"/>
      <c r="EE748" s="3"/>
      <c r="EF748" s="3"/>
      <c r="EG748" s="3"/>
      <c r="EH748" s="3"/>
    </row>
    <row r="749" spans="1:138" s="82" customFormat="1" x14ac:dyDescent="0.2">
      <c r="A749" s="3"/>
      <c r="B749" s="167"/>
      <c r="C749" s="3"/>
      <c r="D749" s="3"/>
      <c r="E749" s="31"/>
      <c r="F749" s="133"/>
      <c r="G749" s="3"/>
      <c r="H749" s="31"/>
      <c r="I749" s="31"/>
      <c r="J749" s="3"/>
      <c r="K749" s="3"/>
      <c r="L749" s="3"/>
      <c r="M749" s="3"/>
      <c r="N749" s="3"/>
      <c r="O749" s="3"/>
      <c r="P749" s="3"/>
      <c r="Q749" s="3"/>
      <c r="R749" s="32"/>
      <c r="S749" s="32"/>
      <c r="T749" s="3"/>
      <c r="U749" s="33"/>
      <c r="V749" s="33"/>
      <c r="W749" s="3"/>
      <c r="X749" s="3"/>
      <c r="Y749" s="3"/>
      <c r="Z749" s="3"/>
      <c r="AA749" s="3"/>
      <c r="AB749" s="3"/>
      <c r="AC749" s="3"/>
      <c r="AD749" s="32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4"/>
      <c r="AT749" s="3"/>
      <c r="AU749" s="3"/>
      <c r="AV749" s="3"/>
      <c r="AW749" s="3"/>
      <c r="AX749" s="4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84"/>
      <c r="BZ749" s="84"/>
      <c r="CA749" s="84"/>
      <c r="CB749" s="84"/>
      <c r="CC749" s="84"/>
      <c r="CD749" s="84"/>
      <c r="CE749" s="84"/>
      <c r="CF749" s="84"/>
      <c r="CG749" s="84"/>
      <c r="CH749" s="84"/>
      <c r="CI749" s="84"/>
      <c r="CJ749" s="84"/>
      <c r="CK749" s="84"/>
      <c r="CL749" s="84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220"/>
      <c r="CY749" s="220"/>
      <c r="CZ749" s="220"/>
      <c r="DA749" s="220"/>
      <c r="DB749" s="237"/>
      <c r="DC749" s="238"/>
      <c r="DD749" s="238"/>
      <c r="DE749" s="238"/>
      <c r="DF749" s="238"/>
      <c r="DG749" s="238"/>
      <c r="DH749" s="238"/>
      <c r="DI749" s="238"/>
      <c r="DJ749" s="238"/>
      <c r="DK749" s="238"/>
      <c r="DL749" s="238"/>
      <c r="DM749" s="238"/>
      <c r="DN749" s="238"/>
      <c r="DO749" s="238"/>
      <c r="DP749" s="238"/>
      <c r="DQ749" s="238"/>
      <c r="DR749" s="238"/>
      <c r="DS749" s="238"/>
      <c r="DT749" s="238"/>
      <c r="DU749" s="238"/>
      <c r="DV749" s="238"/>
      <c r="DW749" s="238"/>
      <c r="DX749" s="238"/>
      <c r="DY749" s="238"/>
      <c r="DZ749" s="238"/>
      <c r="EA749" s="238"/>
      <c r="EB749" s="238"/>
      <c r="EC749" s="238"/>
      <c r="ED749" s="3"/>
      <c r="EE749" s="3"/>
      <c r="EF749" s="3"/>
      <c r="EG749" s="3"/>
      <c r="EH749" s="3"/>
    </row>
    <row r="750" spans="1:138" s="82" customFormat="1" x14ac:dyDescent="0.2">
      <c r="A750" s="3"/>
      <c r="B750" s="167"/>
      <c r="C750" s="3"/>
      <c r="D750" s="3"/>
      <c r="E750" s="31"/>
      <c r="F750" s="133"/>
      <c r="G750" s="3"/>
      <c r="H750" s="31"/>
      <c r="I750" s="31"/>
      <c r="J750" s="3"/>
      <c r="K750" s="3"/>
      <c r="L750" s="3"/>
      <c r="M750" s="3"/>
      <c r="N750" s="3"/>
      <c r="O750" s="3"/>
      <c r="P750" s="3"/>
      <c r="Q750" s="3"/>
      <c r="R750" s="32"/>
      <c r="S750" s="32"/>
      <c r="T750" s="3"/>
      <c r="U750" s="33"/>
      <c r="V750" s="33"/>
      <c r="W750" s="3"/>
      <c r="X750" s="3"/>
      <c r="Y750" s="3"/>
      <c r="Z750" s="3"/>
      <c r="AA750" s="3"/>
      <c r="AB750" s="3"/>
      <c r="AC750" s="3"/>
      <c r="AD750" s="32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4"/>
      <c r="AT750" s="3"/>
      <c r="AU750" s="3"/>
      <c r="AV750" s="3"/>
      <c r="AW750" s="3"/>
      <c r="AX750" s="4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84"/>
      <c r="BZ750" s="84"/>
      <c r="CA750" s="84"/>
      <c r="CB750" s="84"/>
      <c r="CC750" s="84"/>
      <c r="CD750" s="84"/>
      <c r="CE750" s="84"/>
      <c r="CF750" s="84"/>
      <c r="CG750" s="84"/>
      <c r="CH750" s="84"/>
      <c r="CI750" s="84"/>
      <c r="CJ750" s="84"/>
      <c r="CK750" s="84"/>
      <c r="CL750" s="84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220"/>
      <c r="CY750" s="220"/>
      <c r="CZ750" s="220"/>
      <c r="DA750" s="220"/>
      <c r="DB750" s="237"/>
      <c r="DC750" s="238"/>
      <c r="DD750" s="238"/>
      <c r="DE750" s="238"/>
      <c r="DF750" s="238"/>
      <c r="DG750" s="238"/>
      <c r="DH750" s="238"/>
      <c r="DI750" s="238"/>
      <c r="DJ750" s="238"/>
      <c r="DK750" s="238"/>
      <c r="DL750" s="238"/>
      <c r="DM750" s="238"/>
      <c r="DN750" s="238"/>
      <c r="DO750" s="238"/>
      <c r="DP750" s="238"/>
      <c r="DQ750" s="238"/>
      <c r="DR750" s="238"/>
      <c r="DS750" s="238"/>
      <c r="DT750" s="238"/>
      <c r="DU750" s="238"/>
      <c r="DV750" s="238"/>
      <c r="DW750" s="238"/>
      <c r="DX750" s="238"/>
      <c r="DY750" s="238"/>
      <c r="DZ750" s="238"/>
      <c r="EA750" s="238"/>
      <c r="EB750" s="238"/>
      <c r="EC750" s="238"/>
      <c r="ED750" s="3"/>
      <c r="EE750" s="3"/>
      <c r="EF750" s="3"/>
      <c r="EG750" s="3"/>
      <c r="EH750" s="3"/>
    </row>
    <row r="751" spans="1:138" s="82" customFormat="1" x14ac:dyDescent="0.2">
      <c r="A751" s="3"/>
      <c r="B751" s="167"/>
      <c r="C751" s="3"/>
      <c r="D751" s="3"/>
      <c r="E751" s="31"/>
      <c r="F751" s="133"/>
      <c r="G751" s="3"/>
      <c r="H751" s="31"/>
      <c r="I751" s="31"/>
      <c r="J751" s="3"/>
      <c r="K751" s="3"/>
      <c r="L751" s="3"/>
      <c r="M751" s="3"/>
      <c r="N751" s="3"/>
      <c r="O751" s="3"/>
      <c r="P751" s="3"/>
      <c r="Q751" s="3"/>
      <c r="R751" s="32"/>
      <c r="S751" s="32"/>
      <c r="T751" s="3"/>
      <c r="U751" s="33"/>
      <c r="V751" s="33"/>
      <c r="W751" s="3"/>
      <c r="X751" s="3"/>
      <c r="Y751" s="3"/>
      <c r="Z751" s="3"/>
      <c r="AA751" s="3"/>
      <c r="AB751" s="3"/>
      <c r="AC751" s="3"/>
      <c r="AD751" s="32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4"/>
      <c r="AT751" s="3"/>
      <c r="AU751" s="3"/>
      <c r="AV751" s="3"/>
      <c r="AW751" s="3"/>
      <c r="AX751" s="4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84"/>
      <c r="BZ751" s="84"/>
      <c r="CA751" s="84"/>
      <c r="CB751" s="84"/>
      <c r="CC751" s="84"/>
      <c r="CD751" s="84"/>
      <c r="CE751" s="84"/>
      <c r="CF751" s="84"/>
      <c r="CG751" s="84"/>
      <c r="CH751" s="84"/>
      <c r="CI751" s="84"/>
      <c r="CJ751" s="84"/>
      <c r="CK751" s="84"/>
      <c r="CL751" s="84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220"/>
      <c r="CY751" s="220"/>
      <c r="CZ751" s="220"/>
      <c r="DA751" s="220"/>
      <c r="DB751" s="237"/>
      <c r="DC751" s="238"/>
      <c r="DD751" s="238"/>
      <c r="DE751" s="238"/>
      <c r="DF751" s="238"/>
      <c r="DG751" s="238"/>
      <c r="DH751" s="238"/>
      <c r="DI751" s="238"/>
      <c r="DJ751" s="238"/>
      <c r="DK751" s="238"/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38"/>
      <c r="DW751" s="238"/>
      <c r="DX751" s="238"/>
      <c r="DY751" s="238"/>
      <c r="DZ751" s="238"/>
      <c r="EA751" s="238"/>
      <c r="EB751" s="238"/>
      <c r="EC751" s="238"/>
      <c r="ED751" s="3"/>
      <c r="EE751" s="3"/>
      <c r="EF751" s="3"/>
      <c r="EG751" s="3"/>
      <c r="EH751" s="3"/>
    </row>
    <row r="752" spans="1:138" s="82" customFormat="1" x14ac:dyDescent="0.2">
      <c r="A752" s="3"/>
      <c r="B752" s="167"/>
      <c r="C752" s="3"/>
      <c r="D752" s="3"/>
      <c r="E752" s="31"/>
      <c r="F752" s="133"/>
      <c r="G752" s="3"/>
      <c r="H752" s="31"/>
      <c r="I752" s="31"/>
      <c r="J752" s="3"/>
      <c r="K752" s="3"/>
      <c r="L752" s="3"/>
      <c r="M752" s="3"/>
      <c r="N752" s="3"/>
      <c r="O752" s="3"/>
      <c r="P752" s="3"/>
      <c r="Q752" s="3"/>
      <c r="R752" s="32"/>
      <c r="S752" s="32"/>
      <c r="T752" s="3"/>
      <c r="U752" s="33"/>
      <c r="V752" s="33"/>
      <c r="W752" s="3"/>
      <c r="X752" s="3"/>
      <c r="Y752" s="3"/>
      <c r="Z752" s="3"/>
      <c r="AA752" s="3"/>
      <c r="AB752" s="3"/>
      <c r="AC752" s="3"/>
      <c r="AD752" s="32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4"/>
      <c r="AT752" s="3"/>
      <c r="AU752" s="3"/>
      <c r="AV752" s="3"/>
      <c r="AW752" s="3"/>
      <c r="AX752" s="4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84"/>
      <c r="BZ752" s="84"/>
      <c r="CA752" s="84"/>
      <c r="CB752" s="84"/>
      <c r="CC752" s="84"/>
      <c r="CD752" s="84"/>
      <c r="CE752" s="84"/>
      <c r="CF752" s="84"/>
      <c r="CG752" s="84"/>
      <c r="CH752" s="84"/>
      <c r="CI752" s="84"/>
      <c r="CJ752" s="84"/>
      <c r="CK752" s="84"/>
      <c r="CL752" s="84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220"/>
      <c r="CY752" s="220"/>
      <c r="CZ752" s="220"/>
      <c r="DA752" s="220"/>
      <c r="DB752" s="237"/>
      <c r="DC752" s="238"/>
      <c r="DD752" s="238"/>
      <c r="DE752" s="238"/>
      <c r="DF752" s="238"/>
      <c r="DG752" s="238"/>
      <c r="DH752" s="238"/>
      <c r="DI752" s="238"/>
      <c r="DJ752" s="238"/>
      <c r="DK752" s="238"/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38"/>
      <c r="DW752" s="238"/>
      <c r="DX752" s="238"/>
      <c r="DY752" s="238"/>
      <c r="DZ752" s="238"/>
      <c r="EA752" s="238"/>
      <c r="EB752" s="238"/>
      <c r="EC752" s="238"/>
      <c r="ED752" s="3"/>
      <c r="EE752" s="3"/>
      <c r="EF752" s="3"/>
      <c r="EG752" s="3"/>
      <c r="EH752" s="3"/>
    </row>
    <row r="753" spans="1:138" s="82" customFormat="1" x14ac:dyDescent="0.2">
      <c r="A753" s="3"/>
      <c r="B753" s="167"/>
      <c r="C753" s="3"/>
      <c r="D753" s="3"/>
      <c r="E753" s="31"/>
      <c r="F753" s="133"/>
      <c r="G753" s="3"/>
      <c r="H753" s="31"/>
      <c r="I753" s="31"/>
      <c r="J753" s="3"/>
      <c r="K753" s="3"/>
      <c r="L753" s="3"/>
      <c r="M753" s="3"/>
      <c r="N753" s="3"/>
      <c r="O753" s="3"/>
      <c r="P753" s="3"/>
      <c r="Q753" s="3"/>
      <c r="R753" s="32"/>
      <c r="S753" s="32"/>
      <c r="T753" s="3"/>
      <c r="U753" s="33"/>
      <c r="V753" s="33"/>
      <c r="W753" s="3"/>
      <c r="X753" s="3"/>
      <c r="Y753" s="3"/>
      <c r="Z753" s="3"/>
      <c r="AA753" s="3"/>
      <c r="AB753" s="3"/>
      <c r="AC753" s="3"/>
      <c r="AD753" s="32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4"/>
      <c r="AT753" s="3"/>
      <c r="AU753" s="3"/>
      <c r="AV753" s="3"/>
      <c r="AW753" s="3"/>
      <c r="AX753" s="4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84"/>
      <c r="BZ753" s="84"/>
      <c r="CA753" s="84"/>
      <c r="CB753" s="84"/>
      <c r="CC753" s="84"/>
      <c r="CD753" s="84"/>
      <c r="CE753" s="84"/>
      <c r="CF753" s="84"/>
      <c r="CG753" s="84"/>
      <c r="CH753" s="84"/>
      <c r="CI753" s="84"/>
      <c r="CJ753" s="84"/>
      <c r="CK753" s="84"/>
      <c r="CL753" s="84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220"/>
      <c r="CY753" s="220"/>
      <c r="CZ753" s="220"/>
      <c r="DA753" s="220"/>
      <c r="DB753" s="237"/>
      <c r="DC753" s="238"/>
      <c r="DD753" s="238"/>
      <c r="DE753" s="238"/>
      <c r="DF753" s="238"/>
      <c r="DG753" s="238"/>
      <c r="DH753" s="238"/>
      <c r="DI753" s="238"/>
      <c r="DJ753" s="238"/>
      <c r="DK753" s="238"/>
      <c r="DL753" s="238"/>
      <c r="DM753" s="238"/>
      <c r="DN753" s="238"/>
      <c r="DO753" s="238"/>
      <c r="DP753" s="238"/>
      <c r="DQ753" s="238"/>
      <c r="DR753" s="238"/>
      <c r="DS753" s="238"/>
      <c r="DT753" s="238"/>
      <c r="DU753" s="238"/>
      <c r="DV753" s="238"/>
      <c r="DW753" s="238"/>
      <c r="DX753" s="238"/>
      <c r="DY753" s="238"/>
      <c r="DZ753" s="238"/>
      <c r="EA753" s="238"/>
      <c r="EB753" s="238"/>
      <c r="EC753" s="238"/>
      <c r="ED753" s="3"/>
      <c r="EE753" s="3"/>
      <c r="EF753" s="3"/>
      <c r="EG753" s="3"/>
      <c r="EH753" s="3"/>
    </row>
    <row r="754" spans="1:138" s="82" customFormat="1" x14ac:dyDescent="0.2">
      <c r="A754" s="3"/>
      <c r="B754" s="167"/>
      <c r="C754" s="3"/>
      <c r="D754" s="3"/>
      <c r="E754" s="31"/>
      <c r="F754" s="133"/>
      <c r="G754" s="3"/>
      <c r="H754" s="31"/>
      <c r="I754" s="31"/>
      <c r="J754" s="3"/>
      <c r="K754" s="3"/>
      <c r="L754" s="3"/>
      <c r="M754" s="3"/>
      <c r="N754" s="3"/>
      <c r="O754" s="3"/>
      <c r="P754" s="3"/>
      <c r="Q754" s="3"/>
      <c r="R754" s="32"/>
      <c r="S754" s="32"/>
      <c r="T754" s="3"/>
      <c r="U754" s="33"/>
      <c r="V754" s="33"/>
      <c r="W754" s="3"/>
      <c r="X754" s="3"/>
      <c r="Y754" s="3"/>
      <c r="Z754" s="3"/>
      <c r="AA754" s="3"/>
      <c r="AB754" s="3"/>
      <c r="AC754" s="3"/>
      <c r="AD754" s="32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4"/>
      <c r="AT754" s="3"/>
      <c r="AU754" s="3"/>
      <c r="AV754" s="3"/>
      <c r="AW754" s="3"/>
      <c r="AX754" s="4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84"/>
      <c r="BZ754" s="84"/>
      <c r="CA754" s="84"/>
      <c r="CB754" s="84"/>
      <c r="CC754" s="84"/>
      <c r="CD754" s="84"/>
      <c r="CE754" s="84"/>
      <c r="CF754" s="84"/>
      <c r="CG754" s="84"/>
      <c r="CH754" s="84"/>
      <c r="CI754" s="84"/>
      <c r="CJ754" s="84"/>
      <c r="CK754" s="84"/>
      <c r="CL754" s="84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220"/>
      <c r="CY754" s="220"/>
      <c r="CZ754" s="220"/>
      <c r="DA754" s="220"/>
      <c r="DB754" s="237"/>
      <c r="DC754" s="238"/>
      <c r="DD754" s="238"/>
      <c r="DE754" s="238"/>
      <c r="DF754" s="238"/>
      <c r="DG754" s="238"/>
      <c r="DH754" s="238"/>
      <c r="DI754" s="238"/>
      <c r="DJ754" s="238"/>
      <c r="DK754" s="238"/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38"/>
      <c r="DW754" s="238"/>
      <c r="DX754" s="238"/>
      <c r="DY754" s="238"/>
      <c r="DZ754" s="238"/>
      <c r="EA754" s="238"/>
      <c r="EB754" s="238"/>
      <c r="EC754" s="238"/>
      <c r="ED754" s="3"/>
      <c r="EE754" s="3"/>
      <c r="EF754" s="3"/>
      <c r="EG754" s="3"/>
      <c r="EH754" s="3"/>
    </row>
    <row r="755" spans="1:138" s="82" customFormat="1" x14ac:dyDescent="0.2">
      <c r="A755" s="3"/>
      <c r="B755" s="167"/>
      <c r="C755" s="3"/>
      <c r="D755" s="3"/>
      <c r="E755" s="31"/>
      <c r="F755" s="133"/>
      <c r="G755" s="3"/>
      <c r="H755" s="31"/>
      <c r="I755" s="31"/>
      <c r="J755" s="3"/>
      <c r="K755" s="3"/>
      <c r="L755" s="3"/>
      <c r="M755" s="3"/>
      <c r="N755" s="3"/>
      <c r="O755" s="3"/>
      <c r="P755" s="3"/>
      <c r="Q755" s="3"/>
      <c r="R755" s="32"/>
      <c r="S755" s="32"/>
      <c r="T755" s="3"/>
      <c r="U755" s="33"/>
      <c r="V755" s="33"/>
      <c r="W755" s="3"/>
      <c r="X755" s="3"/>
      <c r="Y755" s="3"/>
      <c r="Z755" s="3"/>
      <c r="AA755" s="3"/>
      <c r="AB755" s="3"/>
      <c r="AC755" s="3"/>
      <c r="AD755" s="32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4"/>
      <c r="AT755" s="3"/>
      <c r="AU755" s="3"/>
      <c r="AV755" s="3"/>
      <c r="AW755" s="3"/>
      <c r="AX755" s="4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84"/>
      <c r="BZ755" s="84"/>
      <c r="CA755" s="84"/>
      <c r="CB755" s="84"/>
      <c r="CC755" s="84"/>
      <c r="CD755" s="84"/>
      <c r="CE755" s="84"/>
      <c r="CF755" s="84"/>
      <c r="CG755" s="84"/>
      <c r="CH755" s="84"/>
      <c r="CI755" s="84"/>
      <c r="CJ755" s="84"/>
      <c r="CK755" s="84"/>
      <c r="CL755" s="84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220"/>
      <c r="CY755" s="220"/>
      <c r="CZ755" s="220"/>
      <c r="DA755" s="220"/>
      <c r="DB755" s="237"/>
      <c r="DC755" s="238"/>
      <c r="DD755" s="238"/>
      <c r="DE755" s="238"/>
      <c r="DF755" s="238"/>
      <c r="DG755" s="238"/>
      <c r="DH755" s="238"/>
      <c r="DI755" s="238"/>
      <c r="DJ755" s="238"/>
      <c r="DK755" s="238"/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38"/>
      <c r="DW755" s="238"/>
      <c r="DX755" s="238"/>
      <c r="DY755" s="238"/>
      <c r="DZ755" s="238"/>
      <c r="EA755" s="238"/>
      <c r="EB755" s="238"/>
      <c r="EC755" s="238"/>
      <c r="ED755" s="3"/>
      <c r="EE755" s="3"/>
      <c r="EF755" s="3"/>
      <c r="EG755" s="3"/>
      <c r="EH755" s="3"/>
    </row>
    <row r="756" spans="1:138" s="82" customFormat="1" x14ac:dyDescent="0.2">
      <c r="A756" s="3"/>
      <c r="B756" s="167"/>
      <c r="C756" s="3"/>
      <c r="D756" s="3"/>
      <c r="E756" s="31"/>
      <c r="F756" s="133"/>
      <c r="G756" s="3"/>
      <c r="H756" s="31"/>
      <c r="I756" s="31"/>
      <c r="J756" s="3"/>
      <c r="K756" s="3"/>
      <c r="L756" s="3"/>
      <c r="M756" s="3"/>
      <c r="N756" s="3"/>
      <c r="O756" s="3"/>
      <c r="P756" s="3"/>
      <c r="Q756" s="3"/>
      <c r="R756" s="32"/>
      <c r="S756" s="32"/>
      <c r="T756" s="3"/>
      <c r="U756" s="33"/>
      <c r="V756" s="33"/>
      <c r="W756" s="3"/>
      <c r="X756" s="3"/>
      <c r="Y756" s="3"/>
      <c r="Z756" s="3"/>
      <c r="AA756" s="3"/>
      <c r="AB756" s="3"/>
      <c r="AC756" s="3"/>
      <c r="AD756" s="32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4"/>
      <c r="AT756" s="3"/>
      <c r="AU756" s="3"/>
      <c r="AV756" s="3"/>
      <c r="AW756" s="3"/>
      <c r="AX756" s="4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84"/>
      <c r="BZ756" s="84"/>
      <c r="CA756" s="84"/>
      <c r="CB756" s="84"/>
      <c r="CC756" s="84"/>
      <c r="CD756" s="84"/>
      <c r="CE756" s="84"/>
      <c r="CF756" s="84"/>
      <c r="CG756" s="84"/>
      <c r="CH756" s="84"/>
      <c r="CI756" s="84"/>
      <c r="CJ756" s="84"/>
      <c r="CK756" s="84"/>
      <c r="CL756" s="84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220"/>
      <c r="CY756" s="220"/>
      <c r="CZ756" s="220"/>
      <c r="DA756" s="220"/>
      <c r="DB756" s="237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38"/>
      <c r="DW756" s="238"/>
      <c r="DX756" s="238"/>
      <c r="DY756" s="238"/>
      <c r="DZ756" s="238"/>
      <c r="EA756" s="238"/>
      <c r="EB756" s="238"/>
      <c r="EC756" s="238"/>
      <c r="ED756" s="3"/>
      <c r="EE756" s="3"/>
      <c r="EF756" s="3"/>
      <c r="EG756" s="3"/>
      <c r="EH756" s="3"/>
    </row>
    <row r="757" spans="1:138" s="82" customFormat="1" x14ac:dyDescent="0.2">
      <c r="A757" s="3"/>
      <c r="B757" s="167"/>
      <c r="C757" s="3"/>
      <c r="D757" s="3"/>
      <c r="E757" s="31"/>
      <c r="F757" s="133"/>
      <c r="G757" s="3"/>
      <c r="H757" s="31"/>
      <c r="I757" s="31"/>
      <c r="J757" s="3"/>
      <c r="K757" s="3"/>
      <c r="L757" s="3"/>
      <c r="M757" s="3"/>
      <c r="N757" s="3"/>
      <c r="O757" s="3"/>
      <c r="P757" s="3"/>
      <c r="Q757" s="3"/>
      <c r="R757" s="32"/>
      <c r="S757" s="32"/>
      <c r="T757" s="3"/>
      <c r="U757" s="33"/>
      <c r="V757" s="33"/>
      <c r="W757" s="3"/>
      <c r="X757" s="3"/>
      <c r="Y757" s="3"/>
      <c r="Z757" s="3"/>
      <c r="AA757" s="3"/>
      <c r="AB757" s="3"/>
      <c r="AC757" s="3"/>
      <c r="AD757" s="32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4"/>
      <c r="AT757" s="3"/>
      <c r="AU757" s="3"/>
      <c r="AV757" s="3"/>
      <c r="AW757" s="3"/>
      <c r="AX757" s="4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84"/>
      <c r="BZ757" s="84"/>
      <c r="CA757" s="84"/>
      <c r="CB757" s="84"/>
      <c r="CC757" s="84"/>
      <c r="CD757" s="84"/>
      <c r="CE757" s="84"/>
      <c r="CF757" s="84"/>
      <c r="CG757" s="84"/>
      <c r="CH757" s="84"/>
      <c r="CI757" s="84"/>
      <c r="CJ757" s="84"/>
      <c r="CK757" s="84"/>
      <c r="CL757" s="84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220"/>
      <c r="CY757" s="220"/>
      <c r="CZ757" s="220"/>
      <c r="DA757" s="220"/>
      <c r="DB757" s="237"/>
      <c r="DC757" s="238"/>
      <c r="DD757" s="238"/>
      <c r="DE757" s="238"/>
      <c r="DF757" s="238"/>
      <c r="DG757" s="238"/>
      <c r="DH757" s="238"/>
      <c r="DI757" s="238"/>
      <c r="DJ757" s="238"/>
      <c r="DK757" s="238"/>
      <c r="DL757" s="238"/>
      <c r="DM757" s="238"/>
      <c r="DN757" s="238"/>
      <c r="DO757" s="238"/>
      <c r="DP757" s="238"/>
      <c r="DQ757" s="238"/>
      <c r="DR757" s="238"/>
      <c r="DS757" s="238"/>
      <c r="DT757" s="238"/>
      <c r="DU757" s="238"/>
      <c r="DV757" s="238"/>
      <c r="DW757" s="238"/>
      <c r="DX757" s="238"/>
      <c r="DY757" s="238"/>
      <c r="DZ757" s="238"/>
      <c r="EA757" s="238"/>
      <c r="EB757" s="238"/>
      <c r="EC757" s="238"/>
      <c r="ED757" s="3"/>
      <c r="EE757" s="3"/>
      <c r="EF757" s="3"/>
      <c r="EG757" s="3"/>
      <c r="EH757" s="3"/>
    </row>
    <row r="758" spans="1:138" s="82" customFormat="1" x14ac:dyDescent="0.2">
      <c r="A758" s="3"/>
      <c r="B758" s="167"/>
      <c r="C758" s="3"/>
      <c r="D758" s="3"/>
      <c r="E758" s="31"/>
      <c r="F758" s="133"/>
      <c r="G758" s="3"/>
      <c r="H758" s="31"/>
      <c r="I758" s="31"/>
      <c r="J758" s="3"/>
      <c r="K758" s="3"/>
      <c r="L758" s="3"/>
      <c r="M758" s="3"/>
      <c r="N758" s="3"/>
      <c r="O758" s="3"/>
      <c r="P758" s="3"/>
      <c r="Q758" s="3"/>
      <c r="R758" s="32"/>
      <c r="S758" s="32"/>
      <c r="T758" s="3"/>
      <c r="U758" s="33"/>
      <c r="V758" s="33"/>
      <c r="W758" s="3"/>
      <c r="X758" s="3"/>
      <c r="Y758" s="3"/>
      <c r="Z758" s="3"/>
      <c r="AA758" s="3"/>
      <c r="AB758" s="3"/>
      <c r="AC758" s="3"/>
      <c r="AD758" s="32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4"/>
      <c r="AT758" s="3"/>
      <c r="AU758" s="3"/>
      <c r="AV758" s="3"/>
      <c r="AW758" s="3"/>
      <c r="AX758" s="4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84"/>
      <c r="BZ758" s="84"/>
      <c r="CA758" s="84"/>
      <c r="CB758" s="84"/>
      <c r="CC758" s="84"/>
      <c r="CD758" s="84"/>
      <c r="CE758" s="84"/>
      <c r="CF758" s="84"/>
      <c r="CG758" s="84"/>
      <c r="CH758" s="84"/>
      <c r="CI758" s="84"/>
      <c r="CJ758" s="84"/>
      <c r="CK758" s="84"/>
      <c r="CL758" s="84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220"/>
      <c r="CY758" s="220"/>
      <c r="CZ758" s="220"/>
      <c r="DA758" s="220"/>
      <c r="DB758" s="237"/>
      <c r="DC758" s="238"/>
      <c r="DD758" s="238"/>
      <c r="DE758" s="238"/>
      <c r="DF758" s="238"/>
      <c r="DG758" s="238"/>
      <c r="DH758" s="238"/>
      <c r="DI758" s="238"/>
      <c r="DJ758" s="238"/>
      <c r="DK758" s="238"/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38"/>
      <c r="DW758" s="238"/>
      <c r="DX758" s="238"/>
      <c r="DY758" s="238"/>
      <c r="DZ758" s="238"/>
      <c r="EA758" s="238"/>
      <c r="EB758" s="238"/>
      <c r="EC758" s="238"/>
      <c r="ED758" s="3"/>
      <c r="EE758" s="3"/>
      <c r="EF758" s="3"/>
      <c r="EG758" s="3"/>
      <c r="EH758" s="3"/>
    </row>
    <row r="759" spans="1:138" s="82" customFormat="1" x14ac:dyDescent="0.2">
      <c r="A759" s="3"/>
      <c r="B759" s="167"/>
      <c r="C759" s="3"/>
      <c r="D759" s="3"/>
      <c r="E759" s="31"/>
      <c r="F759" s="133"/>
      <c r="G759" s="3"/>
      <c r="H759" s="31"/>
      <c r="I759" s="31"/>
      <c r="J759" s="3"/>
      <c r="K759" s="3"/>
      <c r="L759" s="3"/>
      <c r="M759" s="3"/>
      <c r="N759" s="3"/>
      <c r="O759" s="3"/>
      <c r="P759" s="3"/>
      <c r="Q759" s="3"/>
      <c r="R759" s="32"/>
      <c r="S759" s="32"/>
      <c r="T759" s="3"/>
      <c r="U759" s="33"/>
      <c r="V759" s="33"/>
      <c r="W759" s="3"/>
      <c r="X759" s="3"/>
      <c r="Y759" s="3"/>
      <c r="Z759" s="3"/>
      <c r="AA759" s="3"/>
      <c r="AB759" s="3"/>
      <c r="AC759" s="3"/>
      <c r="AD759" s="32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4"/>
      <c r="AT759" s="3"/>
      <c r="AU759" s="3"/>
      <c r="AV759" s="3"/>
      <c r="AW759" s="3"/>
      <c r="AX759" s="4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84"/>
      <c r="BZ759" s="84"/>
      <c r="CA759" s="84"/>
      <c r="CB759" s="84"/>
      <c r="CC759" s="84"/>
      <c r="CD759" s="84"/>
      <c r="CE759" s="84"/>
      <c r="CF759" s="84"/>
      <c r="CG759" s="84"/>
      <c r="CH759" s="84"/>
      <c r="CI759" s="84"/>
      <c r="CJ759" s="84"/>
      <c r="CK759" s="84"/>
      <c r="CL759" s="84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220"/>
      <c r="CY759" s="220"/>
      <c r="CZ759" s="220"/>
      <c r="DA759" s="220"/>
      <c r="DB759" s="237"/>
      <c r="DC759" s="238"/>
      <c r="DD759" s="238"/>
      <c r="DE759" s="238"/>
      <c r="DF759" s="238"/>
      <c r="DG759" s="238"/>
      <c r="DH759" s="238"/>
      <c r="DI759" s="238"/>
      <c r="DJ759" s="238"/>
      <c r="DK759" s="238"/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238"/>
      <c r="EC759" s="238"/>
      <c r="ED759" s="3"/>
      <c r="EE759" s="3"/>
      <c r="EF759" s="3"/>
      <c r="EG759" s="3"/>
      <c r="EH759" s="3"/>
    </row>
    <row r="760" spans="1:138" s="82" customFormat="1" x14ac:dyDescent="0.2">
      <c r="A760" s="3"/>
      <c r="B760" s="167"/>
      <c r="C760" s="3"/>
      <c r="D760" s="3"/>
      <c r="E760" s="31"/>
      <c r="F760" s="133"/>
      <c r="G760" s="3"/>
      <c r="H760" s="31"/>
      <c r="I760" s="31"/>
      <c r="J760" s="3"/>
      <c r="K760" s="3"/>
      <c r="L760" s="3"/>
      <c r="M760" s="3"/>
      <c r="N760" s="3"/>
      <c r="O760" s="3"/>
      <c r="P760" s="3"/>
      <c r="Q760" s="3"/>
      <c r="R760" s="32"/>
      <c r="S760" s="32"/>
      <c r="T760" s="3"/>
      <c r="U760" s="33"/>
      <c r="V760" s="33"/>
      <c r="W760" s="3"/>
      <c r="X760" s="3"/>
      <c r="Y760" s="3"/>
      <c r="Z760" s="3"/>
      <c r="AA760" s="3"/>
      <c r="AB760" s="3"/>
      <c r="AC760" s="3"/>
      <c r="AD760" s="32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4"/>
      <c r="AT760" s="3"/>
      <c r="AU760" s="3"/>
      <c r="AV760" s="3"/>
      <c r="AW760" s="3"/>
      <c r="AX760" s="4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84"/>
      <c r="BZ760" s="84"/>
      <c r="CA760" s="84"/>
      <c r="CB760" s="84"/>
      <c r="CC760" s="84"/>
      <c r="CD760" s="84"/>
      <c r="CE760" s="84"/>
      <c r="CF760" s="84"/>
      <c r="CG760" s="84"/>
      <c r="CH760" s="84"/>
      <c r="CI760" s="84"/>
      <c r="CJ760" s="84"/>
      <c r="CK760" s="84"/>
      <c r="CL760" s="84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220"/>
      <c r="CY760" s="220"/>
      <c r="CZ760" s="220"/>
      <c r="DA760" s="220"/>
      <c r="DB760" s="237"/>
      <c r="DC760" s="238"/>
      <c r="DD760" s="238"/>
      <c r="DE760" s="238"/>
      <c r="DF760" s="238"/>
      <c r="DG760" s="238"/>
      <c r="DH760" s="238"/>
      <c r="DI760" s="238"/>
      <c r="DJ760" s="238"/>
      <c r="DK760" s="238"/>
      <c r="DL760" s="238"/>
      <c r="DM760" s="238"/>
      <c r="DN760" s="238"/>
      <c r="DO760" s="238"/>
      <c r="DP760" s="238"/>
      <c r="DQ760" s="238"/>
      <c r="DR760" s="238"/>
      <c r="DS760" s="238"/>
      <c r="DT760" s="238"/>
      <c r="DU760" s="238"/>
      <c r="DV760" s="238"/>
      <c r="DW760" s="238"/>
      <c r="DX760" s="238"/>
      <c r="DY760" s="238"/>
      <c r="DZ760" s="238"/>
      <c r="EA760" s="238"/>
      <c r="EB760" s="238"/>
      <c r="EC760" s="238"/>
      <c r="ED760" s="3"/>
      <c r="EE760" s="3"/>
      <c r="EF760" s="3"/>
      <c r="EG760" s="3"/>
      <c r="EH760" s="3"/>
    </row>
    <row r="761" spans="1:138" s="82" customFormat="1" x14ac:dyDescent="0.2">
      <c r="A761" s="3"/>
      <c r="B761" s="167"/>
      <c r="C761" s="3"/>
      <c r="D761" s="3"/>
      <c r="E761" s="31"/>
      <c r="F761" s="133"/>
      <c r="G761" s="3"/>
      <c r="H761" s="31"/>
      <c r="I761" s="31"/>
      <c r="J761" s="3"/>
      <c r="K761" s="3"/>
      <c r="L761" s="3"/>
      <c r="M761" s="3"/>
      <c r="N761" s="3"/>
      <c r="O761" s="3"/>
      <c r="P761" s="3"/>
      <c r="Q761" s="3"/>
      <c r="R761" s="32"/>
      <c r="S761" s="32"/>
      <c r="T761" s="3"/>
      <c r="U761" s="33"/>
      <c r="V761" s="33"/>
      <c r="W761" s="3"/>
      <c r="X761" s="3"/>
      <c r="Y761" s="3"/>
      <c r="Z761" s="3"/>
      <c r="AA761" s="3"/>
      <c r="AB761" s="3"/>
      <c r="AC761" s="3"/>
      <c r="AD761" s="32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4"/>
      <c r="AT761" s="3"/>
      <c r="AU761" s="3"/>
      <c r="AV761" s="3"/>
      <c r="AW761" s="3"/>
      <c r="AX761" s="4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84"/>
      <c r="BZ761" s="84"/>
      <c r="CA761" s="84"/>
      <c r="CB761" s="84"/>
      <c r="CC761" s="84"/>
      <c r="CD761" s="84"/>
      <c r="CE761" s="84"/>
      <c r="CF761" s="84"/>
      <c r="CG761" s="84"/>
      <c r="CH761" s="84"/>
      <c r="CI761" s="84"/>
      <c r="CJ761" s="84"/>
      <c r="CK761" s="84"/>
      <c r="CL761" s="84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220"/>
      <c r="CY761" s="220"/>
      <c r="CZ761" s="220"/>
      <c r="DA761" s="220"/>
      <c r="DB761" s="237"/>
      <c r="DC761" s="238"/>
      <c r="DD761" s="238"/>
      <c r="DE761" s="238"/>
      <c r="DF761" s="238"/>
      <c r="DG761" s="238"/>
      <c r="DH761" s="238"/>
      <c r="DI761" s="238"/>
      <c r="DJ761" s="238"/>
      <c r="DK761" s="238"/>
      <c r="DL761" s="238"/>
      <c r="DM761" s="238"/>
      <c r="DN761" s="238"/>
      <c r="DO761" s="238"/>
      <c r="DP761" s="238"/>
      <c r="DQ761" s="238"/>
      <c r="DR761" s="238"/>
      <c r="DS761" s="238"/>
      <c r="DT761" s="238"/>
      <c r="DU761" s="238"/>
      <c r="DV761" s="238"/>
      <c r="DW761" s="238"/>
      <c r="DX761" s="238"/>
      <c r="DY761" s="238"/>
      <c r="DZ761" s="238"/>
      <c r="EA761" s="238"/>
      <c r="EB761" s="238"/>
      <c r="EC761" s="238"/>
      <c r="ED761" s="3"/>
      <c r="EE761" s="3"/>
      <c r="EF761" s="3"/>
      <c r="EG761" s="3"/>
      <c r="EH761" s="3"/>
    </row>
    <row r="762" spans="1:138" s="82" customFormat="1" x14ac:dyDescent="0.2">
      <c r="A762" s="3"/>
      <c r="B762" s="167"/>
      <c r="C762" s="3"/>
      <c r="D762" s="3"/>
      <c r="E762" s="31"/>
      <c r="F762" s="133"/>
      <c r="G762" s="3"/>
      <c r="H762" s="31"/>
      <c r="I762" s="31"/>
      <c r="J762" s="3"/>
      <c r="K762" s="3"/>
      <c r="L762" s="3"/>
      <c r="M762" s="3"/>
      <c r="N762" s="3"/>
      <c r="O762" s="3"/>
      <c r="P762" s="3"/>
      <c r="Q762" s="3"/>
      <c r="R762" s="32"/>
      <c r="S762" s="32"/>
      <c r="T762" s="3"/>
      <c r="U762" s="33"/>
      <c r="V762" s="33"/>
      <c r="W762" s="3"/>
      <c r="X762" s="3"/>
      <c r="Y762" s="3"/>
      <c r="Z762" s="3"/>
      <c r="AA762" s="3"/>
      <c r="AB762" s="3"/>
      <c r="AC762" s="3"/>
      <c r="AD762" s="32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4"/>
      <c r="AT762" s="3"/>
      <c r="AU762" s="3"/>
      <c r="AV762" s="3"/>
      <c r="AW762" s="3"/>
      <c r="AX762" s="4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84"/>
      <c r="BZ762" s="84"/>
      <c r="CA762" s="84"/>
      <c r="CB762" s="84"/>
      <c r="CC762" s="84"/>
      <c r="CD762" s="84"/>
      <c r="CE762" s="84"/>
      <c r="CF762" s="84"/>
      <c r="CG762" s="84"/>
      <c r="CH762" s="84"/>
      <c r="CI762" s="84"/>
      <c r="CJ762" s="84"/>
      <c r="CK762" s="84"/>
      <c r="CL762" s="84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220"/>
      <c r="CY762" s="220"/>
      <c r="CZ762" s="220"/>
      <c r="DA762" s="220"/>
      <c r="DB762" s="237"/>
      <c r="DC762" s="238"/>
      <c r="DD762" s="238"/>
      <c r="DE762" s="238"/>
      <c r="DF762" s="238"/>
      <c r="DG762" s="238"/>
      <c r="DH762" s="238"/>
      <c r="DI762" s="238"/>
      <c r="DJ762" s="238"/>
      <c r="DK762" s="238"/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38"/>
      <c r="DW762" s="238"/>
      <c r="DX762" s="238"/>
      <c r="DY762" s="238"/>
      <c r="DZ762" s="238"/>
      <c r="EA762" s="238"/>
      <c r="EB762" s="238"/>
      <c r="EC762" s="238"/>
      <c r="ED762" s="3"/>
      <c r="EE762" s="3"/>
      <c r="EF762" s="3"/>
      <c r="EG762" s="3"/>
      <c r="EH762" s="3"/>
    </row>
    <row r="763" spans="1:138" s="82" customFormat="1" x14ac:dyDescent="0.2">
      <c r="A763" s="3"/>
      <c r="B763" s="167"/>
      <c r="C763" s="3"/>
      <c r="D763" s="3"/>
      <c r="E763" s="31"/>
      <c r="F763" s="133"/>
      <c r="G763" s="3"/>
      <c r="H763" s="31"/>
      <c r="I763" s="31"/>
      <c r="J763" s="3"/>
      <c r="K763" s="3"/>
      <c r="L763" s="3"/>
      <c r="M763" s="3"/>
      <c r="N763" s="3"/>
      <c r="O763" s="3"/>
      <c r="P763" s="3"/>
      <c r="Q763" s="3"/>
      <c r="R763" s="32"/>
      <c r="S763" s="32"/>
      <c r="T763" s="3"/>
      <c r="U763" s="33"/>
      <c r="V763" s="33"/>
      <c r="W763" s="3"/>
      <c r="X763" s="3"/>
      <c r="Y763" s="3"/>
      <c r="Z763" s="3"/>
      <c r="AA763" s="3"/>
      <c r="AB763" s="3"/>
      <c r="AC763" s="3"/>
      <c r="AD763" s="32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4"/>
      <c r="AT763" s="3"/>
      <c r="AU763" s="3"/>
      <c r="AV763" s="3"/>
      <c r="AW763" s="3"/>
      <c r="AX763" s="4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84"/>
      <c r="BZ763" s="84"/>
      <c r="CA763" s="84"/>
      <c r="CB763" s="84"/>
      <c r="CC763" s="84"/>
      <c r="CD763" s="84"/>
      <c r="CE763" s="84"/>
      <c r="CF763" s="84"/>
      <c r="CG763" s="84"/>
      <c r="CH763" s="84"/>
      <c r="CI763" s="84"/>
      <c r="CJ763" s="84"/>
      <c r="CK763" s="84"/>
      <c r="CL763" s="84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220"/>
      <c r="CY763" s="220"/>
      <c r="CZ763" s="220"/>
      <c r="DA763" s="220"/>
      <c r="DB763" s="237"/>
      <c r="DC763" s="238"/>
      <c r="DD763" s="238"/>
      <c r="DE763" s="238"/>
      <c r="DF763" s="238"/>
      <c r="DG763" s="238"/>
      <c r="DH763" s="238"/>
      <c r="DI763" s="238"/>
      <c r="DJ763" s="238"/>
      <c r="DK763" s="238"/>
      <c r="DL763" s="238"/>
      <c r="DM763" s="238"/>
      <c r="DN763" s="238"/>
      <c r="DO763" s="238"/>
      <c r="DP763" s="238"/>
      <c r="DQ763" s="238"/>
      <c r="DR763" s="238"/>
      <c r="DS763" s="238"/>
      <c r="DT763" s="238"/>
      <c r="DU763" s="238"/>
      <c r="DV763" s="238"/>
      <c r="DW763" s="238"/>
      <c r="DX763" s="238"/>
      <c r="DY763" s="238"/>
      <c r="DZ763" s="238"/>
      <c r="EA763" s="238"/>
      <c r="EB763" s="238"/>
      <c r="EC763" s="238"/>
      <c r="ED763" s="3"/>
      <c r="EE763" s="3"/>
      <c r="EF763" s="3"/>
      <c r="EG763" s="3"/>
      <c r="EH763" s="3"/>
    </row>
    <row r="764" spans="1:138" s="82" customFormat="1" x14ac:dyDescent="0.2">
      <c r="A764" s="3"/>
      <c r="B764" s="167"/>
      <c r="C764" s="3"/>
      <c r="D764" s="3"/>
      <c r="E764" s="31"/>
      <c r="F764" s="133"/>
      <c r="G764" s="3"/>
      <c r="H764" s="31"/>
      <c r="I764" s="31"/>
      <c r="J764" s="3"/>
      <c r="K764" s="3"/>
      <c r="L764" s="3"/>
      <c r="M764" s="3"/>
      <c r="N764" s="3"/>
      <c r="O764" s="3"/>
      <c r="P764" s="3"/>
      <c r="Q764" s="3"/>
      <c r="R764" s="32"/>
      <c r="S764" s="32"/>
      <c r="T764" s="3"/>
      <c r="U764" s="33"/>
      <c r="V764" s="33"/>
      <c r="W764" s="3"/>
      <c r="X764" s="3"/>
      <c r="Y764" s="3"/>
      <c r="Z764" s="3"/>
      <c r="AA764" s="3"/>
      <c r="AB764" s="3"/>
      <c r="AC764" s="3"/>
      <c r="AD764" s="32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4"/>
      <c r="AT764" s="3"/>
      <c r="AU764" s="3"/>
      <c r="AV764" s="3"/>
      <c r="AW764" s="3"/>
      <c r="AX764" s="4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84"/>
      <c r="BZ764" s="84"/>
      <c r="CA764" s="84"/>
      <c r="CB764" s="84"/>
      <c r="CC764" s="84"/>
      <c r="CD764" s="84"/>
      <c r="CE764" s="84"/>
      <c r="CF764" s="84"/>
      <c r="CG764" s="84"/>
      <c r="CH764" s="84"/>
      <c r="CI764" s="84"/>
      <c r="CJ764" s="84"/>
      <c r="CK764" s="84"/>
      <c r="CL764" s="84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220"/>
      <c r="CY764" s="220"/>
      <c r="CZ764" s="220"/>
      <c r="DA764" s="220"/>
      <c r="DB764" s="237"/>
      <c r="DC764" s="238"/>
      <c r="DD764" s="238"/>
      <c r="DE764" s="238"/>
      <c r="DF764" s="238"/>
      <c r="DG764" s="238"/>
      <c r="DH764" s="238"/>
      <c r="DI764" s="238"/>
      <c r="DJ764" s="238"/>
      <c r="DK764" s="238"/>
      <c r="DL764" s="238"/>
      <c r="DM764" s="238"/>
      <c r="DN764" s="238"/>
      <c r="DO764" s="238"/>
      <c r="DP764" s="238"/>
      <c r="DQ764" s="238"/>
      <c r="DR764" s="238"/>
      <c r="DS764" s="238"/>
      <c r="DT764" s="238"/>
      <c r="DU764" s="238"/>
      <c r="DV764" s="238"/>
      <c r="DW764" s="238"/>
      <c r="DX764" s="238"/>
      <c r="DY764" s="238"/>
      <c r="DZ764" s="238"/>
      <c r="EA764" s="238"/>
      <c r="EB764" s="238"/>
      <c r="EC764" s="238"/>
      <c r="ED764" s="3"/>
      <c r="EE764" s="3"/>
      <c r="EF764" s="3"/>
      <c r="EG764" s="3"/>
      <c r="EH764" s="3"/>
    </row>
    <row r="765" spans="1:138" s="82" customFormat="1" x14ac:dyDescent="0.2">
      <c r="A765" s="3"/>
      <c r="B765" s="167"/>
      <c r="C765" s="3"/>
      <c r="D765" s="3"/>
      <c r="E765" s="31"/>
      <c r="F765" s="133"/>
      <c r="G765" s="3"/>
      <c r="H765" s="31"/>
      <c r="I765" s="31"/>
      <c r="J765" s="3"/>
      <c r="K765" s="3"/>
      <c r="L765" s="3"/>
      <c r="M765" s="3"/>
      <c r="N765" s="3"/>
      <c r="O765" s="3"/>
      <c r="P765" s="3"/>
      <c r="Q765" s="3"/>
      <c r="R765" s="32"/>
      <c r="S765" s="32"/>
      <c r="T765" s="3"/>
      <c r="U765" s="33"/>
      <c r="V765" s="33"/>
      <c r="W765" s="3"/>
      <c r="X765" s="3"/>
      <c r="Y765" s="3"/>
      <c r="Z765" s="3"/>
      <c r="AA765" s="3"/>
      <c r="AB765" s="3"/>
      <c r="AC765" s="3"/>
      <c r="AD765" s="32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4"/>
      <c r="AT765" s="3"/>
      <c r="AU765" s="3"/>
      <c r="AV765" s="3"/>
      <c r="AW765" s="3"/>
      <c r="AX765" s="4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84"/>
      <c r="BZ765" s="84"/>
      <c r="CA765" s="84"/>
      <c r="CB765" s="84"/>
      <c r="CC765" s="84"/>
      <c r="CD765" s="84"/>
      <c r="CE765" s="84"/>
      <c r="CF765" s="84"/>
      <c r="CG765" s="84"/>
      <c r="CH765" s="84"/>
      <c r="CI765" s="84"/>
      <c r="CJ765" s="84"/>
      <c r="CK765" s="84"/>
      <c r="CL765" s="84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220"/>
      <c r="CY765" s="220"/>
      <c r="CZ765" s="220"/>
      <c r="DA765" s="220"/>
      <c r="DB765" s="237"/>
      <c r="DC765" s="238"/>
      <c r="DD765" s="238"/>
      <c r="DE765" s="238"/>
      <c r="DF765" s="238"/>
      <c r="DG765" s="238"/>
      <c r="DH765" s="238"/>
      <c r="DI765" s="238"/>
      <c r="DJ765" s="238"/>
      <c r="DK765" s="238"/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38"/>
      <c r="DW765" s="238"/>
      <c r="DX765" s="238"/>
      <c r="DY765" s="238"/>
      <c r="DZ765" s="238"/>
      <c r="EA765" s="238"/>
      <c r="EB765" s="238"/>
      <c r="EC765" s="238"/>
      <c r="ED765" s="3"/>
      <c r="EE765" s="3"/>
      <c r="EF765" s="3"/>
      <c r="EG765" s="3"/>
      <c r="EH765" s="3"/>
    </row>
    <row r="766" spans="1:138" s="82" customFormat="1" x14ac:dyDescent="0.2">
      <c r="A766" s="3"/>
      <c r="B766" s="167"/>
      <c r="C766" s="3"/>
      <c r="D766" s="3"/>
      <c r="E766" s="31"/>
      <c r="F766" s="133"/>
      <c r="G766" s="3"/>
      <c r="H766" s="31"/>
      <c r="I766" s="31"/>
      <c r="J766" s="3"/>
      <c r="K766" s="3"/>
      <c r="L766" s="3"/>
      <c r="M766" s="3"/>
      <c r="N766" s="3"/>
      <c r="O766" s="3"/>
      <c r="P766" s="3"/>
      <c r="Q766" s="3"/>
      <c r="R766" s="32"/>
      <c r="S766" s="32"/>
      <c r="T766" s="3"/>
      <c r="U766" s="33"/>
      <c r="V766" s="33"/>
      <c r="W766" s="3"/>
      <c r="X766" s="3"/>
      <c r="Y766" s="3"/>
      <c r="Z766" s="3"/>
      <c r="AA766" s="3"/>
      <c r="AB766" s="3"/>
      <c r="AC766" s="3"/>
      <c r="AD766" s="32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4"/>
      <c r="AT766" s="3"/>
      <c r="AU766" s="3"/>
      <c r="AV766" s="3"/>
      <c r="AW766" s="3"/>
      <c r="AX766" s="4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84"/>
      <c r="BZ766" s="84"/>
      <c r="CA766" s="84"/>
      <c r="CB766" s="84"/>
      <c r="CC766" s="84"/>
      <c r="CD766" s="84"/>
      <c r="CE766" s="84"/>
      <c r="CF766" s="84"/>
      <c r="CG766" s="84"/>
      <c r="CH766" s="84"/>
      <c r="CI766" s="84"/>
      <c r="CJ766" s="84"/>
      <c r="CK766" s="84"/>
      <c r="CL766" s="84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220"/>
      <c r="CY766" s="220"/>
      <c r="CZ766" s="220"/>
      <c r="DA766" s="220"/>
      <c r="DB766" s="237"/>
      <c r="DC766" s="238"/>
      <c r="DD766" s="238"/>
      <c r="DE766" s="238"/>
      <c r="DF766" s="238"/>
      <c r="DG766" s="238"/>
      <c r="DH766" s="238"/>
      <c r="DI766" s="238"/>
      <c r="DJ766" s="238"/>
      <c r="DK766" s="238"/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38"/>
      <c r="DW766" s="238"/>
      <c r="DX766" s="238"/>
      <c r="DY766" s="238"/>
      <c r="DZ766" s="238"/>
      <c r="EA766" s="238"/>
      <c r="EB766" s="238"/>
      <c r="EC766" s="238"/>
      <c r="ED766" s="3"/>
      <c r="EE766" s="3"/>
      <c r="EF766" s="3"/>
      <c r="EG766" s="3"/>
      <c r="EH766" s="3"/>
    </row>
    <row r="767" spans="1:138" s="82" customFormat="1" x14ac:dyDescent="0.2">
      <c r="A767" s="3"/>
      <c r="B767" s="167"/>
      <c r="C767" s="3"/>
      <c r="D767" s="3"/>
      <c r="E767" s="31"/>
      <c r="F767" s="133"/>
      <c r="G767" s="3"/>
      <c r="H767" s="31"/>
      <c r="I767" s="31"/>
      <c r="J767" s="3"/>
      <c r="K767" s="3"/>
      <c r="L767" s="3"/>
      <c r="M767" s="3"/>
      <c r="N767" s="3"/>
      <c r="O767" s="3"/>
      <c r="P767" s="3"/>
      <c r="Q767" s="3"/>
      <c r="R767" s="32"/>
      <c r="S767" s="32"/>
      <c r="T767" s="3"/>
      <c r="U767" s="33"/>
      <c r="V767" s="33"/>
      <c r="W767" s="3"/>
      <c r="X767" s="3"/>
      <c r="Y767" s="3"/>
      <c r="Z767" s="3"/>
      <c r="AA767" s="3"/>
      <c r="AB767" s="3"/>
      <c r="AC767" s="3"/>
      <c r="AD767" s="32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4"/>
      <c r="AT767" s="3"/>
      <c r="AU767" s="3"/>
      <c r="AV767" s="3"/>
      <c r="AW767" s="3"/>
      <c r="AX767" s="4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84"/>
      <c r="BZ767" s="84"/>
      <c r="CA767" s="84"/>
      <c r="CB767" s="84"/>
      <c r="CC767" s="84"/>
      <c r="CD767" s="84"/>
      <c r="CE767" s="84"/>
      <c r="CF767" s="84"/>
      <c r="CG767" s="84"/>
      <c r="CH767" s="84"/>
      <c r="CI767" s="84"/>
      <c r="CJ767" s="84"/>
      <c r="CK767" s="84"/>
      <c r="CL767" s="84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220"/>
      <c r="CY767" s="220"/>
      <c r="CZ767" s="220"/>
      <c r="DA767" s="220"/>
      <c r="DB767" s="237"/>
      <c r="DC767" s="238"/>
      <c r="DD767" s="238"/>
      <c r="DE767" s="238"/>
      <c r="DF767" s="238"/>
      <c r="DG767" s="238"/>
      <c r="DH767" s="238"/>
      <c r="DI767" s="238"/>
      <c r="DJ767" s="238"/>
      <c r="DK767" s="238"/>
      <c r="DL767" s="238"/>
      <c r="DM767" s="238"/>
      <c r="DN767" s="238"/>
      <c r="DO767" s="238"/>
      <c r="DP767" s="238"/>
      <c r="DQ767" s="238"/>
      <c r="DR767" s="238"/>
      <c r="DS767" s="238"/>
      <c r="DT767" s="238"/>
      <c r="DU767" s="238"/>
      <c r="DV767" s="238"/>
      <c r="DW767" s="238"/>
      <c r="DX767" s="238"/>
      <c r="DY767" s="238"/>
      <c r="DZ767" s="238"/>
      <c r="EA767" s="238"/>
      <c r="EB767" s="238"/>
      <c r="EC767" s="238"/>
      <c r="ED767" s="3"/>
      <c r="EE767" s="3"/>
      <c r="EF767" s="3"/>
      <c r="EG767" s="3"/>
      <c r="EH767" s="3"/>
    </row>
    <row r="768" spans="1:138" s="82" customFormat="1" x14ac:dyDescent="0.2">
      <c r="A768" s="3"/>
      <c r="B768" s="167"/>
      <c r="C768" s="3"/>
      <c r="D768" s="3"/>
      <c r="E768" s="31"/>
      <c r="F768" s="133"/>
      <c r="G768" s="3"/>
      <c r="H768" s="31"/>
      <c r="I768" s="31"/>
      <c r="J768" s="3"/>
      <c r="K768" s="3"/>
      <c r="L768" s="3"/>
      <c r="M768" s="3"/>
      <c r="N768" s="3"/>
      <c r="O768" s="3"/>
      <c r="P768" s="3"/>
      <c r="Q768" s="3"/>
      <c r="R768" s="32"/>
      <c r="S768" s="32"/>
      <c r="T768" s="3"/>
      <c r="U768" s="33"/>
      <c r="V768" s="33"/>
      <c r="W768" s="3"/>
      <c r="X768" s="3"/>
      <c r="Y768" s="3"/>
      <c r="Z768" s="3"/>
      <c r="AA768" s="3"/>
      <c r="AB768" s="3"/>
      <c r="AC768" s="3"/>
      <c r="AD768" s="32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4"/>
      <c r="AT768" s="3"/>
      <c r="AU768" s="3"/>
      <c r="AV768" s="3"/>
      <c r="AW768" s="3"/>
      <c r="AX768" s="4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84"/>
      <c r="BZ768" s="84"/>
      <c r="CA768" s="84"/>
      <c r="CB768" s="84"/>
      <c r="CC768" s="84"/>
      <c r="CD768" s="84"/>
      <c r="CE768" s="84"/>
      <c r="CF768" s="84"/>
      <c r="CG768" s="84"/>
      <c r="CH768" s="84"/>
      <c r="CI768" s="84"/>
      <c r="CJ768" s="84"/>
      <c r="CK768" s="84"/>
      <c r="CL768" s="84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220"/>
      <c r="CY768" s="220"/>
      <c r="CZ768" s="220"/>
      <c r="DA768" s="220"/>
      <c r="DB768" s="237"/>
      <c r="DC768" s="238"/>
      <c r="DD768" s="238"/>
      <c r="DE768" s="238"/>
      <c r="DF768" s="238"/>
      <c r="DG768" s="238"/>
      <c r="DH768" s="238"/>
      <c r="DI768" s="238"/>
      <c r="DJ768" s="238"/>
      <c r="DK768" s="238"/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38"/>
      <c r="DW768" s="238"/>
      <c r="DX768" s="238"/>
      <c r="DY768" s="238"/>
      <c r="DZ768" s="238"/>
      <c r="EA768" s="238"/>
      <c r="EB768" s="238"/>
      <c r="EC768" s="238"/>
      <c r="ED768" s="3"/>
      <c r="EE768" s="3"/>
      <c r="EF768" s="3"/>
      <c r="EG768" s="3"/>
      <c r="EH768" s="3"/>
    </row>
    <row r="769" spans="1:138" s="82" customFormat="1" x14ac:dyDescent="0.2">
      <c r="A769" s="3"/>
      <c r="B769" s="167"/>
      <c r="C769" s="3"/>
      <c r="D769" s="3"/>
      <c r="E769" s="31"/>
      <c r="F769" s="133"/>
      <c r="G769" s="3"/>
      <c r="H769" s="31"/>
      <c r="I769" s="31"/>
      <c r="J769" s="3"/>
      <c r="K769" s="3"/>
      <c r="L769" s="3"/>
      <c r="M769" s="3"/>
      <c r="N769" s="3"/>
      <c r="O769" s="3"/>
      <c r="P769" s="3"/>
      <c r="Q769" s="3"/>
      <c r="R769" s="32"/>
      <c r="S769" s="32"/>
      <c r="T769" s="3"/>
      <c r="U769" s="33"/>
      <c r="V769" s="33"/>
      <c r="W769" s="3"/>
      <c r="X769" s="3"/>
      <c r="Y769" s="3"/>
      <c r="Z769" s="3"/>
      <c r="AA769" s="3"/>
      <c r="AB769" s="3"/>
      <c r="AC769" s="3"/>
      <c r="AD769" s="32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4"/>
      <c r="AT769" s="3"/>
      <c r="AU769" s="3"/>
      <c r="AV769" s="3"/>
      <c r="AW769" s="3"/>
      <c r="AX769" s="4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84"/>
      <c r="BZ769" s="84"/>
      <c r="CA769" s="84"/>
      <c r="CB769" s="84"/>
      <c r="CC769" s="84"/>
      <c r="CD769" s="84"/>
      <c r="CE769" s="84"/>
      <c r="CF769" s="84"/>
      <c r="CG769" s="84"/>
      <c r="CH769" s="84"/>
      <c r="CI769" s="84"/>
      <c r="CJ769" s="84"/>
      <c r="CK769" s="84"/>
      <c r="CL769" s="84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220"/>
      <c r="CY769" s="220"/>
      <c r="CZ769" s="220"/>
      <c r="DA769" s="220"/>
      <c r="DB769" s="237"/>
      <c r="DC769" s="238"/>
      <c r="DD769" s="238"/>
      <c r="DE769" s="238"/>
      <c r="DF769" s="238"/>
      <c r="DG769" s="238"/>
      <c r="DH769" s="238"/>
      <c r="DI769" s="238"/>
      <c r="DJ769" s="238"/>
      <c r="DK769" s="238"/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38"/>
      <c r="DW769" s="238"/>
      <c r="DX769" s="238"/>
      <c r="DY769" s="238"/>
      <c r="DZ769" s="238"/>
      <c r="EA769" s="238"/>
      <c r="EB769" s="238"/>
      <c r="EC769" s="238"/>
      <c r="ED769" s="3"/>
      <c r="EE769" s="3"/>
      <c r="EF769" s="3"/>
      <c r="EG769" s="3"/>
      <c r="EH769" s="3"/>
    </row>
    <row r="770" spans="1:138" s="82" customFormat="1" x14ac:dyDescent="0.2">
      <c r="A770" s="3"/>
      <c r="B770" s="167"/>
      <c r="C770" s="3"/>
      <c r="D770" s="3"/>
      <c r="E770" s="31"/>
      <c r="F770" s="133"/>
      <c r="G770" s="3"/>
      <c r="H770" s="31"/>
      <c r="I770" s="31"/>
      <c r="J770" s="3"/>
      <c r="K770" s="3"/>
      <c r="L770" s="3"/>
      <c r="M770" s="3"/>
      <c r="N770" s="3"/>
      <c r="O770" s="3"/>
      <c r="P770" s="3"/>
      <c r="Q770" s="3"/>
      <c r="R770" s="32"/>
      <c r="S770" s="32"/>
      <c r="T770" s="3"/>
      <c r="U770" s="33"/>
      <c r="V770" s="33"/>
      <c r="W770" s="3"/>
      <c r="X770" s="3"/>
      <c r="Y770" s="3"/>
      <c r="Z770" s="3"/>
      <c r="AA770" s="3"/>
      <c r="AB770" s="3"/>
      <c r="AC770" s="3"/>
      <c r="AD770" s="32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4"/>
      <c r="AT770" s="3"/>
      <c r="AU770" s="3"/>
      <c r="AV770" s="3"/>
      <c r="AW770" s="3"/>
      <c r="AX770" s="4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84"/>
      <c r="BZ770" s="84"/>
      <c r="CA770" s="84"/>
      <c r="CB770" s="84"/>
      <c r="CC770" s="84"/>
      <c r="CD770" s="84"/>
      <c r="CE770" s="84"/>
      <c r="CF770" s="84"/>
      <c r="CG770" s="84"/>
      <c r="CH770" s="84"/>
      <c r="CI770" s="84"/>
      <c r="CJ770" s="84"/>
      <c r="CK770" s="84"/>
      <c r="CL770" s="84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220"/>
      <c r="CY770" s="220"/>
      <c r="CZ770" s="220"/>
      <c r="DA770" s="220"/>
      <c r="DB770" s="237"/>
      <c r="DC770" s="238"/>
      <c r="DD770" s="238"/>
      <c r="DE770" s="238"/>
      <c r="DF770" s="238"/>
      <c r="DG770" s="238"/>
      <c r="DH770" s="238"/>
      <c r="DI770" s="238"/>
      <c r="DJ770" s="238"/>
      <c r="DK770" s="238"/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38"/>
      <c r="DW770" s="238"/>
      <c r="DX770" s="238"/>
      <c r="DY770" s="238"/>
      <c r="DZ770" s="238"/>
      <c r="EA770" s="238"/>
      <c r="EB770" s="238"/>
      <c r="EC770" s="238"/>
      <c r="ED770" s="3"/>
      <c r="EE770" s="3"/>
      <c r="EF770" s="3"/>
      <c r="EG770" s="3"/>
      <c r="EH770" s="3"/>
    </row>
    <row r="771" spans="1:138" s="82" customFormat="1" x14ac:dyDescent="0.2">
      <c r="A771" s="3"/>
      <c r="B771" s="167"/>
      <c r="C771" s="3"/>
      <c r="D771" s="3"/>
      <c r="E771" s="31"/>
      <c r="F771" s="133"/>
      <c r="G771" s="3"/>
      <c r="H771" s="31"/>
      <c r="I771" s="31"/>
      <c r="J771" s="3"/>
      <c r="K771" s="3"/>
      <c r="L771" s="3"/>
      <c r="M771" s="3"/>
      <c r="N771" s="3"/>
      <c r="O771" s="3"/>
      <c r="P771" s="3"/>
      <c r="Q771" s="3"/>
      <c r="R771" s="32"/>
      <c r="S771" s="32"/>
      <c r="T771" s="3"/>
      <c r="U771" s="33"/>
      <c r="V771" s="33"/>
      <c r="W771" s="3"/>
      <c r="X771" s="3"/>
      <c r="Y771" s="3"/>
      <c r="Z771" s="3"/>
      <c r="AA771" s="3"/>
      <c r="AB771" s="3"/>
      <c r="AC771" s="3"/>
      <c r="AD771" s="32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4"/>
      <c r="AT771" s="3"/>
      <c r="AU771" s="3"/>
      <c r="AV771" s="3"/>
      <c r="AW771" s="3"/>
      <c r="AX771" s="4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84"/>
      <c r="BZ771" s="84"/>
      <c r="CA771" s="84"/>
      <c r="CB771" s="84"/>
      <c r="CC771" s="84"/>
      <c r="CD771" s="84"/>
      <c r="CE771" s="84"/>
      <c r="CF771" s="84"/>
      <c r="CG771" s="84"/>
      <c r="CH771" s="84"/>
      <c r="CI771" s="84"/>
      <c r="CJ771" s="84"/>
      <c r="CK771" s="84"/>
      <c r="CL771" s="84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220"/>
      <c r="CY771" s="220"/>
      <c r="CZ771" s="220"/>
      <c r="DA771" s="220"/>
      <c r="DB771" s="237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38"/>
      <c r="DW771" s="238"/>
      <c r="DX771" s="238"/>
      <c r="DY771" s="238"/>
      <c r="DZ771" s="238"/>
      <c r="EA771" s="238"/>
      <c r="EB771" s="238"/>
      <c r="EC771" s="238"/>
      <c r="ED771" s="3"/>
      <c r="EE771" s="3"/>
      <c r="EF771" s="3"/>
      <c r="EG771" s="3"/>
      <c r="EH771" s="3"/>
    </row>
    <row r="772" spans="1:138" s="82" customFormat="1" x14ac:dyDescent="0.2">
      <c r="A772" s="3"/>
      <c r="B772" s="167"/>
      <c r="C772" s="3"/>
      <c r="D772" s="3"/>
      <c r="E772" s="31"/>
      <c r="F772" s="133"/>
      <c r="G772" s="3"/>
      <c r="H772" s="31"/>
      <c r="I772" s="31"/>
      <c r="J772" s="3"/>
      <c r="K772" s="3"/>
      <c r="L772" s="3"/>
      <c r="M772" s="3"/>
      <c r="N772" s="3"/>
      <c r="O772" s="3"/>
      <c r="P772" s="3"/>
      <c r="Q772" s="3"/>
      <c r="R772" s="32"/>
      <c r="S772" s="32"/>
      <c r="T772" s="3"/>
      <c r="U772" s="33"/>
      <c r="V772" s="33"/>
      <c r="W772" s="3"/>
      <c r="X772" s="3"/>
      <c r="Y772" s="3"/>
      <c r="Z772" s="3"/>
      <c r="AA772" s="3"/>
      <c r="AB772" s="3"/>
      <c r="AC772" s="3"/>
      <c r="AD772" s="32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4"/>
      <c r="AT772" s="3"/>
      <c r="AU772" s="3"/>
      <c r="AV772" s="3"/>
      <c r="AW772" s="3"/>
      <c r="AX772" s="4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84"/>
      <c r="BZ772" s="84"/>
      <c r="CA772" s="84"/>
      <c r="CB772" s="84"/>
      <c r="CC772" s="84"/>
      <c r="CD772" s="84"/>
      <c r="CE772" s="84"/>
      <c r="CF772" s="84"/>
      <c r="CG772" s="84"/>
      <c r="CH772" s="84"/>
      <c r="CI772" s="84"/>
      <c r="CJ772" s="84"/>
      <c r="CK772" s="84"/>
      <c r="CL772" s="84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220"/>
      <c r="CY772" s="220"/>
      <c r="CZ772" s="220"/>
      <c r="DA772" s="220"/>
      <c r="DB772" s="237"/>
      <c r="DC772" s="238"/>
      <c r="DD772" s="238"/>
      <c r="DE772" s="238"/>
      <c r="DF772" s="238"/>
      <c r="DG772" s="238"/>
      <c r="DH772" s="238"/>
      <c r="DI772" s="238"/>
      <c r="DJ772" s="238"/>
      <c r="DK772" s="238"/>
      <c r="DL772" s="238"/>
      <c r="DM772" s="238"/>
      <c r="DN772" s="238"/>
      <c r="DO772" s="238"/>
      <c r="DP772" s="238"/>
      <c r="DQ772" s="238"/>
      <c r="DR772" s="238"/>
      <c r="DS772" s="238"/>
      <c r="DT772" s="238"/>
      <c r="DU772" s="238"/>
      <c r="DV772" s="238"/>
      <c r="DW772" s="238"/>
      <c r="DX772" s="238"/>
      <c r="DY772" s="238"/>
      <c r="DZ772" s="238"/>
      <c r="EA772" s="238"/>
      <c r="EB772" s="238"/>
      <c r="EC772" s="238"/>
      <c r="ED772" s="3"/>
      <c r="EE772" s="3"/>
      <c r="EF772" s="3"/>
      <c r="EG772" s="3"/>
      <c r="EH772" s="3"/>
    </row>
    <row r="773" spans="1:138" s="82" customFormat="1" x14ac:dyDescent="0.2">
      <c r="A773" s="3"/>
      <c r="B773" s="167"/>
      <c r="C773" s="3"/>
      <c r="D773" s="3"/>
      <c r="E773" s="31"/>
      <c r="F773" s="133"/>
      <c r="G773" s="3"/>
      <c r="H773" s="31"/>
      <c r="I773" s="31"/>
      <c r="J773" s="3"/>
      <c r="K773" s="3"/>
      <c r="L773" s="3"/>
      <c r="M773" s="3"/>
      <c r="N773" s="3"/>
      <c r="O773" s="3"/>
      <c r="P773" s="3"/>
      <c r="Q773" s="3"/>
      <c r="R773" s="32"/>
      <c r="S773" s="32"/>
      <c r="T773" s="3"/>
      <c r="U773" s="33"/>
      <c r="V773" s="33"/>
      <c r="W773" s="3"/>
      <c r="X773" s="3"/>
      <c r="Y773" s="3"/>
      <c r="Z773" s="3"/>
      <c r="AA773" s="3"/>
      <c r="AB773" s="3"/>
      <c r="AC773" s="3"/>
      <c r="AD773" s="32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4"/>
      <c r="AT773" s="3"/>
      <c r="AU773" s="3"/>
      <c r="AV773" s="3"/>
      <c r="AW773" s="3"/>
      <c r="AX773" s="4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84"/>
      <c r="BZ773" s="84"/>
      <c r="CA773" s="84"/>
      <c r="CB773" s="84"/>
      <c r="CC773" s="84"/>
      <c r="CD773" s="84"/>
      <c r="CE773" s="84"/>
      <c r="CF773" s="84"/>
      <c r="CG773" s="84"/>
      <c r="CH773" s="84"/>
      <c r="CI773" s="84"/>
      <c r="CJ773" s="84"/>
      <c r="CK773" s="84"/>
      <c r="CL773" s="84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220"/>
      <c r="CY773" s="220"/>
      <c r="CZ773" s="220"/>
      <c r="DA773" s="220"/>
      <c r="DB773" s="237"/>
      <c r="DC773" s="238"/>
      <c r="DD773" s="238"/>
      <c r="DE773" s="238"/>
      <c r="DF773" s="238"/>
      <c r="DG773" s="238"/>
      <c r="DH773" s="238"/>
      <c r="DI773" s="238"/>
      <c r="DJ773" s="238"/>
      <c r="DK773" s="238"/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38"/>
      <c r="DW773" s="238"/>
      <c r="DX773" s="238"/>
      <c r="DY773" s="238"/>
      <c r="DZ773" s="238"/>
      <c r="EA773" s="238"/>
      <c r="EB773" s="238"/>
      <c r="EC773" s="238"/>
      <c r="ED773" s="3"/>
      <c r="EE773" s="3"/>
      <c r="EF773" s="3"/>
      <c r="EG773" s="3"/>
      <c r="EH773" s="3"/>
    </row>
    <row r="774" spans="1:138" s="82" customFormat="1" x14ac:dyDescent="0.2">
      <c r="A774" s="3"/>
      <c r="B774" s="167"/>
      <c r="C774" s="3"/>
      <c r="D774" s="3"/>
      <c r="E774" s="31"/>
      <c r="F774" s="133"/>
      <c r="G774" s="3"/>
      <c r="H774" s="31"/>
      <c r="I774" s="31"/>
      <c r="J774" s="3"/>
      <c r="K774" s="3"/>
      <c r="L774" s="3"/>
      <c r="M774" s="3"/>
      <c r="N774" s="3"/>
      <c r="O774" s="3"/>
      <c r="P774" s="3"/>
      <c r="Q774" s="3"/>
      <c r="R774" s="32"/>
      <c r="S774" s="32"/>
      <c r="T774" s="3"/>
      <c r="U774" s="33"/>
      <c r="V774" s="33"/>
      <c r="W774" s="3"/>
      <c r="X774" s="3"/>
      <c r="Y774" s="3"/>
      <c r="Z774" s="3"/>
      <c r="AA774" s="3"/>
      <c r="AB774" s="3"/>
      <c r="AC774" s="3"/>
      <c r="AD774" s="32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4"/>
      <c r="AT774" s="3"/>
      <c r="AU774" s="3"/>
      <c r="AV774" s="3"/>
      <c r="AW774" s="3"/>
      <c r="AX774" s="4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84"/>
      <c r="BZ774" s="84"/>
      <c r="CA774" s="84"/>
      <c r="CB774" s="84"/>
      <c r="CC774" s="84"/>
      <c r="CD774" s="84"/>
      <c r="CE774" s="84"/>
      <c r="CF774" s="84"/>
      <c r="CG774" s="84"/>
      <c r="CH774" s="84"/>
      <c r="CI774" s="84"/>
      <c r="CJ774" s="84"/>
      <c r="CK774" s="84"/>
      <c r="CL774" s="84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220"/>
      <c r="CY774" s="220"/>
      <c r="CZ774" s="220"/>
      <c r="DA774" s="220"/>
      <c r="DB774" s="237"/>
      <c r="DC774" s="238"/>
      <c r="DD774" s="238"/>
      <c r="DE774" s="238"/>
      <c r="DF774" s="238"/>
      <c r="DG774" s="238"/>
      <c r="DH774" s="238"/>
      <c r="DI774" s="238"/>
      <c r="DJ774" s="238"/>
      <c r="DK774" s="238"/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38"/>
      <c r="DW774" s="238"/>
      <c r="DX774" s="238"/>
      <c r="DY774" s="238"/>
      <c r="DZ774" s="238"/>
      <c r="EA774" s="238"/>
      <c r="EB774" s="238"/>
      <c r="EC774" s="238"/>
      <c r="ED774" s="3"/>
      <c r="EE774" s="3"/>
      <c r="EF774" s="3"/>
      <c r="EG774" s="3"/>
      <c r="EH774" s="3"/>
    </row>
    <row r="775" spans="1:138" s="82" customFormat="1" x14ac:dyDescent="0.2">
      <c r="A775" s="3"/>
      <c r="B775" s="167"/>
      <c r="C775" s="3"/>
      <c r="D775" s="3"/>
      <c r="E775" s="31"/>
      <c r="F775" s="133"/>
      <c r="G775" s="3"/>
      <c r="H775" s="31"/>
      <c r="I775" s="31"/>
      <c r="J775" s="3"/>
      <c r="K775" s="3"/>
      <c r="L775" s="3"/>
      <c r="M775" s="3"/>
      <c r="N775" s="3"/>
      <c r="O775" s="3"/>
      <c r="P775" s="3"/>
      <c r="Q775" s="3"/>
      <c r="R775" s="32"/>
      <c r="S775" s="32"/>
      <c r="T775" s="3"/>
      <c r="U775" s="33"/>
      <c r="V775" s="33"/>
      <c r="W775" s="3"/>
      <c r="X775" s="3"/>
      <c r="Y775" s="3"/>
      <c r="Z775" s="3"/>
      <c r="AA775" s="3"/>
      <c r="AB775" s="3"/>
      <c r="AC775" s="3"/>
      <c r="AD775" s="32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4"/>
      <c r="AT775" s="3"/>
      <c r="AU775" s="3"/>
      <c r="AV775" s="3"/>
      <c r="AW775" s="3"/>
      <c r="AX775" s="4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84"/>
      <c r="BZ775" s="84"/>
      <c r="CA775" s="84"/>
      <c r="CB775" s="84"/>
      <c r="CC775" s="84"/>
      <c r="CD775" s="84"/>
      <c r="CE775" s="84"/>
      <c r="CF775" s="84"/>
      <c r="CG775" s="84"/>
      <c r="CH775" s="84"/>
      <c r="CI775" s="84"/>
      <c r="CJ775" s="84"/>
      <c r="CK775" s="84"/>
      <c r="CL775" s="84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220"/>
      <c r="CY775" s="220"/>
      <c r="CZ775" s="220"/>
      <c r="DA775" s="220"/>
      <c r="DB775" s="237"/>
      <c r="DC775" s="238"/>
      <c r="DD775" s="238"/>
      <c r="DE775" s="238"/>
      <c r="DF775" s="238"/>
      <c r="DG775" s="238"/>
      <c r="DH775" s="238"/>
      <c r="DI775" s="238"/>
      <c r="DJ775" s="238"/>
      <c r="DK775" s="238"/>
      <c r="DL775" s="238"/>
      <c r="DM775" s="238"/>
      <c r="DN775" s="238"/>
      <c r="DO775" s="238"/>
      <c r="DP775" s="238"/>
      <c r="DQ775" s="238"/>
      <c r="DR775" s="238"/>
      <c r="DS775" s="238"/>
      <c r="DT775" s="238"/>
      <c r="DU775" s="238"/>
      <c r="DV775" s="238"/>
      <c r="DW775" s="238"/>
      <c r="DX775" s="238"/>
      <c r="DY775" s="238"/>
      <c r="DZ775" s="238"/>
      <c r="EA775" s="238"/>
      <c r="EB775" s="238"/>
      <c r="EC775" s="238"/>
      <c r="ED775" s="3"/>
      <c r="EE775" s="3"/>
      <c r="EF775" s="3"/>
      <c r="EG775" s="3"/>
      <c r="EH775" s="3"/>
    </row>
    <row r="776" spans="1:138" s="82" customFormat="1" x14ac:dyDescent="0.2">
      <c r="A776" s="3"/>
      <c r="B776" s="167"/>
      <c r="C776" s="3"/>
      <c r="D776" s="3"/>
      <c r="E776" s="31"/>
      <c r="F776" s="133"/>
      <c r="G776" s="3"/>
      <c r="H776" s="31"/>
      <c r="I776" s="31"/>
      <c r="J776" s="3"/>
      <c r="K776" s="3"/>
      <c r="L776" s="3"/>
      <c r="M776" s="3"/>
      <c r="N776" s="3"/>
      <c r="O776" s="3"/>
      <c r="P776" s="3"/>
      <c r="Q776" s="3"/>
      <c r="R776" s="32"/>
      <c r="S776" s="32"/>
      <c r="T776" s="3"/>
      <c r="U776" s="33"/>
      <c r="V776" s="33"/>
      <c r="W776" s="3"/>
      <c r="X776" s="3"/>
      <c r="Y776" s="3"/>
      <c r="Z776" s="3"/>
      <c r="AA776" s="3"/>
      <c r="AB776" s="3"/>
      <c r="AC776" s="3"/>
      <c r="AD776" s="32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4"/>
      <c r="AT776" s="3"/>
      <c r="AU776" s="3"/>
      <c r="AV776" s="3"/>
      <c r="AW776" s="3"/>
      <c r="AX776" s="4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84"/>
      <c r="BZ776" s="84"/>
      <c r="CA776" s="84"/>
      <c r="CB776" s="84"/>
      <c r="CC776" s="84"/>
      <c r="CD776" s="84"/>
      <c r="CE776" s="84"/>
      <c r="CF776" s="84"/>
      <c r="CG776" s="84"/>
      <c r="CH776" s="84"/>
      <c r="CI776" s="84"/>
      <c r="CJ776" s="84"/>
      <c r="CK776" s="84"/>
      <c r="CL776" s="84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220"/>
      <c r="CY776" s="220"/>
      <c r="CZ776" s="220"/>
      <c r="DA776" s="220"/>
      <c r="DB776" s="237"/>
      <c r="DC776" s="238"/>
      <c r="DD776" s="238"/>
      <c r="DE776" s="238"/>
      <c r="DF776" s="238"/>
      <c r="DG776" s="238"/>
      <c r="DH776" s="238"/>
      <c r="DI776" s="238"/>
      <c r="DJ776" s="238"/>
      <c r="DK776" s="238"/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38"/>
      <c r="DW776" s="238"/>
      <c r="DX776" s="238"/>
      <c r="DY776" s="238"/>
      <c r="DZ776" s="238"/>
      <c r="EA776" s="238"/>
      <c r="EB776" s="238"/>
      <c r="EC776" s="238"/>
      <c r="ED776" s="3"/>
      <c r="EE776" s="3"/>
      <c r="EF776" s="3"/>
      <c r="EG776" s="3"/>
      <c r="EH776" s="3"/>
    </row>
    <row r="777" spans="1:138" s="82" customFormat="1" x14ac:dyDescent="0.2">
      <c r="A777" s="3"/>
      <c r="B777" s="167"/>
      <c r="C777" s="3"/>
      <c r="D777" s="3"/>
      <c r="E777" s="31"/>
      <c r="F777" s="133"/>
      <c r="G777" s="3"/>
      <c r="H777" s="31"/>
      <c r="I777" s="31"/>
      <c r="J777" s="3"/>
      <c r="K777" s="3"/>
      <c r="L777" s="3"/>
      <c r="M777" s="3"/>
      <c r="N777" s="3"/>
      <c r="O777" s="3"/>
      <c r="P777" s="3"/>
      <c r="Q777" s="3"/>
      <c r="R777" s="32"/>
      <c r="S777" s="32"/>
      <c r="T777" s="3"/>
      <c r="U777" s="33"/>
      <c r="V777" s="33"/>
      <c r="W777" s="3"/>
      <c r="X777" s="3"/>
      <c r="Y777" s="3"/>
      <c r="Z777" s="3"/>
      <c r="AA777" s="3"/>
      <c r="AB777" s="3"/>
      <c r="AC777" s="3"/>
      <c r="AD777" s="32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4"/>
      <c r="AT777" s="3"/>
      <c r="AU777" s="3"/>
      <c r="AV777" s="3"/>
      <c r="AW777" s="3"/>
      <c r="AX777" s="4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84"/>
      <c r="BZ777" s="84"/>
      <c r="CA777" s="84"/>
      <c r="CB777" s="84"/>
      <c r="CC777" s="84"/>
      <c r="CD777" s="84"/>
      <c r="CE777" s="84"/>
      <c r="CF777" s="84"/>
      <c r="CG777" s="84"/>
      <c r="CH777" s="84"/>
      <c r="CI777" s="84"/>
      <c r="CJ777" s="84"/>
      <c r="CK777" s="84"/>
      <c r="CL777" s="84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220"/>
      <c r="CY777" s="220"/>
      <c r="CZ777" s="220"/>
      <c r="DA777" s="220"/>
      <c r="DB777" s="237"/>
      <c r="DC777" s="238"/>
      <c r="DD777" s="238"/>
      <c r="DE777" s="238"/>
      <c r="DF777" s="238"/>
      <c r="DG777" s="238"/>
      <c r="DH777" s="238"/>
      <c r="DI777" s="238"/>
      <c r="DJ777" s="238"/>
      <c r="DK777" s="238"/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38"/>
      <c r="DW777" s="238"/>
      <c r="DX777" s="238"/>
      <c r="DY777" s="238"/>
      <c r="DZ777" s="238"/>
      <c r="EA777" s="238"/>
      <c r="EB777" s="238"/>
      <c r="EC777" s="238"/>
      <c r="ED777" s="3"/>
      <c r="EE777" s="3"/>
      <c r="EF777" s="3"/>
      <c r="EG777" s="3"/>
      <c r="EH777" s="3"/>
    </row>
    <row r="778" spans="1:138" s="82" customFormat="1" x14ac:dyDescent="0.2">
      <c r="A778" s="3"/>
      <c r="B778" s="167"/>
      <c r="C778" s="3"/>
      <c r="D778" s="3"/>
      <c r="E778" s="31"/>
      <c r="F778" s="133"/>
      <c r="G778" s="3"/>
      <c r="H778" s="31"/>
      <c r="I778" s="31"/>
      <c r="J778" s="3"/>
      <c r="K778" s="3"/>
      <c r="L778" s="3"/>
      <c r="M778" s="3"/>
      <c r="N778" s="3"/>
      <c r="O778" s="3"/>
      <c r="P778" s="3"/>
      <c r="Q778" s="3"/>
      <c r="R778" s="32"/>
      <c r="S778" s="32"/>
      <c r="T778" s="3"/>
      <c r="U778" s="33"/>
      <c r="V778" s="33"/>
      <c r="W778" s="3"/>
      <c r="X778" s="3"/>
      <c r="Y778" s="3"/>
      <c r="Z778" s="3"/>
      <c r="AA778" s="3"/>
      <c r="AB778" s="3"/>
      <c r="AC778" s="3"/>
      <c r="AD778" s="32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4"/>
      <c r="AT778" s="3"/>
      <c r="AU778" s="3"/>
      <c r="AV778" s="3"/>
      <c r="AW778" s="3"/>
      <c r="AX778" s="4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84"/>
      <c r="BZ778" s="84"/>
      <c r="CA778" s="84"/>
      <c r="CB778" s="84"/>
      <c r="CC778" s="84"/>
      <c r="CD778" s="84"/>
      <c r="CE778" s="84"/>
      <c r="CF778" s="84"/>
      <c r="CG778" s="84"/>
      <c r="CH778" s="84"/>
      <c r="CI778" s="84"/>
      <c r="CJ778" s="84"/>
      <c r="CK778" s="84"/>
      <c r="CL778" s="84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220"/>
      <c r="CY778" s="220"/>
      <c r="CZ778" s="220"/>
      <c r="DA778" s="220"/>
      <c r="DB778" s="237"/>
      <c r="DC778" s="238"/>
      <c r="DD778" s="238"/>
      <c r="DE778" s="238"/>
      <c r="DF778" s="238"/>
      <c r="DG778" s="238"/>
      <c r="DH778" s="238"/>
      <c r="DI778" s="238"/>
      <c r="DJ778" s="238"/>
      <c r="DK778" s="238"/>
      <c r="DL778" s="238"/>
      <c r="DM778" s="238"/>
      <c r="DN778" s="238"/>
      <c r="DO778" s="238"/>
      <c r="DP778" s="238"/>
      <c r="DQ778" s="238"/>
      <c r="DR778" s="238"/>
      <c r="DS778" s="238"/>
      <c r="DT778" s="238"/>
      <c r="DU778" s="238"/>
      <c r="DV778" s="238"/>
      <c r="DW778" s="238"/>
      <c r="DX778" s="238"/>
      <c r="DY778" s="238"/>
      <c r="DZ778" s="238"/>
      <c r="EA778" s="238"/>
      <c r="EB778" s="238"/>
      <c r="EC778" s="238"/>
      <c r="ED778" s="3"/>
      <c r="EE778" s="3"/>
      <c r="EF778" s="3"/>
      <c r="EG778" s="3"/>
      <c r="EH778" s="3"/>
    </row>
    <row r="779" spans="1:138" s="82" customFormat="1" x14ac:dyDescent="0.2">
      <c r="A779" s="3"/>
      <c r="B779" s="167"/>
      <c r="C779" s="3"/>
      <c r="D779" s="3"/>
      <c r="E779" s="31"/>
      <c r="F779" s="133"/>
      <c r="G779" s="3"/>
      <c r="H779" s="31"/>
      <c r="I779" s="31"/>
      <c r="J779" s="3"/>
      <c r="K779" s="3"/>
      <c r="L779" s="3"/>
      <c r="M779" s="3"/>
      <c r="N779" s="3"/>
      <c r="O779" s="3"/>
      <c r="P779" s="3"/>
      <c r="Q779" s="3"/>
      <c r="R779" s="32"/>
      <c r="S779" s="32"/>
      <c r="T779" s="3"/>
      <c r="U779" s="33"/>
      <c r="V779" s="33"/>
      <c r="W779" s="3"/>
      <c r="X779" s="3"/>
      <c r="Y779" s="3"/>
      <c r="Z779" s="3"/>
      <c r="AA779" s="3"/>
      <c r="AB779" s="3"/>
      <c r="AC779" s="3"/>
      <c r="AD779" s="32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4"/>
      <c r="AT779" s="3"/>
      <c r="AU779" s="3"/>
      <c r="AV779" s="3"/>
      <c r="AW779" s="3"/>
      <c r="AX779" s="4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84"/>
      <c r="BZ779" s="84"/>
      <c r="CA779" s="84"/>
      <c r="CB779" s="84"/>
      <c r="CC779" s="84"/>
      <c r="CD779" s="84"/>
      <c r="CE779" s="84"/>
      <c r="CF779" s="84"/>
      <c r="CG779" s="84"/>
      <c r="CH779" s="84"/>
      <c r="CI779" s="84"/>
      <c r="CJ779" s="84"/>
      <c r="CK779" s="84"/>
      <c r="CL779" s="84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220"/>
      <c r="CY779" s="220"/>
      <c r="CZ779" s="220"/>
      <c r="DA779" s="220"/>
      <c r="DB779" s="237"/>
      <c r="DC779" s="238"/>
      <c r="DD779" s="238"/>
      <c r="DE779" s="238"/>
      <c r="DF779" s="238"/>
      <c r="DG779" s="238"/>
      <c r="DH779" s="238"/>
      <c r="DI779" s="238"/>
      <c r="DJ779" s="238"/>
      <c r="DK779" s="238"/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38"/>
      <c r="DW779" s="238"/>
      <c r="DX779" s="238"/>
      <c r="DY779" s="238"/>
      <c r="DZ779" s="238"/>
      <c r="EA779" s="238"/>
      <c r="EB779" s="238"/>
      <c r="EC779" s="238"/>
      <c r="ED779" s="3"/>
      <c r="EE779" s="3"/>
      <c r="EF779" s="3"/>
      <c r="EG779" s="3"/>
      <c r="EH779" s="3"/>
    </row>
    <row r="780" spans="1:138" s="82" customFormat="1" x14ac:dyDescent="0.2">
      <c r="A780" s="3"/>
      <c r="B780" s="167"/>
      <c r="C780" s="3"/>
      <c r="D780" s="3"/>
      <c r="E780" s="31"/>
      <c r="F780" s="133"/>
      <c r="G780" s="3"/>
      <c r="H780" s="31"/>
      <c r="I780" s="31"/>
      <c r="J780" s="3"/>
      <c r="K780" s="3"/>
      <c r="L780" s="3"/>
      <c r="M780" s="3"/>
      <c r="N780" s="3"/>
      <c r="O780" s="3"/>
      <c r="P780" s="3"/>
      <c r="Q780" s="3"/>
      <c r="R780" s="32"/>
      <c r="S780" s="32"/>
      <c r="T780" s="3"/>
      <c r="U780" s="33"/>
      <c r="V780" s="33"/>
      <c r="W780" s="3"/>
      <c r="X780" s="3"/>
      <c r="Y780" s="3"/>
      <c r="Z780" s="3"/>
      <c r="AA780" s="3"/>
      <c r="AB780" s="3"/>
      <c r="AC780" s="3"/>
      <c r="AD780" s="32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4"/>
      <c r="AT780" s="3"/>
      <c r="AU780" s="3"/>
      <c r="AV780" s="3"/>
      <c r="AW780" s="3"/>
      <c r="AX780" s="4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84"/>
      <c r="BZ780" s="84"/>
      <c r="CA780" s="84"/>
      <c r="CB780" s="84"/>
      <c r="CC780" s="84"/>
      <c r="CD780" s="84"/>
      <c r="CE780" s="84"/>
      <c r="CF780" s="84"/>
      <c r="CG780" s="84"/>
      <c r="CH780" s="84"/>
      <c r="CI780" s="84"/>
      <c r="CJ780" s="84"/>
      <c r="CK780" s="84"/>
      <c r="CL780" s="84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220"/>
      <c r="CY780" s="220"/>
      <c r="CZ780" s="220"/>
      <c r="DA780" s="220"/>
      <c r="DB780" s="237"/>
      <c r="DC780" s="238"/>
      <c r="DD780" s="238"/>
      <c r="DE780" s="238"/>
      <c r="DF780" s="238"/>
      <c r="DG780" s="238"/>
      <c r="DH780" s="238"/>
      <c r="DI780" s="238"/>
      <c r="DJ780" s="238"/>
      <c r="DK780" s="238"/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38"/>
      <c r="DW780" s="238"/>
      <c r="DX780" s="238"/>
      <c r="DY780" s="238"/>
      <c r="DZ780" s="238"/>
      <c r="EA780" s="238"/>
      <c r="EB780" s="238"/>
      <c r="EC780" s="238"/>
      <c r="ED780" s="3"/>
      <c r="EE780" s="3"/>
      <c r="EF780" s="3"/>
      <c r="EG780" s="3"/>
      <c r="EH780" s="3"/>
    </row>
    <row r="781" spans="1:138" s="82" customFormat="1" x14ac:dyDescent="0.2">
      <c r="A781" s="3"/>
      <c r="B781" s="167"/>
      <c r="C781" s="3"/>
      <c r="D781" s="3"/>
      <c r="E781" s="31"/>
      <c r="F781" s="133"/>
      <c r="G781" s="3"/>
      <c r="H781" s="31"/>
      <c r="I781" s="31"/>
      <c r="J781" s="3"/>
      <c r="K781" s="3"/>
      <c r="L781" s="3"/>
      <c r="M781" s="3"/>
      <c r="N781" s="3"/>
      <c r="O781" s="3"/>
      <c r="P781" s="3"/>
      <c r="Q781" s="3"/>
      <c r="R781" s="32"/>
      <c r="S781" s="32"/>
      <c r="T781" s="3"/>
      <c r="U781" s="33"/>
      <c r="V781" s="33"/>
      <c r="W781" s="3"/>
      <c r="X781" s="3"/>
      <c r="Y781" s="3"/>
      <c r="Z781" s="3"/>
      <c r="AA781" s="3"/>
      <c r="AB781" s="3"/>
      <c r="AC781" s="3"/>
      <c r="AD781" s="32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4"/>
      <c r="AT781" s="3"/>
      <c r="AU781" s="3"/>
      <c r="AV781" s="3"/>
      <c r="AW781" s="3"/>
      <c r="AX781" s="4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84"/>
      <c r="BZ781" s="84"/>
      <c r="CA781" s="84"/>
      <c r="CB781" s="84"/>
      <c r="CC781" s="84"/>
      <c r="CD781" s="84"/>
      <c r="CE781" s="84"/>
      <c r="CF781" s="84"/>
      <c r="CG781" s="84"/>
      <c r="CH781" s="84"/>
      <c r="CI781" s="84"/>
      <c r="CJ781" s="84"/>
      <c r="CK781" s="84"/>
      <c r="CL781" s="84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220"/>
      <c r="CY781" s="220"/>
      <c r="CZ781" s="220"/>
      <c r="DA781" s="220"/>
      <c r="DB781" s="237"/>
      <c r="DC781" s="238"/>
      <c r="DD781" s="238"/>
      <c r="DE781" s="238"/>
      <c r="DF781" s="238"/>
      <c r="DG781" s="238"/>
      <c r="DH781" s="238"/>
      <c r="DI781" s="238"/>
      <c r="DJ781" s="238"/>
      <c r="DK781" s="238"/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38"/>
      <c r="DW781" s="238"/>
      <c r="DX781" s="238"/>
      <c r="DY781" s="238"/>
      <c r="DZ781" s="238"/>
      <c r="EA781" s="238"/>
      <c r="EB781" s="238"/>
      <c r="EC781" s="238"/>
      <c r="ED781" s="3"/>
      <c r="EE781" s="3"/>
      <c r="EF781" s="3"/>
      <c r="EG781" s="3"/>
      <c r="EH781" s="3"/>
    </row>
    <row r="782" spans="1:138" s="82" customFormat="1" x14ac:dyDescent="0.2">
      <c r="A782" s="3"/>
      <c r="B782" s="167"/>
      <c r="C782" s="3"/>
      <c r="D782" s="3"/>
      <c r="E782" s="31"/>
      <c r="F782" s="133"/>
      <c r="G782" s="3"/>
      <c r="H782" s="31"/>
      <c r="I782" s="31"/>
      <c r="J782" s="3"/>
      <c r="K782" s="3"/>
      <c r="L782" s="3"/>
      <c r="M782" s="3"/>
      <c r="N782" s="3"/>
      <c r="O782" s="3"/>
      <c r="P782" s="3"/>
      <c r="Q782" s="3"/>
      <c r="R782" s="32"/>
      <c r="S782" s="32"/>
      <c r="T782" s="3"/>
      <c r="U782" s="33"/>
      <c r="V782" s="33"/>
      <c r="W782" s="3"/>
      <c r="X782" s="3"/>
      <c r="Y782" s="3"/>
      <c r="Z782" s="3"/>
      <c r="AA782" s="3"/>
      <c r="AB782" s="3"/>
      <c r="AC782" s="3"/>
      <c r="AD782" s="32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4"/>
      <c r="AT782" s="3"/>
      <c r="AU782" s="3"/>
      <c r="AV782" s="3"/>
      <c r="AW782" s="3"/>
      <c r="AX782" s="4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84"/>
      <c r="BZ782" s="84"/>
      <c r="CA782" s="84"/>
      <c r="CB782" s="84"/>
      <c r="CC782" s="84"/>
      <c r="CD782" s="84"/>
      <c r="CE782" s="84"/>
      <c r="CF782" s="84"/>
      <c r="CG782" s="84"/>
      <c r="CH782" s="84"/>
      <c r="CI782" s="84"/>
      <c r="CJ782" s="84"/>
      <c r="CK782" s="84"/>
      <c r="CL782" s="84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220"/>
      <c r="CY782" s="220"/>
      <c r="CZ782" s="220"/>
      <c r="DA782" s="220"/>
      <c r="DB782" s="237"/>
      <c r="DC782" s="238"/>
      <c r="DD782" s="238"/>
      <c r="DE782" s="238"/>
      <c r="DF782" s="238"/>
      <c r="DG782" s="238"/>
      <c r="DH782" s="238"/>
      <c r="DI782" s="238"/>
      <c r="DJ782" s="238"/>
      <c r="DK782" s="238"/>
      <c r="DL782" s="238"/>
      <c r="DM782" s="238"/>
      <c r="DN782" s="238"/>
      <c r="DO782" s="238"/>
      <c r="DP782" s="238"/>
      <c r="DQ782" s="238"/>
      <c r="DR782" s="238"/>
      <c r="DS782" s="238"/>
      <c r="DT782" s="238"/>
      <c r="DU782" s="238"/>
      <c r="DV782" s="238"/>
      <c r="DW782" s="238"/>
      <c r="DX782" s="238"/>
      <c r="DY782" s="238"/>
      <c r="DZ782" s="238"/>
      <c r="EA782" s="238"/>
      <c r="EB782" s="238"/>
      <c r="EC782" s="238"/>
      <c r="ED782" s="3"/>
      <c r="EE782" s="3"/>
      <c r="EF782" s="3"/>
      <c r="EG782" s="3"/>
      <c r="EH782" s="3"/>
    </row>
    <row r="783" spans="1:138" s="82" customFormat="1" x14ac:dyDescent="0.2">
      <c r="A783" s="3"/>
      <c r="B783" s="167"/>
      <c r="C783" s="3"/>
      <c r="D783" s="3"/>
      <c r="E783" s="31"/>
      <c r="F783" s="133"/>
      <c r="G783" s="3"/>
      <c r="H783" s="31"/>
      <c r="I783" s="31"/>
      <c r="J783" s="3"/>
      <c r="K783" s="3"/>
      <c r="L783" s="3"/>
      <c r="M783" s="3"/>
      <c r="N783" s="3"/>
      <c r="O783" s="3"/>
      <c r="P783" s="3"/>
      <c r="Q783" s="3"/>
      <c r="R783" s="32"/>
      <c r="S783" s="32"/>
      <c r="T783" s="3"/>
      <c r="U783" s="33"/>
      <c r="V783" s="33"/>
      <c r="W783" s="3"/>
      <c r="X783" s="3"/>
      <c r="Y783" s="3"/>
      <c r="Z783" s="3"/>
      <c r="AA783" s="3"/>
      <c r="AB783" s="3"/>
      <c r="AC783" s="3"/>
      <c r="AD783" s="32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4"/>
      <c r="AT783" s="3"/>
      <c r="AU783" s="3"/>
      <c r="AV783" s="3"/>
      <c r="AW783" s="3"/>
      <c r="AX783" s="4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84"/>
      <c r="BZ783" s="84"/>
      <c r="CA783" s="84"/>
      <c r="CB783" s="84"/>
      <c r="CC783" s="84"/>
      <c r="CD783" s="84"/>
      <c r="CE783" s="84"/>
      <c r="CF783" s="84"/>
      <c r="CG783" s="84"/>
      <c r="CH783" s="84"/>
      <c r="CI783" s="84"/>
      <c r="CJ783" s="84"/>
      <c r="CK783" s="84"/>
      <c r="CL783" s="84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220"/>
      <c r="CY783" s="220"/>
      <c r="CZ783" s="220"/>
      <c r="DA783" s="220"/>
      <c r="DB783" s="237"/>
      <c r="DC783" s="238"/>
      <c r="DD783" s="238"/>
      <c r="DE783" s="238"/>
      <c r="DF783" s="238"/>
      <c r="DG783" s="238"/>
      <c r="DH783" s="238"/>
      <c r="DI783" s="238"/>
      <c r="DJ783" s="238"/>
      <c r="DK783" s="238"/>
      <c r="DL783" s="238"/>
      <c r="DM783" s="238"/>
      <c r="DN783" s="238"/>
      <c r="DO783" s="238"/>
      <c r="DP783" s="238"/>
      <c r="DQ783" s="238"/>
      <c r="DR783" s="238"/>
      <c r="DS783" s="238"/>
      <c r="DT783" s="238"/>
      <c r="DU783" s="238"/>
      <c r="DV783" s="238"/>
      <c r="DW783" s="238"/>
      <c r="DX783" s="238"/>
      <c r="DY783" s="238"/>
      <c r="DZ783" s="238"/>
      <c r="EA783" s="238"/>
      <c r="EB783" s="238"/>
      <c r="EC783" s="238"/>
      <c r="ED783" s="3"/>
      <c r="EE783" s="3"/>
      <c r="EF783" s="3"/>
      <c r="EG783" s="3"/>
      <c r="EH783" s="3"/>
    </row>
    <row r="784" spans="1:138" s="82" customFormat="1" x14ac:dyDescent="0.2">
      <c r="A784" s="3"/>
      <c r="B784" s="167"/>
      <c r="C784" s="3"/>
      <c r="D784" s="3"/>
      <c r="E784" s="31"/>
      <c r="F784" s="133"/>
      <c r="G784" s="3"/>
      <c r="H784" s="31"/>
      <c r="I784" s="31"/>
      <c r="J784" s="3"/>
      <c r="K784" s="3"/>
      <c r="L784" s="3"/>
      <c r="M784" s="3"/>
      <c r="N784" s="3"/>
      <c r="O784" s="3"/>
      <c r="P784" s="3"/>
      <c r="Q784" s="3"/>
      <c r="R784" s="32"/>
      <c r="S784" s="32"/>
      <c r="T784" s="3"/>
      <c r="U784" s="33"/>
      <c r="V784" s="33"/>
      <c r="W784" s="3"/>
      <c r="X784" s="3"/>
      <c r="Y784" s="3"/>
      <c r="Z784" s="3"/>
      <c r="AA784" s="3"/>
      <c r="AB784" s="3"/>
      <c r="AC784" s="3"/>
      <c r="AD784" s="32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4"/>
      <c r="AT784" s="3"/>
      <c r="AU784" s="3"/>
      <c r="AV784" s="3"/>
      <c r="AW784" s="3"/>
      <c r="AX784" s="4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84"/>
      <c r="BZ784" s="84"/>
      <c r="CA784" s="84"/>
      <c r="CB784" s="84"/>
      <c r="CC784" s="84"/>
      <c r="CD784" s="84"/>
      <c r="CE784" s="84"/>
      <c r="CF784" s="84"/>
      <c r="CG784" s="84"/>
      <c r="CH784" s="84"/>
      <c r="CI784" s="84"/>
      <c r="CJ784" s="84"/>
      <c r="CK784" s="84"/>
      <c r="CL784" s="84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220"/>
      <c r="CY784" s="220"/>
      <c r="CZ784" s="220"/>
      <c r="DA784" s="220"/>
      <c r="DB784" s="237"/>
      <c r="DC784" s="238"/>
      <c r="DD784" s="238"/>
      <c r="DE784" s="238"/>
      <c r="DF784" s="238"/>
      <c r="DG784" s="238"/>
      <c r="DH784" s="238"/>
      <c r="DI784" s="238"/>
      <c r="DJ784" s="238"/>
      <c r="DK784" s="238"/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38"/>
      <c r="DW784" s="238"/>
      <c r="DX784" s="238"/>
      <c r="DY784" s="238"/>
      <c r="DZ784" s="238"/>
      <c r="EA784" s="238"/>
      <c r="EB784" s="238"/>
      <c r="EC784" s="238"/>
      <c r="ED784" s="3"/>
      <c r="EE784" s="3"/>
      <c r="EF784" s="3"/>
      <c r="EG784" s="3"/>
      <c r="EH784" s="3"/>
    </row>
    <row r="785" spans="1:138" s="82" customFormat="1" x14ac:dyDescent="0.2">
      <c r="A785" s="3"/>
      <c r="B785" s="167"/>
      <c r="C785" s="3"/>
      <c r="D785" s="3"/>
      <c r="E785" s="31"/>
      <c r="F785" s="133"/>
      <c r="G785" s="3"/>
      <c r="H785" s="31"/>
      <c r="I785" s="31"/>
      <c r="J785" s="3"/>
      <c r="K785" s="3"/>
      <c r="L785" s="3"/>
      <c r="M785" s="3"/>
      <c r="N785" s="3"/>
      <c r="O785" s="3"/>
      <c r="P785" s="3"/>
      <c r="Q785" s="3"/>
      <c r="R785" s="32"/>
      <c r="S785" s="32"/>
      <c r="T785" s="3"/>
      <c r="U785" s="33"/>
      <c r="V785" s="33"/>
      <c r="W785" s="3"/>
      <c r="X785" s="3"/>
      <c r="Y785" s="3"/>
      <c r="Z785" s="3"/>
      <c r="AA785" s="3"/>
      <c r="AB785" s="3"/>
      <c r="AC785" s="3"/>
      <c r="AD785" s="32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4"/>
      <c r="AT785" s="3"/>
      <c r="AU785" s="3"/>
      <c r="AV785" s="3"/>
      <c r="AW785" s="3"/>
      <c r="AX785" s="4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84"/>
      <c r="BZ785" s="84"/>
      <c r="CA785" s="84"/>
      <c r="CB785" s="84"/>
      <c r="CC785" s="84"/>
      <c r="CD785" s="84"/>
      <c r="CE785" s="84"/>
      <c r="CF785" s="84"/>
      <c r="CG785" s="84"/>
      <c r="CH785" s="84"/>
      <c r="CI785" s="84"/>
      <c r="CJ785" s="84"/>
      <c r="CK785" s="84"/>
      <c r="CL785" s="84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220"/>
      <c r="CY785" s="220"/>
      <c r="CZ785" s="220"/>
      <c r="DA785" s="220"/>
      <c r="DB785" s="237"/>
      <c r="DC785" s="238"/>
      <c r="DD785" s="238"/>
      <c r="DE785" s="238"/>
      <c r="DF785" s="238"/>
      <c r="DG785" s="238"/>
      <c r="DH785" s="238"/>
      <c r="DI785" s="238"/>
      <c r="DJ785" s="238"/>
      <c r="DK785" s="238"/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38"/>
      <c r="DW785" s="238"/>
      <c r="DX785" s="238"/>
      <c r="DY785" s="238"/>
      <c r="DZ785" s="238"/>
      <c r="EA785" s="238"/>
      <c r="EB785" s="238"/>
      <c r="EC785" s="238"/>
      <c r="ED785" s="3"/>
      <c r="EE785" s="3"/>
      <c r="EF785" s="3"/>
      <c r="EG785" s="3"/>
      <c r="EH785" s="3"/>
    </row>
    <row r="786" spans="1:138" s="82" customFormat="1" x14ac:dyDescent="0.2">
      <c r="A786" s="3"/>
      <c r="B786" s="167"/>
      <c r="C786" s="3"/>
      <c r="D786" s="3"/>
      <c r="E786" s="31"/>
      <c r="F786" s="133"/>
      <c r="G786" s="3"/>
      <c r="H786" s="31"/>
      <c r="I786" s="31"/>
      <c r="J786" s="3"/>
      <c r="K786" s="3"/>
      <c r="L786" s="3"/>
      <c r="M786" s="3"/>
      <c r="N786" s="3"/>
      <c r="O786" s="3"/>
      <c r="P786" s="3"/>
      <c r="Q786" s="3"/>
      <c r="R786" s="32"/>
      <c r="S786" s="32"/>
      <c r="T786" s="3"/>
      <c r="U786" s="33"/>
      <c r="V786" s="33"/>
      <c r="W786" s="3"/>
      <c r="X786" s="3"/>
      <c r="Y786" s="3"/>
      <c r="Z786" s="3"/>
      <c r="AA786" s="3"/>
      <c r="AB786" s="3"/>
      <c r="AC786" s="3"/>
      <c r="AD786" s="32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4"/>
      <c r="AT786" s="3"/>
      <c r="AU786" s="3"/>
      <c r="AV786" s="3"/>
      <c r="AW786" s="3"/>
      <c r="AX786" s="4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84"/>
      <c r="BZ786" s="84"/>
      <c r="CA786" s="84"/>
      <c r="CB786" s="84"/>
      <c r="CC786" s="84"/>
      <c r="CD786" s="84"/>
      <c r="CE786" s="84"/>
      <c r="CF786" s="84"/>
      <c r="CG786" s="84"/>
      <c r="CH786" s="84"/>
      <c r="CI786" s="84"/>
      <c r="CJ786" s="84"/>
      <c r="CK786" s="84"/>
      <c r="CL786" s="84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220"/>
      <c r="CY786" s="220"/>
      <c r="CZ786" s="220"/>
      <c r="DA786" s="220"/>
      <c r="DB786" s="237"/>
      <c r="DC786" s="238"/>
      <c r="DD786" s="238"/>
      <c r="DE786" s="238"/>
      <c r="DF786" s="238"/>
      <c r="DG786" s="238"/>
      <c r="DH786" s="238"/>
      <c r="DI786" s="238"/>
      <c r="DJ786" s="238"/>
      <c r="DK786" s="238"/>
      <c r="DL786" s="238"/>
      <c r="DM786" s="238"/>
      <c r="DN786" s="238"/>
      <c r="DO786" s="238"/>
      <c r="DP786" s="238"/>
      <c r="DQ786" s="238"/>
      <c r="DR786" s="238"/>
      <c r="DS786" s="238"/>
      <c r="DT786" s="238"/>
      <c r="DU786" s="238"/>
      <c r="DV786" s="238"/>
      <c r="DW786" s="238"/>
      <c r="DX786" s="238"/>
      <c r="DY786" s="238"/>
      <c r="DZ786" s="238"/>
      <c r="EA786" s="238"/>
      <c r="EB786" s="238"/>
      <c r="EC786" s="238"/>
      <c r="ED786" s="3"/>
      <c r="EE786" s="3"/>
      <c r="EF786" s="3"/>
      <c r="EG786" s="3"/>
      <c r="EH786" s="3"/>
    </row>
    <row r="787" spans="1:138" s="82" customFormat="1" x14ac:dyDescent="0.2">
      <c r="A787" s="3"/>
      <c r="B787" s="167"/>
      <c r="C787" s="3"/>
      <c r="D787" s="3"/>
      <c r="E787" s="31"/>
      <c r="F787" s="133"/>
      <c r="G787" s="3"/>
      <c r="H787" s="31"/>
      <c r="I787" s="31"/>
      <c r="J787" s="3"/>
      <c r="K787" s="3"/>
      <c r="L787" s="3"/>
      <c r="M787" s="3"/>
      <c r="N787" s="3"/>
      <c r="O787" s="3"/>
      <c r="P787" s="3"/>
      <c r="Q787" s="3"/>
      <c r="R787" s="32"/>
      <c r="S787" s="32"/>
      <c r="T787" s="3"/>
      <c r="U787" s="33"/>
      <c r="V787" s="33"/>
      <c r="W787" s="3"/>
      <c r="X787" s="3"/>
      <c r="Y787" s="3"/>
      <c r="Z787" s="3"/>
      <c r="AA787" s="3"/>
      <c r="AB787" s="3"/>
      <c r="AC787" s="3"/>
      <c r="AD787" s="32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4"/>
      <c r="AT787" s="3"/>
      <c r="AU787" s="3"/>
      <c r="AV787" s="3"/>
      <c r="AW787" s="3"/>
      <c r="AX787" s="4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84"/>
      <c r="BZ787" s="84"/>
      <c r="CA787" s="84"/>
      <c r="CB787" s="84"/>
      <c r="CC787" s="84"/>
      <c r="CD787" s="84"/>
      <c r="CE787" s="84"/>
      <c r="CF787" s="84"/>
      <c r="CG787" s="84"/>
      <c r="CH787" s="84"/>
      <c r="CI787" s="84"/>
      <c r="CJ787" s="84"/>
      <c r="CK787" s="84"/>
      <c r="CL787" s="84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220"/>
      <c r="CY787" s="220"/>
      <c r="CZ787" s="220"/>
      <c r="DA787" s="220"/>
      <c r="DB787" s="237"/>
      <c r="DC787" s="238"/>
      <c r="DD787" s="238"/>
      <c r="DE787" s="238"/>
      <c r="DF787" s="238"/>
      <c r="DG787" s="238"/>
      <c r="DH787" s="238"/>
      <c r="DI787" s="238"/>
      <c r="DJ787" s="238"/>
      <c r="DK787" s="238"/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38"/>
      <c r="DW787" s="238"/>
      <c r="DX787" s="238"/>
      <c r="DY787" s="238"/>
      <c r="DZ787" s="238"/>
      <c r="EA787" s="238"/>
      <c r="EB787" s="238"/>
      <c r="EC787" s="238"/>
      <c r="ED787" s="3"/>
      <c r="EE787" s="3"/>
      <c r="EF787" s="3"/>
      <c r="EG787" s="3"/>
      <c r="EH787" s="3"/>
    </row>
    <row r="788" spans="1:138" s="82" customFormat="1" x14ac:dyDescent="0.2">
      <c r="A788" s="3"/>
      <c r="B788" s="167"/>
      <c r="C788" s="3"/>
      <c r="D788" s="3"/>
      <c r="E788" s="31"/>
      <c r="F788" s="133"/>
      <c r="G788" s="3"/>
      <c r="H788" s="31"/>
      <c r="I788" s="31"/>
      <c r="J788" s="3"/>
      <c r="K788" s="3"/>
      <c r="L788" s="3"/>
      <c r="M788" s="3"/>
      <c r="N788" s="3"/>
      <c r="O788" s="3"/>
      <c r="P788" s="3"/>
      <c r="Q788" s="3"/>
      <c r="R788" s="32"/>
      <c r="S788" s="32"/>
      <c r="T788" s="3"/>
      <c r="U788" s="33"/>
      <c r="V788" s="33"/>
      <c r="W788" s="3"/>
      <c r="X788" s="3"/>
      <c r="Y788" s="3"/>
      <c r="Z788" s="3"/>
      <c r="AA788" s="3"/>
      <c r="AB788" s="3"/>
      <c r="AC788" s="3"/>
      <c r="AD788" s="32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4"/>
      <c r="AT788" s="3"/>
      <c r="AU788" s="3"/>
      <c r="AV788" s="3"/>
      <c r="AW788" s="3"/>
      <c r="AX788" s="4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84"/>
      <c r="BZ788" s="84"/>
      <c r="CA788" s="84"/>
      <c r="CB788" s="84"/>
      <c r="CC788" s="84"/>
      <c r="CD788" s="84"/>
      <c r="CE788" s="84"/>
      <c r="CF788" s="84"/>
      <c r="CG788" s="84"/>
      <c r="CH788" s="84"/>
      <c r="CI788" s="84"/>
      <c r="CJ788" s="84"/>
      <c r="CK788" s="84"/>
      <c r="CL788" s="84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220"/>
      <c r="CY788" s="220"/>
      <c r="CZ788" s="220"/>
      <c r="DA788" s="220"/>
      <c r="DB788" s="237"/>
      <c r="DC788" s="238"/>
      <c r="DD788" s="238"/>
      <c r="DE788" s="238"/>
      <c r="DF788" s="238"/>
      <c r="DG788" s="238"/>
      <c r="DH788" s="238"/>
      <c r="DI788" s="238"/>
      <c r="DJ788" s="238"/>
      <c r="DK788" s="238"/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38"/>
      <c r="DW788" s="238"/>
      <c r="DX788" s="238"/>
      <c r="DY788" s="238"/>
      <c r="DZ788" s="238"/>
      <c r="EA788" s="238"/>
      <c r="EB788" s="238"/>
      <c r="EC788" s="238"/>
      <c r="ED788" s="3"/>
      <c r="EE788" s="3"/>
      <c r="EF788" s="3"/>
      <c r="EG788" s="3"/>
      <c r="EH788" s="3"/>
    </row>
    <row r="789" spans="1:138" s="82" customFormat="1" x14ac:dyDescent="0.2">
      <c r="A789" s="3"/>
      <c r="B789" s="167"/>
      <c r="C789" s="3"/>
      <c r="D789" s="3"/>
      <c r="E789" s="31"/>
      <c r="F789" s="133"/>
      <c r="G789" s="3"/>
      <c r="H789" s="31"/>
      <c r="I789" s="31"/>
      <c r="J789" s="3"/>
      <c r="K789" s="3"/>
      <c r="L789" s="3"/>
      <c r="M789" s="3"/>
      <c r="N789" s="3"/>
      <c r="O789" s="3"/>
      <c r="P789" s="3"/>
      <c r="Q789" s="3"/>
      <c r="R789" s="32"/>
      <c r="S789" s="32"/>
      <c r="T789" s="3"/>
      <c r="U789" s="33"/>
      <c r="V789" s="33"/>
      <c r="W789" s="3"/>
      <c r="X789" s="3"/>
      <c r="Y789" s="3"/>
      <c r="Z789" s="3"/>
      <c r="AA789" s="3"/>
      <c r="AB789" s="3"/>
      <c r="AC789" s="3"/>
      <c r="AD789" s="32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4"/>
      <c r="AT789" s="3"/>
      <c r="AU789" s="3"/>
      <c r="AV789" s="3"/>
      <c r="AW789" s="3"/>
      <c r="AX789" s="4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84"/>
      <c r="BZ789" s="84"/>
      <c r="CA789" s="84"/>
      <c r="CB789" s="84"/>
      <c r="CC789" s="84"/>
      <c r="CD789" s="84"/>
      <c r="CE789" s="84"/>
      <c r="CF789" s="84"/>
      <c r="CG789" s="84"/>
      <c r="CH789" s="84"/>
      <c r="CI789" s="84"/>
      <c r="CJ789" s="84"/>
      <c r="CK789" s="84"/>
      <c r="CL789" s="84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220"/>
      <c r="CY789" s="220"/>
      <c r="CZ789" s="220"/>
      <c r="DA789" s="220"/>
      <c r="DB789" s="237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38"/>
      <c r="DW789" s="238"/>
      <c r="DX789" s="238"/>
      <c r="DY789" s="238"/>
      <c r="DZ789" s="238"/>
      <c r="EA789" s="238"/>
      <c r="EB789" s="238"/>
      <c r="EC789" s="238"/>
      <c r="ED789" s="3"/>
      <c r="EE789" s="3"/>
      <c r="EF789" s="3"/>
      <c r="EG789" s="3"/>
      <c r="EH789" s="3"/>
    </row>
    <row r="790" spans="1:138" s="82" customFormat="1" x14ac:dyDescent="0.2">
      <c r="A790" s="3"/>
      <c r="B790" s="167"/>
      <c r="C790" s="3"/>
      <c r="D790" s="3"/>
      <c r="E790" s="31"/>
      <c r="F790" s="133"/>
      <c r="G790" s="3"/>
      <c r="H790" s="31"/>
      <c r="I790" s="31"/>
      <c r="J790" s="3"/>
      <c r="K790" s="3"/>
      <c r="L790" s="3"/>
      <c r="M790" s="3"/>
      <c r="N790" s="3"/>
      <c r="O790" s="3"/>
      <c r="P790" s="3"/>
      <c r="Q790" s="3"/>
      <c r="R790" s="32"/>
      <c r="S790" s="32"/>
      <c r="T790" s="3"/>
      <c r="U790" s="33"/>
      <c r="V790" s="33"/>
      <c r="W790" s="3"/>
      <c r="X790" s="3"/>
      <c r="Y790" s="3"/>
      <c r="Z790" s="3"/>
      <c r="AA790" s="3"/>
      <c r="AB790" s="3"/>
      <c r="AC790" s="3"/>
      <c r="AD790" s="32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4"/>
      <c r="AT790" s="3"/>
      <c r="AU790" s="3"/>
      <c r="AV790" s="3"/>
      <c r="AW790" s="3"/>
      <c r="AX790" s="4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84"/>
      <c r="BZ790" s="84"/>
      <c r="CA790" s="84"/>
      <c r="CB790" s="84"/>
      <c r="CC790" s="84"/>
      <c r="CD790" s="84"/>
      <c r="CE790" s="84"/>
      <c r="CF790" s="84"/>
      <c r="CG790" s="84"/>
      <c r="CH790" s="84"/>
      <c r="CI790" s="84"/>
      <c r="CJ790" s="84"/>
      <c r="CK790" s="84"/>
      <c r="CL790" s="84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220"/>
      <c r="CY790" s="220"/>
      <c r="CZ790" s="220"/>
      <c r="DA790" s="220"/>
      <c r="DB790" s="237"/>
      <c r="DC790" s="238"/>
      <c r="DD790" s="238"/>
      <c r="DE790" s="238"/>
      <c r="DF790" s="238"/>
      <c r="DG790" s="238"/>
      <c r="DH790" s="238"/>
      <c r="DI790" s="238"/>
      <c r="DJ790" s="238"/>
      <c r="DK790" s="238"/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38"/>
      <c r="DW790" s="238"/>
      <c r="DX790" s="238"/>
      <c r="DY790" s="238"/>
      <c r="DZ790" s="238"/>
      <c r="EA790" s="238"/>
      <c r="EB790" s="238"/>
      <c r="EC790" s="238"/>
      <c r="ED790" s="3"/>
      <c r="EE790" s="3"/>
      <c r="EF790" s="3"/>
      <c r="EG790" s="3"/>
      <c r="EH790" s="3"/>
    </row>
    <row r="791" spans="1:138" s="82" customFormat="1" x14ac:dyDescent="0.2">
      <c r="A791" s="3"/>
      <c r="B791" s="167"/>
      <c r="C791" s="3"/>
      <c r="D791" s="3"/>
      <c r="E791" s="31"/>
      <c r="F791" s="133"/>
      <c r="G791" s="3"/>
      <c r="H791" s="4"/>
      <c r="I791" s="31"/>
      <c r="J791" s="3"/>
      <c r="K791" s="3"/>
      <c r="L791" s="3"/>
      <c r="M791" s="3"/>
      <c r="N791" s="3"/>
      <c r="O791" s="3"/>
      <c r="P791" s="3"/>
      <c r="Q791" s="3"/>
      <c r="R791" s="32"/>
      <c r="S791" s="32"/>
      <c r="T791" s="3"/>
      <c r="U791" s="33"/>
      <c r="V791" s="33"/>
      <c r="W791" s="3"/>
      <c r="X791" s="3"/>
      <c r="Y791" s="3"/>
      <c r="Z791" s="3"/>
      <c r="AA791" s="3"/>
      <c r="AB791" s="3"/>
      <c r="AC791" s="3"/>
      <c r="AD791" s="32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4"/>
      <c r="AT791" s="3"/>
      <c r="AU791" s="3"/>
      <c r="AV791" s="3"/>
      <c r="AW791" s="3"/>
      <c r="AX791" s="4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84"/>
      <c r="BZ791" s="84"/>
      <c r="CA791" s="84"/>
      <c r="CB791" s="84"/>
      <c r="CC791" s="84"/>
      <c r="CD791" s="84"/>
      <c r="CE791" s="84"/>
      <c r="CF791" s="84"/>
      <c r="CG791" s="84"/>
      <c r="CH791" s="84"/>
      <c r="CI791" s="84"/>
      <c r="CJ791" s="84"/>
      <c r="CK791" s="84"/>
      <c r="CL791" s="84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220"/>
      <c r="CY791" s="220"/>
      <c r="CZ791" s="220"/>
      <c r="DA791" s="220"/>
      <c r="DB791" s="237"/>
      <c r="DC791" s="238"/>
      <c r="DD791" s="238"/>
      <c r="DE791" s="238"/>
      <c r="DF791" s="238"/>
      <c r="DG791" s="238"/>
      <c r="DH791" s="238"/>
      <c r="DI791" s="238"/>
      <c r="DJ791" s="238"/>
      <c r="DK791" s="238"/>
      <c r="DL791" s="238"/>
      <c r="DM791" s="238"/>
      <c r="DN791" s="238"/>
      <c r="DO791" s="238"/>
      <c r="DP791" s="238"/>
      <c r="DQ791" s="238"/>
      <c r="DR791" s="238"/>
      <c r="DS791" s="238"/>
      <c r="DT791" s="238"/>
      <c r="DU791" s="238"/>
      <c r="DV791" s="238"/>
      <c r="DW791" s="238"/>
      <c r="DX791" s="238"/>
      <c r="DY791" s="238"/>
      <c r="DZ791" s="238"/>
      <c r="EA791" s="238"/>
      <c r="EB791" s="238"/>
      <c r="EC791" s="238"/>
      <c r="ED791" s="3"/>
      <c r="EE791" s="3"/>
      <c r="EF791" s="3"/>
      <c r="EG791" s="3"/>
      <c r="EH791" s="3"/>
    </row>
    <row r="792" spans="1:138" s="82" customFormat="1" x14ac:dyDescent="0.2">
      <c r="A792" s="3"/>
      <c r="B792" s="167"/>
      <c r="C792" s="3"/>
      <c r="D792" s="3"/>
      <c r="E792" s="31"/>
      <c r="F792" s="133"/>
      <c r="G792" s="3"/>
      <c r="H792" s="4"/>
      <c r="I792" s="31"/>
      <c r="J792" s="3"/>
      <c r="K792" s="3"/>
      <c r="L792" s="3"/>
      <c r="M792" s="3"/>
      <c r="N792" s="3"/>
      <c r="O792" s="3"/>
      <c r="P792" s="3"/>
      <c r="Q792" s="3"/>
      <c r="R792" s="32"/>
      <c r="S792" s="32"/>
      <c r="T792" s="3"/>
      <c r="U792" s="33"/>
      <c r="V792" s="33"/>
      <c r="W792" s="3"/>
      <c r="X792" s="3"/>
      <c r="Y792" s="3"/>
      <c r="Z792" s="3"/>
      <c r="AA792" s="3"/>
      <c r="AB792" s="3"/>
      <c r="AC792" s="3"/>
      <c r="AD792" s="32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4"/>
      <c r="AT792" s="3"/>
      <c r="AU792" s="3"/>
      <c r="AV792" s="3"/>
      <c r="AW792" s="3"/>
      <c r="AX792" s="4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84"/>
      <c r="BZ792" s="84"/>
      <c r="CA792" s="84"/>
      <c r="CB792" s="84"/>
      <c r="CC792" s="84"/>
      <c r="CD792" s="84"/>
      <c r="CE792" s="84"/>
      <c r="CF792" s="84"/>
      <c r="CG792" s="84"/>
      <c r="CH792" s="84"/>
      <c r="CI792" s="84"/>
      <c r="CJ792" s="84"/>
      <c r="CK792" s="84"/>
      <c r="CL792" s="84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220"/>
      <c r="CY792" s="220"/>
      <c r="CZ792" s="220"/>
      <c r="DA792" s="220"/>
      <c r="DB792" s="237"/>
      <c r="DC792" s="238"/>
      <c r="DD792" s="238"/>
      <c r="DE792" s="238"/>
      <c r="DF792" s="238"/>
      <c r="DG792" s="238"/>
      <c r="DH792" s="238"/>
      <c r="DI792" s="238"/>
      <c r="DJ792" s="238"/>
      <c r="DK792" s="238"/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38"/>
      <c r="DW792" s="238"/>
      <c r="DX792" s="238"/>
      <c r="DY792" s="238"/>
      <c r="DZ792" s="238"/>
      <c r="EA792" s="238"/>
      <c r="EB792" s="238"/>
      <c r="EC792" s="238"/>
      <c r="ED792" s="3"/>
      <c r="EE792" s="3"/>
      <c r="EF792" s="3"/>
      <c r="EG792" s="3"/>
      <c r="EH792" s="3"/>
    </row>
    <row r="793" spans="1:138" s="82" customFormat="1" x14ac:dyDescent="0.2">
      <c r="A793" s="3"/>
      <c r="B793" s="167"/>
      <c r="C793" s="3"/>
      <c r="D793" s="3"/>
      <c r="E793" s="31"/>
      <c r="F793" s="133"/>
      <c r="G793" s="3"/>
      <c r="H793" s="31"/>
      <c r="I793" s="31"/>
      <c r="J793" s="3"/>
      <c r="K793" s="3"/>
      <c r="L793" s="3"/>
      <c r="M793" s="3"/>
      <c r="N793" s="3"/>
      <c r="O793" s="3"/>
      <c r="P793" s="3"/>
      <c r="Q793" s="3"/>
      <c r="R793" s="32"/>
      <c r="S793" s="32"/>
      <c r="T793" s="3"/>
      <c r="U793" s="33"/>
      <c r="V793" s="33"/>
      <c r="W793" s="3"/>
      <c r="X793" s="3"/>
      <c r="Y793" s="3"/>
      <c r="Z793" s="3"/>
      <c r="AA793" s="3"/>
      <c r="AB793" s="3"/>
      <c r="AC793" s="3"/>
      <c r="AD793" s="32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4"/>
      <c r="AT793" s="3"/>
      <c r="AU793" s="3"/>
      <c r="AV793" s="3"/>
      <c r="AW793" s="3"/>
      <c r="AX793" s="4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84"/>
      <c r="BZ793" s="84"/>
      <c r="CA793" s="84"/>
      <c r="CB793" s="84"/>
      <c r="CC793" s="84"/>
      <c r="CD793" s="84"/>
      <c r="CE793" s="84"/>
      <c r="CF793" s="84"/>
      <c r="CG793" s="84"/>
      <c r="CH793" s="84"/>
      <c r="CI793" s="84"/>
      <c r="CJ793" s="84"/>
      <c r="CK793" s="84"/>
      <c r="CL793" s="84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220"/>
      <c r="CY793" s="220"/>
      <c r="CZ793" s="220"/>
      <c r="DA793" s="220"/>
      <c r="DB793" s="237"/>
      <c r="DC793" s="238"/>
      <c r="DD793" s="238"/>
      <c r="DE793" s="238"/>
      <c r="DF793" s="238"/>
      <c r="DG793" s="238"/>
      <c r="DH793" s="238"/>
      <c r="DI793" s="238"/>
      <c r="DJ793" s="238"/>
      <c r="DK793" s="238"/>
      <c r="DL793" s="238"/>
      <c r="DM793" s="238"/>
      <c r="DN793" s="238"/>
      <c r="DO793" s="238"/>
      <c r="DP793" s="238"/>
      <c r="DQ793" s="238"/>
      <c r="DR793" s="238"/>
      <c r="DS793" s="238"/>
      <c r="DT793" s="238"/>
      <c r="DU793" s="238"/>
      <c r="DV793" s="238"/>
      <c r="DW793" s="238"/>
      <c r="DX793" s="238"/>
      <c r="DY793" s="238"/>
      <c r="DZ793" s="238"/>
      <c r="EA793" s="238"/>
      <c r="EB793" s="238"/>
      <c r="EC793" s="238"/>
      <c r="ED793" s="3"/>
      <c r="EE793" s="3"/>
      <c r="EF793" s="3"/>
      <c r="EG793" s="3"/>
      <c r="EH793" s="3"/>
    </row>
    <row r="794" spans="1:138" s="82" customFormat="1" x14ac:dyDescent="0.2">
      <c r="A794" s="3"/>
      <c r="B794" s="167"/>
      <c r="C794" s="3"/>
      <c r="D794" s="3"/>
      <c r="E794" s="31"/>
      <c r="F794" s="133"/>
      <c r="G794" s="3"/>
      <c r="H794" s="4"/>
      <c r="I794" s="31"/>
      <c r="J794" s="3"/>
      <c r="K794" s="3"/>
      <c r="L794" s="3"/>
      <c r="M794" s="3"/>
      <c r="N794" s="3"/>
      <c r="O794" s="3"/>
      <c r="P794" s="3"/>
      <c r="Q794" s="3"/>
      <c r="R794" s="32"/>
      <c r="S794" s="32"/>
      <c r="T794" s="3"/>
      <c r="U794" s="33"/>
      <c r="V794" s="33"/>
      <c r="W794" s="3"/>
      <c r="X794" s="3"/>
      <c r="Y794" s="3"/>
      <c r="Z794" s="3"/>
      <c r="AA794" s="3"/>
      <c r="AB794" s="3"/>
      <c r="AC794" s="3"/>
      <c r="AD794" s="32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4"/>
      <c r="AT794" s="3"/>
      <c r="AU794" s="3"/>
      <c r="AV794" s="3"/>
      <c r="AW794" s="3"/>
      <c r="AX794" s="4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84"/>
      <c r="BZ794" s="84"/>
      <c r="CA794" s="84"/>
      <c r="CB794" s="84"/>
      <c r="CC794" s="84"/>
      <c r="CD794" s="84"/>
      <c r="CE794" s="84"/>
      <c r="CF794" s="84"/>
      <c r="CG794" s="84"/>
      <c r="CH794" s="84"/>
      <c r="CI794" s="84"/>
      <c r="CJ794" s="84"/>
      <c r="CK794" s="84"/>
      <c r="CL794" s="84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220"/>
      <c r="CY794" s="220"/>
      <c r="CZ794" s="220"/>
      <c r="DA794" s="220"/>
      <c r="DB794" s="237"/>
      <c r="DC794" s="238"/>
      <c r="DD794" s="238"/>
      <c r="DE794" s="238"/>
      <c r="DF794" s="238"/>
      <c r="DG794" s="238"/>
      <c r="DH794" s="238"/>
      <c r="DI794" s="238"/>
      <c r="DJ794" s="238"/>
      <c r="DK794" s="238"/>
      <c r="DL794" s="238"/>
      <c r="DM794" s="238"/>
      <c r="DN794" s="238"/>
      <c r="DO794" s="238"/>
      <c r="DP794" s="238"/>
      <c r="DQ794" s="238"/>
      <c r="DR794" s="238"/>
      <c r="DS794" s="238"/>
      <c r="DT794" s="238"/>
      <c r="DU794" s="238"/>
      <c r="DV794" s="238"/>
      <c r="DW794" s="238"/>
      <c r="DX794" s="238"/>
      <c r="DY794" s="238"/>
      <c r="DZ794" s="238"/>
      <c r="EA794" s="238"/>
      <c r="EB794" s="238"/>
      <c r="EC794" s="238"/>
      <c r="ED794" s="3"/>
      <c r="EE794" s="3"/>
      <c r="EF794" s="3"/>
      <c r="EG794" s="3"/>
      <c r="EH794" s="3"/>
    </row>
    <row r="795" spans="1:138" s="82" customFormat="1" x14ac:dyDescent="0.2">
      <c r="A795" s="3"/>
      <c r="B795" s="167"/>
      <c r="C795" s="3"/>
      <c r="D795" s="3"/>
      <c r="E795" s="31"/>
      <c r="F795" s="133"/>
      <c r="G795" s="3"/>
      <c r="H795" s="31"/>
      <c r="I795" s="31"/>
      <c r="J795" s="3"/>
      <c r="K795" s="3"/>
      <c r="L795" s="3"/>
      <c r="M795" s="3"/>
      <c r="N795" s="3"/>
      <c r="O795" s="3"/>
      <c r="P795" s="3"/>
      <c r="Q795" s="3"/>
      <c r="R795" s="32"/>
      <c r="S795" s="32"/>
      <c r="T795" s="3"/>
      <c r="U795" s="33"/>
      <c r="V795" s="33"/>
      <c r="W795" s="3"/>
      <c r="X795" s="3"/>
      <c r="Y795" s="3"/>
      <c r="Z795" s="3"/>
      <c r="AA795" s="3"/>
      <c r="AB795" s="3"/>
      <c r="AC795" s="3"/>
      <c r="AD795" s="32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4"/>
      <c r="AT795" s="3"/>
      <c r="AU795" s="3"/>
      <c r="AV795" s="3"/>
      <c r="AW795" s="3"/>
      <c r="AX795" s="4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84"/>
      <c r="BZ795" s="84"/>
      <c r="CA795" s="84"/>
      <c r="CB795" s="84"/>
      <c r="CC795" s="84"/>
      <c r="CD795" s="84"/>
      <c r="CE795" s="84"/>
      <c r="CF795" s="84"/>
      <c r="CG795" s="84"/>
      <c r="CH795" s="84"/>
      <c r="CI795" s="84"/>
      <c r="CJ795" s="84"/>
      <c r="CK795" s="84"/>
      <c r="CL795" s="84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220"/>
      <c r="CY795" s="220"/>
      <c r="CZ795" s="220"/>
      <c r="DA795" s="220"/>
      <c r="DB795" s="237"/>
      <c r="DC795" s="238"/>
      <c r="DD795" s="238"/>
      <c r="DE795" s="238"/>
      <c r="DF795" s="238"/>
      <c r="DG795" s="238"/>
      <c r="DH795" s="238"/>
      <c r="DI795" s="238"/>
      <c r="DJ795" s="238"/>
      <c r="DK795" s="238"/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38"/>
      <c r="DW795" s="238"/>
      <c r="DX795" s="238"/>
      <c r="DY795" s="238"/>
      <c r="DZ795" s="238"/>
      <c r="EA795" s="238"/>
      <c r="EB795" s="238"/>
      <c r="EC795" s="238"/>
      <c r="ED795" s="3"/>
      <c r="EE795" s="3"/>
      <c r="EF795" s="3"/>
      <c r="EG795" s="3"/>
      <c r="EH795" s="3"/>
    </row>
    <row r="796" spans="1:138" s="82" customFormat="1" x14ac:dyDescent="0.2">
      <c r="A796" s="3"/>
      <c r="B796" s="167"/>
      <c r="C796" s="3"/>
      <c r="D796" s="3"/>
      <c r="E796" s="31"/>
      <c r="F796" s="133"/>
      <c r="G796" s="3"/>
      <c r="H796" s="4"/>
      <c r="I796" s="31"/>
      <c r="J796" s="3"/>
      <c r="K796" s="3"/>
      <c r="L796" s="3"/>
      <c r="M796" s="3"/>
      <c r="N796" s="3"/>
      <c r="O796" s="3"/>
      <c r="P796" s="3"/>
      <c r="Q796" s="3"/>
      <c r="R796" s="32"/>
      <c r="S796" s="32"/>
      <c r="T796" s="3"/>
      <c r="U796" s="33"/>
      <c r="V796" s="33"/>
      <c r="W796" s="3"/>
      <c r="X796" s="3"/>
      <c r="Y796" s="3"/>
      <c r="Z796" s="3"/>
      <c r="AA796" s="3"/>
      <c r="AB796" s="3"/>
      <c r="AC796" s="3"/>
      <c r="AD796" s="32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4"/>
      <c r="AT796" s="3"/>
      <c r="AU796" s="3"/>
      <c r="AV796" s="3"/>
      <c r="AW796" s="3"/>
      <c r="AX796" s="4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84"/>
      <c r="BZ796" s="84"/>
      <c r="CA796" s="84"/>
      <c r="CB796" s="84"/>
      <c r="CC796" s="84"/>
      <c r="CD796" s="84"/>
      <c r="CE796" s="84"/>
      <c r="CF796" s="84"/>
      <c r="CG796" s="84"/>
      <c r="CH796" s="84"/>
      <c r="CI796" s="84"/>
      <c r="CJ796" s="84"/>
      <c r="CK796" s="84"/>
      <c r="CL796" s="84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220"/>
      <c r="CY796" s="220"/>
      <c r="CZ796" s="220"/>
      <c r="DA796" s="220"/>
      <c r="DB796" s="237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238"/>
      <c r="EC796" s="238"/>
      <c r="ED796" s="3"/>
      <c r="EE796" s="3"/>
      <c r="EF796" s="3"/>
      <c r="EG796" s="3"/>
      <c r="EH796" s="3"/>
    </row>
    <row r="797" spans="1:138" s="82" customFormat="1" x14ac:dyDescent="0.2">
      <c r="A797" s="3"/>
      <c r="B797" s="167"/>
      <c r="C797" s="3"/>
      <c r="D797" s="3"/>
      <c r="E797" s="31"/>
      <c r="F797" s="133"/>
      <c r="G797" s="3"/>
      <c r="H797" s="4"/>
      <c r="I797" s="31"/>
      <c r="J797" s="3"/>
      <c r="K797" s="3"/>
      <c r="L797" s="3"/>
      <c r="M797" s="3"/>
      <c r="N797" s="3"/>
      <c r="O797" s="3"/>
      <c r="P797" s="3"/>
      <c r="Q797" s="3"/>
      <c r="R797" s="32"/>
      <c r="S797" s="32"/>
      <c r="T797" s="3"/>
      <c r="U797" s="33"/>
      <c r="V797" s="33"/>
      <c r="W797" s="3"/>
      <c r="X797" s="3"/>
      <c r="Y797" s="3"/>
      <c r="Z797" s="3"/>
      <c r="AA797" s="3"/>
      <c r="AB797" s="3"/>
      <c r="AC797" s="3"/>
      <c r="AD797" s="32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4"/>
      <c r="AT797" s="3"/>
      <c r="AU797" s="3"/>
      <c r="AV797" s="3"/>
      <c r="AW797" s="3"/>
      <c r="AX797" s="4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84"/>
      <c r="BZ797" s="84"/>
      <c r="CA797" s="84"/>
      <c r="CB797" s="84"/>
      <c r="CC797" s="84"/>
      <c r="CD797" s="84"/>
      <c r="CE797" s="84"/>
      <c r="CF797" s="84"/>
      <c r="CG797" s="84"/>
      <c r="CH797" s="84"/>
      <c r="CI797" s="84"/>
      <c r="CJ797" s="84"/>
      <c r="CK797" s="84"/>
      <c r="CL797" s="84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220"/>
      <c r="CY797" s="220"/>
      <c r="CZ797" s="220"/>
      <c r="DA797" s="220"/>
      <c r="DB797" s="237"/>
      <c r="DC797" s="238"/>
      <c r="DD797" s="238"/>
      <c r="DE797" s="238"/>
      <c r="DF797" s="238"/>
      <c r="DG797" s="238"/>
      <c r="DH797" s="238"/>
      <c r="DI797" s="238"/>
      <c r="DJ797" s="238"/>
      <c r="DK797" s="238"/>
      <c r="DL797" s="238"/>
      <c r="DM797" s="238"/>
      <c r="DN797" s="238"/>
      <c r="DO797" s="238"/>
      <c r="DP797" s="238"/>
      <c r="DQ797" s="238"/>
      <c r="DR797" s="238"/>
      <c r="DS797" s="238"/>
      <c r="DT797" s="238"/>
      <c r="DU797" s="238"/>
      <c r="DV797" s="238"/>
      <c r="DW797" s="238"/>
      <c r="DX797" s="238"/>
      <c r="DY797" s="238"/>
      <c r="DZ797" s="238"/>
      <c r="EA797" s="238"/>
      <c r="EB797" s="238"/>
      <c r="EC797" s="238"/>
      <c r="ED797" s="3"/>
      <c r="EE797" s="3"/>
      <c r="EF797" s="3"/>
      <c r="EG797" s="3"/>
      <c r="EH797" s="3"/>
    </row>
    <row r="798" spans="1:138" s="82" customFormat="1" x14ac:dyDescent="0.2">
      <c r="A798" s="3"/>
      <c r="B798" s="167"/>
      <c r="C798" s="3"/>
      <c r="D798" s="3"/>
      <c r="E798" s="31"/>
      <c r="F798" s="133"/>
      <c r="G798" s="3"/>
      <c r="H798" s="4"/>
      <c r="I798" s="31"/>
      <c r="J798" s="3"/>
      <c r="K798" s="3"/>
      <c r="L798" s="3"/>
      <c r="M798" s="3"/>
      <c r="N798" s="3"/>
      <c r="O798" s="3"/>
      <c r="P798" s="3"/>
      <c r="Q798" s="3"/>
      <c r="R798" s="32"/>
      <c r="S798" s="32"/>
      <c r="T798" s="3"/>
      <c r="U798" s="33"/>
      <c r="V798" s="33"/>
      <c r="W798" s="3"/>
      <c r="X798" s="3"/>
      <c r="Y798" s="3"/>
      <c r="Z798" s="3"/>
      <c r="AA798" s="3"/>
      <c r="AB798" s="3"/>
      <c r="AC798" s="3"/>
      <c r="AD798" s="32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4"/>
      <c r="AT798" s="3"/>
      <c r="AU798" s="3"/>
      <c r="AV798" s="3"/>
      <c r="AW798" s="3"/>
      <c r="AX798" s="4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84"/>
      <c r="BZ798" s="84"/>
      <c r="CA798" s="84"/>
      <c r="CB798" s="84"/>
      <c r="CC798" s="84"/>
      <c r="CD798" s="84"/>
      <c r="CE798" s="84"/>
      <c r="CF798" s="84"/>
      <c r="CG798" s="84"/>
      <c r="CH798" s="84"/>
      <c r="CI798" s="84"/>
      <c r="CJ798" s="84"/>
      <c r="CK798" s="84"/>
      <c r="CL798" s="84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220"/>
      <c r="CY798" s="220"/>
      <c r="CZ798" s="220"/>
      <c r="DA798" s="220"/>
      <c r="DB798" s="237"/>
      <c r="DC798" s="238"/>
      <c r="DD798" s="238"/>
      <c r="DE798" s="238"/>
      <c r="DF798" s="238"/>
      <c r="DG798" s="238"/>
      <c r="DH798" s="238"/>
      <c r="DI798" s="238"/>
      <c r="DJ798" s="238"/>
      <c r="DK798" s="238"/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38"/>
      <c r="DW798" s="238"/>
      <c r="DX798" s="238"/>
      <c r="DY798" s="238"/>
      <c r="DZ798" s="238"/>
      <c r="EA798" s="238"/>
      <c r="EB798" s="238"/>
      <c r="EC798" s="238"/>
      <c r="ED798" s="3"/>
      <c r="EE798" s="3"/>
      <c r="EF798" s="3"/>
      <c r="EG798" s="3"/>
      <c r="EH798" s="3"/>
    </row>
    <row r="799" spans="1:138" s="82" customFormat="1" x14ac:dyDescent="0.2">
      <c r="A799" s="3"/>
      <c r="B799" s="167"/>
      <c r="C799" s="3"/>
      <c r="D799" s="3"/>
      <c r="E799" s="31"/>
      <c r="F799" s="133"/>
      <c r="G799" s="3"/>
      <c r="H799" s="4"/>
      <c r="I799" s="31"/>
      <c r="J799" s="3"/>
      <c r="K799" s="3"/>
      <c r="L799" s="3"/>
      <c r="M799" s="3"/>
      <c r="N799" s="3"/>
      <c r="O799" s="3"/>
      <c r="P799" s="3"/>
      <c r="Q799" s="3"/>
      <c r="R799" s="32"/>
      <c r="S799" s="32"/>
      <c r="T799" s="3"/>
      <c r="U799" s="33"/>
      <c r="V799" s="33"/>
      <c r="W799" s="3"/>
      <c r="X799" s="3"/>
      <c r="Y799" s="3"/>
      <c r="Z799" s="3"/>
      <c r="AA799" s="3"/>
      <c r="AB799" s="3"/>
      <c r="AC799" s="3"/>
      <c r="AD799" s="32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4"/>
      <c r="AT799" s="3"/>
      <c r="AU799" s="3"/>
      <c r="AV799" s="3"/>
      <c r="AW799" s="3"/>
      <c r="AX799" s="4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84"/>
      <c r="BZ799" s="84"/>
      <c r="CA799" s="84"/>
      <c r="CB799" s="84"/>
      <c r="CC799" s="84"/>
      <c r="CD799" s="84"/>
      <c r="CE799" s="84"/>
      <c r="CF799" s="84"/>
      <c r="CG799" s="84"/>
      <c r="CH799" s="84"/>
      <c r="CI799" s="84"/>
      <c r="CJ799" s="84"/>
      <c r="CK799" s="84"/>
      <c r="CL799" s="84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220"/>
      <c r="CY799" s="220"/>
      <c r="CZ799" s="220"/>
      <c r="DA799" s="220"/>
      <c r="DB799" s="237"/>
      <c r="DC799" s="238"/>
      <c r="DD799" s="238"/>
      <c r="DE799" s="238"/>
      <c r="DF799" s="238"/>
      <c r="DG799" s="238"/>
      <c r="DH799" s="238"/>
      <c r="DI799" s="238"/>
      <c r="DJ799" s="238"/>
      <c r="DK799" s="238"/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38"/>
      <c r="DW799" s="238"/>
      <c r="DX799" s="238"/>
      <c r="DY799" s="238"/>
      <c r="DZ799" s="238"/>
      <c r="EA799" s="238"/>
      <c r="EB799" s="238"/>
      <c r="EC799" s="238"/>
      <c r="ED799" s="3"/>
      <c r="EE799" s="3"/>
      <c r="EF799" s="3"/>
      <c r="EG799" s="3"/>
      <c r="EH799" s="3"/>
    </row>
    <row r="800" spans="1:138" s="82" customFormat="1" x14ac:dyDescent="0.2">
      <c r="A800" s="3"/>
      <c r="B800" s="167"/>
      <c r="C800" s="3"/>
      <c r="D800" s="3"/>
      <c r="E800" s="31"/>
      <c r="F800" s="133"/>
      <c r="G800" s="3"/>
      <c r="H800" s="4"/>
      <c r="I800" s="31"/>
      <c r="J800" s="3"/>
      <c r="K800" s="3"/>
      <c r="L800" s="3"/>
      <c r="M800" s="3"/>
      <c r="N800" s="3"/>
      <c r="O800" s="3"/>
      <c r="P800" s="3"/>
      <c r="Q800" s="3"/>
      <c r="R800" s="32"/>
      <c r="S800" s="32"/>
      <c r="T800" s="3"/>
      <c r="U800" s="33"/>
      <c r="V800" s="33"/>
      <c r="W800" s="3"/>
      <c r="X800" s="3"/>
      <c r="Y800" s="3"/>
      <c r="Z800" s="3"/>
      <c r="AA800" s="3"/>
      <c r="AB800" s="3"/>
      <c r="AC800" s="3"/>
      <c r="AD800" s="32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4"/>
      <c r="AT800" s="3"/>
      <c r="AU800" s="3"/>
      <c r="AV800" s="3"/>
      <c r="AW800" s="3"/>
      <c r="AX800" s="4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84"/>
      <c r="BZ800" s="84"/>
      <c r="CA800" s="84"/>
      <c r="CB800" s="84"/>
      <c r="CC800" s="84"/>
      <c r="CD800" s="84"/>
      <c r="CE800" s="84"/>
      <c r="CF800" s="84"/>
      <c r="CG800" s="84"/>
      <c r="CH800" s="84"/>
      <c r="CI800" s="84"/>
      <c r="CJ800" s="84"/>
      <c r="CK800" s="84"/>
      <c r="CL800" s="84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220"/>
      <c r="CY800" s="220"/>
      <c r="CZ800" s="220"/>
      <c r="DA800" s="220"/>
      <c r="DB800" s="237"/>
      <c r="DC800" s="238"/>
      <c r="DD800" s="238"/>
      <c r="DE800" s="238"/>
      <c r="DF800" s="238"/>
      <c r="DG800" s="238"/>
      <c r="DH800" s="238"/>
      <c r="DI800" s="238"/>
      <c r="DJ800" s="238"/>
      <c r="DK800" s="238"/>
      <c r="DL800" s="238"/>
      <c r="DM800" s="238"/>
      <c r="DN800" s="238"/>
      <c r="DO800" s="238"/>
      <c r="DP800" s="238"/>
      <c r="DQ800" s="238"/>
      <c r="DR800" s="238"/>
      <c r="DS800" s="238"/>
      <c r="DT800" s="238"/>
      <c r="DU800" s="238"/>
      <c r="DV800" s="238"/>
      <c r="DW800" s="238"/>
      <c r="DX800" s="238"/>
      <c r="DY800" s="238"/>
      <c r="DZ800" s="238"/>
      <c r="EA800" s="238"/>
      <c r="EB800" s="238"/>
      <c r="EC800" s="238"/>
      <c r="ED800" s="3"/>
      <c r="EE800" s="3"/>
      <c r="EF800" s="3"/>
      <c r="EG800" s="3"/>
      <c r="EH800" s="3"/>
    </row>
    <row r="801" spans="5:40" x14ac:dyDescent="0.2">
      <c r="E801" s="31"/>
      <c r="F801" s="133"/>
      <c r="I801" s="31"/>
      <c r="R801" s="32"/>
      <c r="S801" s="32"/>
      <c r="U801" s="33"/>
      <c r="V801" s="33"/>
      <c r="AD801" s="32"/>
    </row>
    <row r="802" spans="5:40" x14ac:dyDescent="0.2">
      <c r="E802" s="31"/>
      <c r="F802" s="133"/>
      <c r="I802" s="31"/>
      <c r="R802" s="32"/>
      <c r="S802" s="32"/>
      <c r="U802" s="33"/>
      <c r="V802" s="33"/>
      <c r="AD802" s="32"/>
    </row>
    <row r="803" spans="5:40" x14ac:dyDescent="0.2">
      <c r="E803" s="31"/>
      <c r="F803" s="133"/>
      <c r="G803" s="32"/>
      <c r="I803" s="31"/>
      <c r="J803" s="32"/>
      <c r="K803" s="32"/>
      <c r="N803" s="32"/>
      <c r="O803" s="32"/>
      <c r="P803" s="32"/>
      <c r="Q803" s="32"/>
      <c r="R803" s="32"/>
      <c r="S803" s="32"/>
      <c r="T803" s="32"/>
      <c r="U803" s="32"/>
      <c r="V803" s="32"/>
      <c r="AD803" s="32"/>
      <c r="AE803" s="119"/>
      <c r="AF803" s="32"/>
      <c r="AG803" s="32"/>
      <c r="AH803" s="32"/>
      <c r="AJ803" s="32"/>
      <c r="AK803" s="32"/>
      <c r="AL803" s="32"/>
      <c r="AM803" s="32"/>
      <c r="AN803" s="32"/>
    </row>
    <row r="804" spans="5:40" x14ac:dyDescent="0.2">
      <c r="E804" s="31"/>
      <c r="F804" s="133"/>
      <c r="H804" s="31"/>
      <c r="I804" s="31"/>
      <c r="R804" s="32"/>
      <c r="S804" s="32"/>
      <c r="U804" s="33"/>
      <c r="V804" s="33"/>
      <c r="AD804" s="32"/>
    </row>
    <row r="805" spans="5:40" x14ac:dyDescent="0.2">
      <c r="E805" s="31"/>
      <c r="F805" s="133"/>
      <c r="H805" s="31"/>
      <c r="I805" s="31"/>
      <c r="R805" s="32"/>
      <c r="S805" s="32"/>
      <c r="U805" s="33"/>
      <c r="V805" s="33"/>
      <c r="AD805" s="32"/>
    </row>
    <row r="806" spans="5:40" x14ac:dyDescent="0.2">
      <c r="E806" s="31"/>
      <c r="F806" s="133"/>
      <c r="H806" s="31"/>
      <c r="I806" s="31"/>
      <c r="R806" s="32"/>
      <c r="S806" s="32"/>
      <c r="U806" s="33"/>
      <c r="V806" s="33"/>
      <c r="AD806" s="32"/>
    </row>
    <row r="807" spans="5:40" x14ac:dyDescent="0.2">
      <c r="E807" s="31"/>
      <c r="F807" s="133"/>
      <c r="H807" s="31"/>
      <c r="I807" s="31"/>
      <c r="R807" s="32"/>
      <c r="S807" s="32"/>
      <c r="U807" s="33"/>
      <c r="V807" s="33"/>
      <c r="AD807" s="32"/>
    </row>
    <row r="808" spans="5:40" x14ac:dyDescent="0.2">
      <c r="E808" s="31"/>
      <c r="F808" s="133"/>
      <c r="H808" s="31"/>
      <c r="I808" s="31"/>
      <c r="R808" s="32"/>
      <c r="S808" s="32"/>
      <c r="U808" s="33"/>
      <c r="V808" s="33"/>
      <c r="AD808" s="32"/>
    </row>
    <row r="809" spans="5:40" x14ac:dyDescent="0.2">
      <c r="E809" s="31"/>
      <c r="F809" s="133"/>
      <c r="H809" s="31"/>
      <c r="I809" s="31"/>
      <c r="R809" s="32"/>
      <c r="S809" s="32"/>
      <c r="U809" s="33"/>
      <c r="V809" s="33"/>
      <c r="AD809" s="32"/>
    </row>
    <row r="810" spans="5:40" x14ac:dyDescent="0.2">
      <c r="E810" s="31"/>
      <c r="F810" s="133"/>
      <c r="H810" s="31"/>
      <c r="I810" s="31"/>
      <c r="R810" s="32"/>
      <c r="S810" s="32"/>
      <c r="U810" s="33"/>
      <c r="V810" s="33"/>
      <c r="AD810" s="32"/>
    </row>
    <row r="811" spans="5:40" x14ac:dyDescent="0.2">
      <c r="E811" s="31"/>
      <c r="F811" s="133"/>
      <c r="H811" s="31"/>
      <c r="I811" s="31"/>
      <c r="R811" s="32"/>
      <c r="S811" s="32"/>
      <c r="U811" s="33"/>
      <c r="V811" s="33"/>
      <c r="AD811" s="32"/>
    </row>
    <row r="812" spans="5:40" x14ac:dyDescent="0.2">
      <c r="E812" s="31"/>
      <c r="F812" s="133"/>
      <c r="H812" s="31"/>
      <c r="I812" s="31"/>
      <c r="R812" s="32"/>
      <c r="S812" s="32"/>
      <c r="U812" s="33"/>
      <c r="V812" s="33"/>
      <c r="AD812" s="32"/>
    </row>
    <row r="813" spans="5:40" x14ac:dyDescent="0.2">
      <c r="E813" s="31"/>
      <c r="F813" s="133"/>
      <c r="H813" s="31"/>
      <c r="I813" s="31"/>
      <c r="R813" s="32"/>
      <c r="S813" s="32"/>
      <c r="U813" s="33"/>
      <c r="V813" s="33"/>
      <c r="AD813" s="32"/>
    </row>
    <row r="814" spans="5:40" x14ac:dyDescent="0.2">
      <c r="E814" s="31"/>
      <c r="F814" s="133"/>
      <c r="H814" s="31"/>
      <c r="I814" s="31"/>
      <c r="R814" s="32"/>
      <c r="S814" s="32"/>
      <c r="U814" s="33"/>
      <c r="V814" s="33"/>
      <c r="AD814" s="32"/>
    </row>
    <row r="815" spans="5:40" x14ac:dyDescent="0.2">
      <c r="E815" s="31"/>
      <c r="F815" s="133"/>
      <c r="H815" s="31"/>
      <c r="I815" s="31"/>
      <c r="R815" s="32"/>
      <c r="S815" s="32"/>
      <c r="U815" s="33"/>
      <c r="V815" s="33"/>
      <c r="AD815" s="32"/>
    </row>
    <row r="816" spans="5:40" x14ac:dyDescent="0.2">
      <c r="E816" s="31"/>
      <c r="F816" s="133"/>
      <c r="H816" s="31"/>
      <c r="I816" s="31"/>
      <c r="R816" s="32"/>
      <c r="S816" s="32"/>
      <c r="U816" s="33"/>
      <c r="V816" s="33"/>
      <c r="AD816" s="32"/>
    </row>
    <row r="817" spans="1:138" s="82" customFormat="1" x14ac:dyDescent="0.2">
      <c r="A817" s="3"/>
      <c r="B817" s="167"/>
      <c r="C817" s="3"/>
      <c r="D817" s="3"/>
      <c r="E817" s="31"/>
      <c r="F817" s="133"/>
      <c r="G817" s="3"/>
      <c r="H817" s="31"/>
      <c r="I817" s="31"/>
      <c r="J817" s="3"/>
      <c r="K817" s="3"/>
      <c r="L817" s="3"/>
      <c r="M817" s="3"/>
      <c r="N817" s="3"/>
      <c r="O817" s="3"/>
      <c r="P817" s="3"/>
      <c r="Q817" s="3"/>
      <c r="R817" s="32"/>
      <c r="S817" s="32"/>
      <c r="T817" s="3"/>
      <c r="U817" s="33"/>
      <c r="V817" s="33"/>
      <c r="W817" s="3"/>
      <c r="X817" s="3"/>
      <c r="Y817" s="3"/>
      <c r="Z817" s="3"/>
      <c r="AA817" s="3"/>
      <c r="AB817" s="3"/>
      <c r="AC817" s="3"/>
      <c r="AD817" s="32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4"/>
      <c r="AT817" s="3"/>
      <c r="AU817" s="3"/>
      <c r="AV817" s="3"/>
      <c r="AW817" s="3"/>
      <c r="AX817" s="4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84"/>
      <c r="BZ817" s="84"/>
      <c r="CA817" s="84"/>
      <c r="CB817" s="84"/>
      <c r="CC817" s="84"/>
      <c r="CD817" s="84"/>
      <c r="CE817" s="84"/>
      <c r="CF817" s="84"/>
      <c r="CG817" s="84"/>
      <c r="CH817" s="84"/>
      <c r="CI817" s="84"/>
      <c r="CJ817" s="84"/>
      <c r="CK817" s="84"/>
      <c r="CL817" s="84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220"/>
      <c r="CY817" s="220"/>
      <c r="CZ817" s="220"/>
      <c r="DA817" s="220"/>
      <c r="DB817" s="237"/>
      <c r="DC817" s="238"/>
      <c r="DD817" s="238"/>
      <c r="DE817" s="238"/>
      <c r="DF817" s="238"/>
      <c r="DG817" s="238"/>
      <c r="DH817" s="238"/>
      <c r="DI817" s="238"/>
      <c r="DJ817" s="238"/>
      <c r="DK817" s="238"/>
      <c r="DL817" s="238"/>
      <c r="DM817" s="238"/>
      <c r="DN817" s="238"/>
      <c r="DO817" s="238"/>
      <c r="DP817" s="238"/>
      <c r="DQ817" s="238"/>
      <c r="DR817" s="238"/>
      <c r="DS817" s="238"/>
      <c r="DT817" s="238"/>
      <c r="DU817" s="238"/>
      <c r="DV817" s="238"/>
      <c r="DW817" s="238"/>
      <c r="DX817" s="238"/>
      <c r="DY817" s="238"/>
      <c r="DZ817" s="238"/>
      <c r="EA817" s="238"/>
      <c r="EB817" s="238"/>
      <c r="EC817" s="238"/>
      <c r="ED817" s="3"/>
      <c r="EE817" s="3"/>
      <c r="EF817" s="3"/>
      <c r="EG817" s="3"/>
      <c r="EH817" s="3"/>
    </row>
    <row r="818" spans="1:138" s="82" customFormat="1" x14ac:dyDescent="0.2">
      <c r="A818" s="3"/>
      <c r="B818" s="167"/>
      <c r="C818" s="3"/>
      <c r="D818" s="3"/>
      <c r="E818" s="31"/>
      <c r="F818" s="133"/>
      <c r="G818" s="3"/>
      <c r="H818" s="31"/>
      <c r="I818" s="31"/>
      <c r="J818" s="3"/>
      <c r="K818" s="3"/>
      <c r="L818" s="3"/>
      <c r="M818" s="3"/>
      <c r="N818" s="3"/>
      <c r="O818" s="3"/>
      <c r="P818" s="3"/>
      <c r="Q818" s="3"/>
      <c r="R818" s="32"/>
      <c r="S818" s="32"/>
      <c r="T818" s="3"/>
      <c r="U818" s="33"/>
      <c r="V818" s="33"/>
      <c r="W818" s="3"/>
      <c r="X818" s="3"/>
      <c r="Y818" s="3"/>
      <c r="Z818" s="3"/>
      <c r="AA818" s="3"/>
      <c r="AB818" s="3"/>
      <c r="AC818" s="3"/>
      <c r="AD818" s="32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4"/>
      <c r="AT818" s="3"/>
      <c r="AU818" s="3"/>
      <c r="AV818" s="3"/>
      <c r="AW818" s="3"/>
      <c r="AX818" s="4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84"/>
      <c r="BZ818" s="84"/>
      <c r="CA818" s="84"/>
      <c r="CB818" s="84"/>
      <c r="CC818" s="84"/>
      <c r="CD818" s="84"/>
      <c r="CE818" s="84"/>
      <c r="CF818" s="84"/>
      <c r="CG818" s="84"/>
      <c r="CH818" s="84"/>
      <c r="CI818" s="84"/>
      <c r="CJ818" s="84"/>
      <c r="CK818" s="84"/>
      <c r="CL818" s="84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220"/>
      <c r="CY818" s="220"/>
      <c r="CZ818" s="220"/>
      <c r="DA818" s="220"/>
      <c r="DB818" s="237"/>
      <c r="DC818" s="238"/>
      <c r="DD818" s="238"/>
      <c r="DE818" s="238"/>
      <c r="DF818" s="238"/>
      <c r="DG818" s="238"/>
      <c r="DH818" s="238"/>
      <c r="DI818" s="238"/>
      <c r="DJ818" s="238"/>
      <c r="DK818" s="238"/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38"/>
      <c r="DW818" s="238"/>
      <c r="DX818" s="238"/>
      <c r="DY818" s="238"/>
      <c r="DZ818" s="238"/>
      <c r="EA818" s="238"/>
      <c r="EB818" s="238"/>
      <c r="EC818" s="238"/>
      <c r="ED818" s="3"/>
      <c r="EE818" s="3"/>
      <c r="EF818" s="3"/>
      <c r="EG818" s="3"/>
      <c r="EH818" s="3"/>
    </row>
    <row r="819" spans="1:138" s="82" customFormat="1" x14ac:dyDescent="0.2">
      <c r="A819" s="3"/>
      <c r="B819" s="167"/>
      <c r="C819" s="3"/>
      <c r="D819" s="3"/>
      <c r="E819" s="31"/>
      <c r="F819" s="133"/>
      <c r="G819" s="3"/>
      <c r="H819" s="31"/>
      <c r="I819" s="31"/>
      <c r="J819" s="3"/>
      <c r="K819" s="3"/>
      <c r="L819" s="3"/>
      <c r="M819" s="3"/>
      <c r="N819" s="3"/>
      <c r="O819" s="3"/>
      <c r="P819" s="3"/>
      <c r="Q819" s="3"/>
      <c r="R819" s="32"/>
      <c r="S819" s="32"/>
      <c r="T819" s="3"/>
      <c r="U819" s="33"/>
      <c r="V819" s="33"/>
      <c r="W819" s="3"/>
      <c r="X819" s="3"/>
      <c r="Y819" s="3"/>
      <c r="Z819" s="3"/>
      <c r="AA819" s="3"/>
      <c r="AB819" s="3"/>
      <c r="AC819" s="3"/>
      <c r="AD819" s="32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4"/>
      <c r="AT819" s="3"/>
      <c r="AU819" s="3"/>
      <c r="AV819" s="3"/>
      <c r="AW819" s="3"/>
      <c r="AX819" s="4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84"/>
      <c r="BZ819" s="84"/>
      <c r="CA819" s="84"/>
      <c r="CB819" s="84"/>
      <c r="CC819" s="84"/>
      <c r="CD819" s="84"/>
      <c r="CE819" s="84"/>
      <c r="CF819" s="84"/>
      <c r="CG819" s="84"/>
      <c r="CH819" s="84"/>
      <c r="CI819" s="84"/>
      <c r="CJ819" s="84"/>
      <c r="CK819" s="84"/>
      <c r="CL819" s="84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220"/>
      <c r="CY819" s="220"/>
      <c r="CZ819" s="220"/>
      <c r="DA819" s="220"/>
      <c r="DB819" s="237"/>
      <c r="DC819" s="238"/>
      <c r="DD819" s="238"/>
      <c r="DE819" s="238"/>
      <c r="DF819" s="238"/>
      <c r="DG819" s="238"/>
      <c r="DH819" s="238"/>
      <c r="DI819" s="238"/>
      <c r="DJ819" s="238"/>
      <c r="DK819" s="238"/>
      <c r="DL819" s="238"/>
      <c r="DM819" s="238"/>
      <c r="DN819" s="238"/>
      <c r="DO819" s="238"/>
      <c r="DP819" s="238"/>
      <c r="DQ819" s="238"/>
      <c r="DR819" s="238"/>
      <c r="DS819" s="238"/>
      <c r="DT819" s="238"/>
      <c r="DU819" s="238"/>
      <c r="DV819" s="238"/>
      <c r="DW819" s="238"/>
      <c r="DX819" s="238"/>
      <c r="DY819" s="238"/>
      <c r="DZ819" s="238"/>
      <c r="EA819" s="238"/>
      <c r="EB819" s="238"/>
      <c r="EC819" s="238"/>
      <c r="ED819" s="3"/>
      <c r="EE819" s="3"/>
      <c r="EF819" s="3"/>
      <c r="EG819" s="3"/>
      <c r="EH819" s="3"/>
    </row>
    <row r="820" spans="1:138" s="82" customFormat="1" x14ac:dyDescent="0.2">
      <c r="A820" s="3"/>
      <c r="B820" s="167"/>
      <c r="C820" s="3"/>
      <c r="D820" s="3"/>
      <c r="E820" s="31"/>
      <c r="F820" s="133"/>
      <c r="G820" s="3"/>
      <c r="H820" s="31"/>
      <c r="I820" s="31"/>
      <c r="J820" s="3"/>
      <c r="K820" s="3"/>
      <c r="L820" s="3"/>
      <c r="M820" s="3"/>
      <c r="N820" s="3"/>
      <c r="O820" s="3"/>
      <c r="P820" s="3"/>
      <c r="Q820" s="3"/>
      <c r="R820" s="32"/>
      <c r="S820" s="32"/>
      <c r="T820" s="3"/>
      <c r="U820" s="33"/>
      <c r="V820" s="33"/>
      <c r="W820" s="3"/>
      <c r="X820" s="3"/>
      <c r="Y820" s="3"/>
      <c r="Z820" s="3"/>
      <c r="AA820" s="3"/>
      <c r="AB820" s="3"/>
      <c r="AC820" s="3"/>
      <c r="AD820" s="32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4"/>
      <c r="AT820" s="3"/>
      <c r="AU820" s="3"/>
      <c r="AV820" s="3"/>
      <c r="AW820" s="3"/>
      <c r="AX820" s="4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84"/>
      <c r="BZ820" s="84"/>
      <c r="CA820" s="84"/>
      <c r="CB820" s="84"/>
      <c r="CC820" s="84"/>
      <c r="CD820" s="84"/>
      <c r="CE820" s="84"/>
      <c r="CF820" s="84"/>
      <c r="CG820" s="84"/>
      <c r="CH820" s="84"/>
      <c r="CI820" s="84"/>
      <c r="CJ820" s="84"/>
      <c r="CK820" s="84"/>
      <c r="CL820" s="84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220"/>
      <c r="CY820" s="220"/>
      <c r="CZ820" s="220"/>
      <c r="DA820" s="220"/>
      <c r="DB820" s="237"/>
      <c r="DC820" s="238"/>
      <c r="DD820" s="238"/>
      <c r="DE820" s="238"/>
      <c r="DF820" s="238"/>
      <c r="DG820" s="238"/>
      <c r="DH820" s="238"/>
      <c r="DI820" s="238"/>
      <c r="DJ820" s="238"/>
      <c r="DK820" s="238"/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38"/>
      <c r="DW820" s="238"/>
      <c r="DX820" s="238"/>
      <c r="DY820" s="238"/>
      <c r="DZ820" s="238"/>
      <c r="EA820" s="238"/>
      <c r="EB820" s="238"/>
      <c r="EC820" s="238"/>
      <c r="ED820" s="3"/>
      <c r="EE820" s="3"/>
      <c r="EF820" s="3"/>
      <c r="EG820" s="3"/>
      <c r="EH820" s="3"/>
    </row>
    <row r="821" spans="1:138" s="82" customFormat="1" x14ac:dyDescent="0.2">
      <c r="A821" s="3"/>
      <c r="B821" s="167"/>
      <c r="C821" s="3"/>
      <c r="D821" s="3"/>
      <c r="E821" s="31"/>
      <c r="F821" s="133"/>
      <c r="G821" s="3"/>
      <c r="H821" s="31"/>
      <c r="I821" s="31"/>
      <c r="J821" s="3"/>
      <c r="K821" s="3"/>
      <c r="L821" s="3"/>
      <c r="M821" s="3"/>
      <c r="N821" s="3"/>
      <c r="O821" s="3"/>
      <c r="P821" s="3"/>
      <c r="Q821" s="3"/>
      <c r="R821" s="32"/>
      <c r="S821" s="32"/>
      <c r="T821" s="3"/>
      <c r="U821" s="33"/>
      <c r="V821" s="33"/>
      <c r="W821" s="3"/>
      <c r="X821" s="3"/>
      <c r="Y821" s="3"/>
      <c r="Z821" s="3"/>
      <c r="AA821" s="3"/>
      <c r="AB821" s="3"/>
      <c r="AC821" s="3"/>
      <c r="AD821" s="32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4"/>
      <c r="AT821" s="3"/>
      <c r="AU821" s="3"/>
      <c r="AV821" s="3"/>
      <c r="AW821" s="3"/>
      <c r="AX821" s="4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84"/>
      <c r="BZ821" s="84"/>
      <c r="CA821" s="84"/>
      <c r="CB821" s="84"/>
      <c r="CC821" s="84"/>
      <c r="CD821" s="84"/>
      <c r="CE821" s="84"/>
      <c r="CF821" s="84"/>
      <c r="CG821" s="84"/>
      <c r="CH821" s="84"/>
      <c r="CI821" s="84"/>
      <c r="CJ821" s="84"/>
      <c r="CK821" s="84"/>
      <c r="CL821" s="84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220"/>
      <c r="CY821" s="220"/>
      <c r="CZ821" s="220"/>
      <c r="DA821" s="220"/>
      <c r="DB821" s="237"/>
      <c r="DC821" s="238"/>
      <c r="DD821" s="238"/>
      <c r="DE821" s="238"/>
      <c r="DF821" s="238"/>
      <c r="DG821" s="238"/>
      <c r="DH821" s="238"/>
      <c r="DI821" s="238"/>
      <c r="DJ821" s="238"/>
      <c r="DK821" s="238"/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38"/>
      <c r="DW821" s="238"/>
      <c r="DX821" s="238"/>
      <c r="DY821" s="238"/>
      <c r="DZ821" s="238"/>
      <c r="EA821" s="238"/>
      <c r="EB821" s="238"/>
      <c r="EC821" s="238"/>
      <c r="ED821" s="3"/>
      <c r="EE821" s="3"/>
      <c r="EF821" s="3"/>
      <c r="EG821" s="3"/>
      <c r="EH821" s="3"/>
    </row>
    <row r="822" spans="1:138" s="82" customFormat="1" x14ac:dyDescent="0.2">
      <c r="A822" s="3"/>
      <c r="B822" s="167"/>
      <c r="C822" s="3"/>
      <c r="D822" s="3"/>
      <c r="E822" s="31"/>
      <c r="F822" s="133"/>
      <c r="G822" s="3"/>
      <c r="H822" s="31"/>
      <c r="I822" s="31"/>
      <c r="J822" s="3"/>
      <c r="K822" s="3"/>
      <c r="L822" s="3"/>
      <c r="M822" s="3"/>
      <c r="N822" s="3"/>
      <c r="O822" s="3"/>
      <c r="P822" s="3"/>
      <c r="Q822" s="3"/>
      <c r="R822" s="32"/>
      <c r="S822" s="32"/>
      <c r="T822" s="3"/>
      <c r="U822" s="33"/>
      <c r="V822" s="33"/>
      <c r="W822" s="3"/>
      <c r="X822" s="3"/>
      <c r="Y822" s="3"/>
      <c r="Z822" s="3"/>
      <c r="AA822" s="3"/>
      <c r="AB822" s="3"/>
      <c r="AC822" s="3"/>
      <c r="AD822" s="32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4"/>
      <c r="AT822" s="3"/>
      <c r="AU822" s="3"/>
      <c r="AV822" s="3"/>
      <c r="AW822" s="3"/>
      <c r="AX822" s="4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84"/>
      <c r="BZ822" s="84"/>
      <c r="CA822" s="84"/>
      <c r="CB822" s="84"/>
      <c r="CC822" s="84"/>
      <c r="CD822" s="84"/>
      <c r="CE822" s="84"/>
      <c r="CF822" s="84"/>
      <c r="CG822" s="84"/>
      <c r="CH822" s="84"/>
      <c r="CI822" s="84"/>
      <c r="CJ822" s="84"/>
      <c r="CK822" s="84"/>
      <c r="CL822" s="84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220"/>
      <c r="CY822" s="220"/>
      <c r="CZ822" s="220"/>
      <c r="DA822" s="220"/>
      <c r="DB822" s="237"/>
      <c r="DC822" s="238"/>
      <c r="DD822" s="238"/>
      <c r="DE822" s="238"/>
      <c r="DF822" s="238"/>
      <c r="DG822" s="238"/>
      <c r="DH822" s="238"/>
      <c r="DI822" s="238"/>
      <c r="DJ822" s="238"/>
      <c r="DK822" s="238"/>
      <c r="DL822" s="238"/>
      <c r="DM822" s="238"/>
      <c r="DN822" s="238"/>
      <c r="DO822" s="238"/>
      <c r="DP822" s="238"/>
      <c r="DQ822" s="238"/>
      <c r="DR822" s="238"/>
      <c r="DS822" s="238"/>
      <c r="DT822" s="238"/>
      <c r="DU822" s="238"/>
      <c r="DV822" s="238"/>
      <c r="DW822" s="238"/>
      <c r="DX822" s="238"/>
      <c r="DY822" s="238"/>
      <c r="DZ822" s="238"/>
      <c r="EA822" s="238"/>
      <c r="EB822" s="238"/>
      <c r="EC822" s="238"/>
      <c r="ED822" s="3"/>
      <c r="EE822" s="3"/>
      <c r="EF822" s="3"/>
      <c r="EG822" s="3"/>
      <c r="EH822" s="3"/>
    </row>
    <row r="823" spans="1:138" s="82" customFormat="1" x14ac:dyDescent="0.2">
      <c r="A823" s="3"/>
      <c r="B823" s="167"/>
      <c r="C823" s="3"/>
      <c r="D823" s="3"/>
      <c r="E823" s="31"/>
      <c r="F823" s="133"/>
      <c r="G823" s="3"/>
      <c r="H823" s="31"/>
      <c r="I823" s="31"/>
      <c r="J823" s="3"/>
      <c r="K823" s="3"/>
      <c r="L823" s="3"/>
      <c r="M823" s="3"/>
      <c r="N823" s="3"/>
      <c r="O823" s="3"/>
      <c r="P823" s="3"/>
      <c r="Q823" s="3"/>
      <c r="R823" s="32"/>
      <c r="S823" s="32"/>
      <c r="T823" s="3"/>
      <c r="U823" s="33"/>
      <c r="V823" s="33"/>
      <c r="W823" s="3"/>
      <c r="X823" s="3"/>
      <c r="Y823" s="3"/>
      <c r="Z823" s="3"/>
      <c r="AA823" s="3"/>
      <c r="AB823" s="3"/>
      <c r="AC823" s="3"/>
      <c r="AD823" s="32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4"/>
      <c r="AT823" s="3"/>
      <c r="AU823" s="3"/>
      <c r="AV823" s="3"/>
      <c r="AW823" s="3"/>
      <c r="AX823" s="4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84"/>
      <c r="BZ823" s="84"/>
      <c r="CA823" s="84"/>
      <c r="CB823" s="84"/>
      <c r="CC823" s="84"/>
      <c r="CD823" s="84"/>
      <c r="CE823" s="84"/>
      <c r="CF823" s="84"/>
      <c r="CG823" s="84"/>
      <c r="CH823" s="84"/>
      <c r="CI823" s="84"/>
      <c r="CJ823" s="84"/>
      <c r="CK823" s="84"/>
      <c r="CL823" s="84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220"/>
      <c r="CY823" s="220"/>
      <c r="CZ823" s="220"/>
      <c r="DA823" s="220"/>
      <c r="DB823" s="237"/>
      <c r="DC823" s="238"/>
      <c r="DD823" s="238"/>
      <c r="DE823" s="238"/>
      <c r="DF823" s="238"/>
      <c r="DG823" s="238"/>
      <c r="DH823" s="238"/>
      <c r="DI823" s="238"/>
      <c r="DJ823" s="238"/>
      <c r="DK823" s="238"/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38"/>
      <c r="DW823" s="238"/>
      <c r="DX823" s="238"/>
      <c r="DY823" s="238"/>
      <c r="DZ823" s="238"/>
      <c r="EA823" s="238"/>
      <c r="EB823" s="238"/>
      <c r="EC823" s="238"/>
      <c r="ED823" s="3"/>
      <c r="EE823" s="3"/>
      <c r="EF823" s="3"/>
      <c r="EG823" s="3"/>
      <c r="EH823" s="3"/>
    </row>
    <row r="824" spans="1:138" s="82" customFormat="1" x14ac:dyDescent="0.2">
      <c r="A824" s="3"/>
      <c r="B824" s="167"/>
      <c r="C824" s="3"/>
      <c r="D824" s="3"/>
      <c r="E824" s="31"/>
      <c r="F824" s="133"/>
      <c r="G824" s="3"/>
      <c r="H824" s="31"/>
      <c r="I824" s="31"/>
      <c r="J824" s="3"/>
      <c r="K824" s="3"/>
      <c r="L824" s="3"/>
      <c r="M824" s="3"/>
      <c r="N824" s="3"/>
      <c r="O824" s="3"/>
      <c r="P824" s="3"/>
      <c r="Q824" s="3"/>
      <c r="R824" s="32"/>
      <c r="S824" s="32"/>
      <c r="T824" s="3"/>
      <c r="U824" s="33"/>
      <c r="V824" s="33"/>
      <c r="W824" s="3"/>
      <c r="X824" s="3"/>
      <c r="Y824" s="3"/>
      <c r="Z824" s="3"/>
      <c r="AA824" s="3"/>
      <c r="AB824" s="3"/>
      <c r="AC824" s="3"/>
      <c r="AD824" s="32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4"/>
      <c r="AT824" s="3"/>
      <c r="AU824" s="3"/>
      <c r="AV824" s="3"/>
      <c r="AW824" s="3"/>
      <c r="AX824" s="4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84"/>
      <c r="BZ824" s="84"/>
      <c r="CA824" s="84"/>
      <c r="CB824" s="84"/>
      <c r="CC824" s="84"/>
      <c r="CD824" s="84"/>
      <c r="CE824" s="84"/>
      <c r="CF824" s="84"/>
      <c r="CG824" s="84"/>
      <c r="CH824" s="84"/>
      <c r="CI824" s="84"/>
      <c r="CJ824" s="84"/>
      <c r="CK824" s="84"/>
      <c r="CL824" s="84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220"/>
      <c r="CY824" s="220"/>
      <c r="CZ824" s="220"/>
      <c r="DA824" s="220"/>
      <c r="DB824" s="237"/>
      <c r="DC824" s="238"/>
      <c r="DD824" s="238"/>
      <c r="DE824" s="238"/>
      <c r="DF824" s="238"/>
      <c r="DG824" s="238"/>
      <c r="DH824" s="238"/>
      <c r="DI824" s="238"/>
      <c r="DJ824" s="238"/>
      <c r="DK824" s="238"/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38"/>
      <c r="DW824" s="238"/>
      <c r="DX824" s="238"/>
      <c r="DY824" s="238"/>
      <c r="DZ824" s="238"/>
      <c r="EA824" s="238"/>
      <c r="EB824" s="238"/>
      <c r="EC824" s="238"/>
      <c r="ED824" s="3"/>
      <c r="EE824" s="3"/>
      <c r="EF824" s="3"/>
      <c r="EG824" s="3"/>
      <c r="EH824" s="3"/>
    </row>
    <row r="825" spans="1:138" s="82" customFormat="1" x14ac:dyDescent="0.2">
      <c r="A825" s="3"/>
      <c r="B825" s="167"/>
      <c r="C825" s="3"/>
      <c r="D825" s="3"/>
      <c r="E825" s="31"/>
      <c r="F825" s="133"/>
      <c r="G825" s="3"/>
      <c r="H825" s="31"/>
      <c r="I825" s="31"/>
      <c r="J825" s="3"/>
      <c r="K825" s="3"/>
      <c r="L825" s="3"/>
      <c r="M825" s="3"/>
      <c r="N825" s="3"/>
      <c r="O825" s="3"/>
      <c r="P825" s="3"/>
      <c r="Q825" s="3"/>
      <c r="R825" s="32"/>
      <c r="S825" s="32"/>
      <c r="T825" s="3"/>
      <c r="U825" s="33"/>
      <c r="V825" s="33"/>
      <c r="W825" s="3"/>
      <c r="X825" s="3"/>
      <c r="Y825" s="3"/>
      <c r="Z825" s="3"/>
      <c r="AA825" s="3"/>
      <c r="AB825" s="3"/>
      <c r="AC825" s="3"/>
      <c r="AD825" s="32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4"/>
      <c r="AT825" s="3"/>
      <c r="AU825" s="3"/>
      <c r="AV825" s="3"/>
      <c r="AW825" s="3"/>
      <c r="AX825" s="4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84"/>
      <c r="BZ825" s="84"/>
      <c r="CA825" s="84"/>
      <c r="CB825" s="84"/>
      <c r="CC825" s="84"/>
      <c r="CD825" s="84"/>
      <c r="CE825" s="84"/>
      <c r="CF825" s="84"/>
      <c r="CG825" s="84"/>
      <c r="CH825" s="84"/>
      <c r="CI825" s="84"/>
      <c r="CJ825" s="84"/>
      <c r="CK825" s="84"/>
      <c r="CL825" s="84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220"/>
      <c r="CY825" s="220"/>
      <c r="CZ825" s="220"/>
      <c r="DA825" s="220"/>
      <c r="DB825" s="237"/>
      <c r="DC825" s="238"/>
      <c r="DD825" s="238"/>
      <c r="DE825" s="238"/>
      <c r="DF825" s="238"/>
      <c r="DG825" s="238"/>
      <c r="DH825" s="238"/>
      <c r="DI825" s="238"/>
      <c r="DJ825" s="238"/>
      <c r="DK825" s="238"/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38"/>
      <c r="DW825" s="238"/>
      <c r="DX825" s="238"/>
      <c r="DY825" s="238"/>
      <c r="DZ825" s="238"/>
      <c r="EA825" s="238"/>
      <c r="EB825" s="238"/>
      <c r="EC825" s="238"/>
      <c r="ED825" s="3"/>
      <c r="EE825" s="3"/>
      <c r="EF825" s="3"/>
      <c r="EG825" s="3"/>
      <c r="EH825" s="3"/>
    </row>
    <row r="826" spans="1:138" s="82" customFormat="1" x14ac:dyDescent="0.2">
      <c r="A826" s="3"/>
      <c r="B826" s="167"/>
      <c r="C826" s="3"/>
      <c r="D826" s="3"/>
      <c r="E826" s="31"/>
      <c r="F826" s="133"/>
      <c r="G826" s="3"/>
      <c r="H826" s="31"/>
      <c r="I826" s="31"/>
      <c r="J826" s="3"/>
      <c r="K826" s="3"/>
      <c r="L826" s="3"/>
      <c r="M826" s="3"/>
      <c r="N826" s="3"/>
      <c r="O826" s="3"/>
      <c r="P826" s="3"/>
      <c r="Q826" s="3"/>
      <c r="R826" s="32"/>
      <c r="S826" s="32"/>
      <c r="T826" s="3"/>
      <c r="U826" s="33"/>
      <c r="V826" s="33"/>
      <c r="W826" s="3"/>
      <c r="X826" s="3"/>
      <c r="Y826" s="3"/>
      <c r="Z826" s="3"/>
      <c r="AA826" s="3"/>
      <c r="AB826" s="3"/>
      <c r="AC826" s="3"/>
      <c r="AD826" s="32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4"/>
      <c r="AT826" s="3"/>
      <c r="AU826" s="3"/>
      <c r="AV826" s="3"/>
      <c r="AW826" s="3"/>
      <c r="AX826" s="4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84"/>
      <c r="BZ826" s="84"/>
      <c r="CA826" s="84"/>
      <c r="CB826" s="84"/>
      <c r="CC826" s="84"/>
      <c r="CD826" s="84"/>
      <c r="CE826" s="84"/>
      <c r="CF826" s="84"/>
      <c r="CG826" s="84"/>
      <c r="CH826" s="84"/>
      <c r="CI826" s="84"/>
      <c r="CJ826" s="84"/>
      <c r="CK826" s="84"/>
      <c r="CL826" s="84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220"/>
      <c r="CY826" s="220"/>
      <c r="CZ826" s="220"/>
      <c r="DA826" s="220"/>
      <c r="DB826" s="237"/>
      <c r="DC826" s="238"/>
      <c r="DD826" s="238"/>
      <c r="DE826" s="238"/>
      <c r="DF826" s="238"/>
      <c r="DG826" s="238"/>
      <c r="DH826" s="238"/>
      <c r="DI826" s="238"/>
      <c r="DJ826" s="238"/>
      <c r="DK826" s="238"/>
      <c r="DL826" s="238"/>
      <c r="DM826" s="238"/>
      <c r="DN826" s="238"/>
      <c r="DO826" s="238"/>
      <c r="DP826" s="238"/>
      <c r="DQ826" s="238"/>
      <c r="DR826" s="238"/>
      <c r="DS826" s="238"/>
      <c r="DT826" s="238"/>
      <c r="DU826" s="238"/>
      <c r="DV826" s="238"/>
      <c r="DW826" s="238"/>
      <c r="DX826" s="238"/>
      <c r="DY826" s="238"/>
      <c r="DZ826" s="238"/>
      <c r="EA826" s="238"/>
      <c r="EB826" s="238"/>
      <c r="EC826" s="238"/>
      <c r="ED826" s="3"/>
      <c r="EE826" s="3"/>
      <c r="EF826" s="3"/>
      <c r="EG826" s="3"/>
      <c r="EH826" s="3"/>
    </row>
    <row r="827" spans="1:138" s="82" customFormat="1" x14ac:dyDescent="0.2">
      <c r="A827" s="3"/>
      <c r="B827" s="167"/>
      <c r="C827" s="3"/>
      <c r="D827" s="3"/>
      <c r="E827" s="31"/>
      <c r="F827" s="133"/>
      <c r="G827" s="3"/>
      <c r="H827" s="31"/>
      <c r="I827" s="31"/>
      <c r="J827" s="3"/>
      <c r="K827" s="3"/>
      <c r="L827" s="3"/>
      <c r="M827" s="3"/>
      <c r="N827" s="3"/>
      <c r="O827" s="3"/>
      <c r="P827" s="3"/>
      <c r="Q827" s="3"/>
      <c r="R827" s="32"/>
      <c r="S827" s="32"/>
      <c r="T827" s="3"/>
      <c r="U827" s="33"/>
      <c r="V827" s="33"/>
      <c r="W827" s="3"/>
      <c r="X827" s="3"/>
      <c r="Y827" s="3"/>
      <c r="Z827" s="3"/>
      <c r="AA827" s="3"/>
      <c r="AB827" s="3"/>
      <c r="AC827" s="3"/>
      <c r="AD827" s="32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4"/>
      <c r="AT827" s="3"/>
      <c r="AU827" s="3"/>
      <c r="AV827" s="3"/>
      <c r="AW827" s="3"/>
      <c r="AX827" s="4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84"/>
      <c r="BZ827" s="84"/>
      <c r="CA827" s="84"/>
      <c r="CB827" s="84"/>
      <c r="CC827" s="84"/>
      <c r="CD827" s="84"/>
      <c r="CE827" s="84"/>
      <c r="CF827" s="84"/>
      <c r="CG827" s="84"/>
      <c r="CH827" s="84"/>
      <c r="CI827" s="84"/>
      <c r="CJ827" s="84"/>
      <c r="CK827" s="84"/>
      <c r="CL827" s="84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220"/>
      <c r="CY827" s="220"/>
      <c r="CZ827" s="220"/>
      <c r="DA827" s="220"/>
      <c r="DB827" s="237"/>
      <c r="DC827" s="238"/>
      <c r="DD827" s="238"/>
      <c r="DE827" s="238"/>
      <c r="DF827" s="238"/>
      <c r="DG827" s="238"/>
      <c r="DH827" s="238"/>
      <c r="DI827" s="238"/>
      <c r="DJ827" s="238"/>
      <c r="DK827" s="238"/>
      <c r="DL827" s="238"/>
      <c r="DM827" s="238"/>
      <c r="DN827" s="238"/>
      <c r="DO827" s="238"/>
      <c r="DP827" s="238"/>
      <c r="DQ827" s="238"/>
      <c r="DR827" s="238"/>
      <c r="DS827" s="238"/>
      <c r="DT827" s="238"/>
      <c r="DU827" s="238"/>
      <c r="DV827" s="238"/>
      <c r="DW827" s="238"/>
      <c r="DX827" s="238"/>
      <c r="DY827" s="238"/>
      <c r="DZ827" s="238"/>
      <c r="EA827" s="238"/>
      <c r="EB827" s="238"/>
      <c r="EC827" s="238"/>
      <c r="ED827" s="3"/>
      <c r="EE827" s="3"/>
      <c r="EF827" s="3"/>
      <c r="EG827" s="3"/>
      <c r="EH827" s="3"/>
    </row>
    <row r="828" spans="1:138" s="82" customFormat="1" x14ac:dyDescent="0.2">
      <c r="A828" s="3"/>
      <c r="B828" s="167"/>
      <c r="C828" s="3"/>
      <c r="D828" s="3"/>
      <c r="E828" s="31"/>
      <c r="F828" s="133"/>
      <c r="G828" s="3"/>
      <c r="H828" s="31"/>
      <c r="I828" s="31"/>
      <c r="J828" s="3"/>
      <c r="K828" s="3"/>
      <c r="L828" s="3"/>
      <c r="M828" s="3"/>
      <c r="N828" s="3"/>
      <c r="O828" s="3"/>
      <c r="P828" s="3"/>
      <c r="Q828" s="3"/>
      <c r="R828" s="32"/>
      <c r="S828" s="32"/>
      <c r="T828" s="3"/>
      <c r="U828" s="33"/>
      <c r="V828" s="33"/>
      <c r="W828" s="3"/>
      <c r="X828" s="3"/>
      <c r="Y828" s="3"/>
      <c r="Z828" s="3"/>
      <c r="AA828" s="3"/>
      <c r="AB828" s="3"/>
      <c r="AC828" s="3"/>
      <c r="AD828" s="32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4"/>
      <c r="AT828" s="3"/>
      <c r="AU828" s="3"/>
      <c r="AV828" s="3"/>
      <c r="AW828" s="3"/>
      <c r="AX828" s="4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84"/>
      <c r="BZ828" s="84"/>
      <c r="CA828" s="84"/>
      <c r="CB828" s="84"/>
      <c r="CC828" s="84"/>
      <c r="CD828" s="84"/>
      <c r="CE828" s="84"/>
      <c r="CF828" s="84"/>
      <c r="CG828" s="84"/>
      <c r="CH828" s="84"/>
      <c r="CI828" s="84"/>
      <c r="CJ828" s="84"/>
      <c r="CK828" s="84"/>
      <c r="CL828" s="84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220"/>
      <c r="CY828" s="220"/>
      <c r="CZ828" s="220"/>
      <c r="DA828" s="220"/>
      <c r="DB828" s="237"/>
      <c r="DC828" s="238"/>
      <c r="DD828" s="238"/>
      <c r="DE828" s="238"/>
      <c r="DF828" s="238"/>
      <c r="DG828" s="238"/>
      <c r="DH828" s="238"/>
      <c r="DI828" s="238"/>
      <c r="DJ828" s="238"/>
      <c r="DK828" s="238"/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38"/>
      <c r="DW828" s="238"/>
      <c r="DX828" s="238"/>
      <c r="DY828" s="238"/>
      <c r="DZ828" s="238"/>
      <c r="EA828" s="238"/>
      <c r="EB828" s="238"/>
      <c r="EC828" s="238"/>
      <c r="ED828" s="3"/>
      <c r="EE828" s="3"/>
      <c r="EF828" s="3"/>
      <c r="EG828" s="3"/>
      <c r="EH828" s="3"/>
    </row>
    <row r="829" spans="1:138" s="82" customFormat="1" x14ac:dyDescent="0.2">
      <c r="A829" s="3"/>
      <c r="B829" s="167"/>
      <c r="C829" s="3"/>
      <c r="D829" s="3"/>
      <c r="E829" s="31"/>
      <c r="F829" s="133"/>
      <c r="G829" s="3"/>
      <c r="H829" s="31"/>
      <c r="I829" s="31"/>
      <c r="J829" s="3"/>
      <c r="K829" s="3"/>
      <c r="L829" s="3"/>
      <c r="M829" s="3"/>
      <c r="N829" s="3"/>
      <c r="O829" s="3"/>
      <c r="P829" s="3"/>
      <c r="Q829" s="3"/>
      <c r="R829" s="32"/>
      <c r="S829" s="32"/>
      <c r="T829" s="3"/>
      <c r="U829" s="33"/>
      <c r="V829" s="33"/>
      <c r="W829" s="3"/>
      <c r="X829" s="3"/>
      <c r="Y829" s="3"/>
      <c r="Z829" s="3"/>
      <c r="AA829" s="3"/>
      <c r="AB829" s="3"/>
      <c r="AC829" s="3"/>
      <c r="AD829" s="32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4"/>
      <c r="AT829" s="3"/>
      <c r="AU829" s="3"/>
      <c r="AV829" s="3"/>
      <c r="AW829" s="3"/>
      <c r="AX829" s="4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84"/>
      <c r="BZ829" s="84"/>
      <c r="CA829" s="84"/>
      <c r="CB829" s="84"/>
      <c r="CC829" s="84"/>
      <c r="CD829" s="84"/>
      <c r="CE829" s="84"/>
      <c r="CF829" s="84"/>
      <c r="CG829" s="84"/>
      <c r="CH829" s="84"/>
      <c r="CI829" s="84"/>
      <c r="CJ829" s="84"/>
      <c r="CK829" s="84"/>
      <c r="CL829" s="84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220"/>
      <c r="CY829" s="220"/>
      <c r="CZ829" s="220"/>
      <c r="DA829" s="220"/>
      <c r="DB829" s="237"/>
      <c r="DC829" s="238"/>
      <c r="DD829" s="238"/>
      <c r="DE829" s="238"/>
      <c r="DF829" s="238"/>
      <c r="DG829" s="238"/>
      <c r="DH829" s="238"/>
      <c r="DI829" s="238"/>
      <c r="DJ829" s="238"/>
      <c r="DK829" s="238"/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38"/>
      <c r="DW829" s="238"/>
      <c r="DX829" s="238"/>
      <c r="DY829" s="238"/>
      <c r="DZ829" s="238"/>
      <c r="EA829" s="238"/>
      <c r="EB829" s="238"/>
      <c r="EC829" s="238"/>
      <c r="ED829" s="3"/>
      <c r="EE829" s="3"/>
      <c r="EF829" s="3"/>
      <c r="EG829" s="3"/>
      <c r="EH829" s="3"/>
    </row>
    <row r="830" spans="1:138" s="82" customFormat="1" x14ac:dyDescent="0.2">
      <c r="A830" s="3"/>
      <c r="B830" s="167"/>
      <c r="C830" s="3"/>
      <c r="D830" s="3"/>
      <c r="E830" s="31"/>
      <c r="F830" s="133"/>
      <c r="G830" s="3"/>
      <c r="H830" s="31"/>
      <c r="I830" s="31"/>
      <c r="J830" s="3"/>
      <c r="K830" s="3"/>
      <c r="L830" s="3"/>
      <c r="M830" s="3"/>
      <c r="N830" s="3"/>
      <c r="O830" s="3"/>
      <c r="P830" s="3"/>
      <c r="Q830" s="3"/>
      <c r="R830" s="32"/>
      <c r="S830" s="32"/>
      <c r="T830" s="3"/>
      <c r="U830" s="33"/>
      <c r="V830" s="33"/>
      <c r="W830" s="3"/>
      <c r="X830" s="3"/>
      <c r="Y830" s="3"/>
      <c r="Z830" s="3"/>
      <c r="AA830" s="3"/>
      <c r="AB830" s="3"/>
      <c r="AC830" s="3"/>
      <c r="AD830" s="32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4"/>
      <c r="AT830" s="3"/>
      <c r="AU830" s="3"/>
      <c r="AV830" s="3"/>
      <c r="AW830" s="3"/>
      <c r="AX830" s="4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84"/>
      <c r="BZ830" s="84"/>
      <c r="CA830" s="84"/>
      <c r="CB830" s="84"/>
      <c r="CC830" s="84"/>
      <c r="CD830" s="84"/>
      <c r="CE830" s="84"/>
      <c r="CF830" s="84"/>
      <c r="CG830" s="84"/>
      <c r="CH830" s="84"/>
      <c r="CI830" s="84"/>
      <c r="CJ830" s="84"/>
      <c r="CK830" s="84"/>
      <c r="CL830" s="84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220"/>
      <c r="CY830" s="220"/>
      <c r="CZ830" s="220"/>
      <c r="DA830" s="220"/>
      <c r="DB830" s="237"/>
      <c r="DC830" s="238"/>
      <c r="DD830" s="238"/>
      <c r="DE830" s="238"/>
      <c r="DF830" s="238"/>
      <c r="DG830" s="238"/>
      <c r="DH830" s="238"/>
      <c r="DI830" s="238"/>
      <c r="DJ830" s="238"/>
      <c r="DK830" s="238"/>
      <c r="DL830" s="238"/>
      <c r="DM830" s="238"/>
      <c r="DN830" s="238"/>
      <c r="DO830" s="238"/>
      <c r="DP830" s="238"/>
      <c r="DQ830" s="238"/>
      <c r="DR830" s="238"/>
      <c r="DS830" s="238"/>
      <c r="DT830" s="238"/>
      <c r="DU830" s="238"/>
      <c r="DV830" s="238"/>
      <c r="DW830" s="238"/>
      <c r="DX830" s="238"/>
      <c r="DY830" s="238"/>
      <c r="DZ830" s="238"/>
      <c r="EA830" s="238"/>
      <c r="EB830" s="238"/>
      <c r="EC830" s="238"/>
      <c r="ED830" s="3"/>
      <c r="EE830" s="3"/>
      <c r="EF830" s="3"/>
      <c r="EG830" s="3"/>
      <c r="EH830" s="3"/>
    </row>
    <row r="831" spans="1:138" s="82" customFormat="1" x14ac:dyDescent="0.2">
      <c r="A831" s="3"/>
      <c r="B831" s="167"/>
      <c r="C831" s="3"/>
      <c r="D831" s="3"/>
      <c r="E831" s="31"/>
      <c r="F831" s="133"/>
      <c r="G831" s="3"/>
      <c r="H831" s="31"/>
      <c r="I831" s="31"/>
      <c r="J831" s="3"/>
      <c r="K831" s="3"/>
      <c r="L831" s="3"/>
      <c r="M831" s="3"/>
      <c r="N831" s="3"/>
      <c r="O831" s="3"/>
      <c r="P831" s="3"/>
      <c r="Q831" s="3"/>
      <c r="R831" s="32"/>
      <c r="S831" s="32"/>
      <c r="T831" s="3"/>
      <c r="U831" s="33"/>
      <c r="V831" s="33"/>
      <c r="W831" s="3"/>
      <c r="X831" s="3"/>
      <c r="Y831" s="3"/>
      <c r="Z831" s="3"/>
      <c r="AA831" s="3"/>
      <c r="AB831" s="3"/>
      <c r="AC831" s="3"/>
      <c r="AD831" s="32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4"/>
      <c r="AT831" s="3"/>
      <c r="AU831" s="3"/>
      <c r="AV831" s="3"/>
      <c r="AW831" s="3"/>
      <c r="AX831" s="4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84"/>
      <c r="BZ831" s="84"/>
      <c r="CA831" s="84"/>
      <c r="CB831" s="84"/>
      <c r="CC831" s="84"/>
      <c r="CD831" s="84"/>
      <c r="CE831" s="84"/>
      <c r="CF831" s="84"/>
      <c r="CG831" s="84"/>
      <c r="CH831" s="84"/>
      <c r="CI831" s="84"/>
      <c r="CJ831" s="84"/>
      <c r="CK831" s="84"/>
      <c r="CL831" s="84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220"/>
      <c r="CY831" s="220"/>
      <c r="CZ831" s="220"/>
      <c r="DA831" s="220"/>
      <c r="DB831" s="237"/>
      <c r="DC831" s="238"/>
      <c r="DD831" s="238"/>
      <c r="DE831" s="238"/>
      <c r="DF831" s="238"/>
      <c r="DG831" s="238"/>
      <c r="DH831" s="238"/>
      <c r="DI831" s="238"/>
      <c r="DJ831" s="238"/>
      <c r="DK831" s="238"/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38"/>
      <c r="DW831" s="238"/>
      <c r="DX831" s="238"/>
      <c r="DY831" s="238"/>
      <c r="DZ831" s="238"/>
      <c r="EA831" s="238"/>
      <c r="EB831" s="238"/>
      <c r="EC831" s="238"/>
      <c r="ED831" s="3"/>
      <c r="EE831" s="3"/>
      <c r="EF831" s="3"/>
      <c r="EG831" s="3"/>
      <c r="EH831" s="3"/>
    </row>
    <row r="832" spans="1:138" s="82" customFormat="1" x14ac:dyDescent="0.2">
      <c r="A832" s="3"/>
      <c r="B832" s="167"/>
      <c r="C832" s="3"/>
      <c r="D832" s="3"/>
      <c r="E832" s="31"/>
      <c r="F832" s="133"/>
      <c r="G832" s="3"/>
      <c r="H832" s="31"/>
      <c r="I832" s="31"/>
      <c r="J832" s="3"/>
      <c r="K832" s="3"/>
      <c r="L832" s="3"/>
      <c r="M832" s="3"/>
      <c r="N832" s="3"/>
      <c r="O832" s="3"/>
      <c r="P832" s="3"/>
      <c r="Q832" s="3"/>
      <c r="R832" s="32"/>
      <c r="S832" s="32"/>
      <c r="T832" s="3"/>
      <c r="U832" s="33"/>
      <c r="V832" s="33"/>
      <c r="W832" s="3"/>
      <c r="X832" s="3"/>
      <c r="Y832" s="3"/>
      <c r="Z832" s="3"/>
      <c r="AA832" s="3"/>
      <c r="AB832" s="3"/>
      <c r="AC832" s="3"/>
      <c r="AD832" s="32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4"/>
      <c r="AT832" s="3"/>
      <c r="AU832" s="3"/>
      <c r="AV832" s="3"/>
      <c r="AW832" s="3"/>
      <c r="AX832" s="4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84"/>
      <c r="BZ832" s="84"/>
      <c r="CA832" s="84"/>
      <c r="CB832" s="84"/>
      <c r="CC832" s="84"/>
      <c r="CD832" s="84"/>
      <c r="CE832" s="84"/>
      <c r="CF832" s="84"/>
      <c r="CG832" s="84"/>
      <c r="CH832" s="84"/>
      <c r="CI832" s="84"/>
      <c r="CJ832" s="84"/>
      <c r="CK832" s="84"/>
      <c r="CL832" s="84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220"/>
      <c r="CY832" s="220"/>
      <c r="CZ832" s="220"/>
      <c r="DA832" s="220"/>
      <c r="DB832" s="237"/>
      <c r="DC832" s="238"/>
      <c r="DD832" s="238"/>
      <c r="DE832" s="238"/>
      <c r="DF832" s="238"/>
      <c r="DG832" s="238"/>
      <c r="DH832" s="238"/>
      <c r="DI832" s="238"/>
      <c r="DJ832" s="238"/>
      <c r="DK832" s="238"/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38"/>
      <c r="DW832" s="238"/>
      <c r="DX832" s="238"/>
      <c r="DY832" s="238"/>
      <c r="DZ832" s="238"/>
      <c r="EA832" s="238"/>
      <c r="EB832" s="238"/>
      <c r="EC832" s="238"/>
      <c r="ED832" s="3"/>
      <c r="EE832" s="3"/>
      <c r="EF832" s="3"/>
      <c r="EG832" s="3"/>
      <c r="EH832" s="3"/>
    </row>
    <row r="833" spans="1:138" s="82" customFormat="1" x14ac:dyDescent="0.2">
      <c r="A833" s="3"/>
      <c r="B833" s="167"/>
      <c r="C833" s="3"/>
      <c r="D833" s="3"/>
      <c r="E833" s="31"/>
      <c r="F833" s="133"/>
      <c r="G833" s="3"/>
      <c r="H833" s="31"/>
      <c r="I833" s="31"/>
      <c r="J833" s="3"/>
      <c r="K833" s="3"/>
      <c r="L833" s="3"/>
      <c r="M833" s="3"/>
      <c r="N833" s="3"/>
      <c r="O833" s="3"/>
      <c r="P833" s="3"/>
      <c r="Q833" s="3"/>
      <c r="R833" s="32"/>
      <c r="S833" s="32"/>
      <c r="T833" s="3"/>
      <c r="U833" s="33"/>
      <c r="V833" s="33"/>
      <c r="W833" s="3"/>
      <c r="X833" s="3"/>
      <c r="Y833" s="3"/>
      <c r="Z833" s="3"/>
      <c r="AA833" s="3"/>
      <c r="AB833" s="3"/>
      <c r="AC833" s="3"/>
      <c r="AD833" s="32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4"/>
      <c r="AT833" s="3"/>
      <c r="AU833" s="3"/>
      <c r="AV833" s="3"/>
      <c r="AW833" s="3"/>
      <c r="AX833" s="4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84"/>
      <c r="BZ833" s="84"/>
      <c r="CA833" s="84"/>
      <c r="CB833" s="84"/>
      <c r="CC833" s="84"/>
      <c r="CD833" s="84"/>
      <c r="CE833" s="84"/>
      <c r="CF833" s="84"/>
      <c r="CG833" s="84"/>
      <c r="CH833" s="84"/>
      <c r="CI833" s="84"/>
      <c r="CJ833" s="84"/>
      <c r="CK833" s="84"/>
      <c r="CL833" s="84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220"/>
      <c r="CY833" s="220"/>
      <c r="CZ833" s="220"/>
      <c r="DA833" s="220"/>
      <c r="DB833" s="237"/>
      <c r="DC833" s="238"/>
      <c r="DD833" s="238"/>
      <c r="DE833" s="238"/>
      <c r="DF833" s="238"/>
      <c r="DG833" s="238"/>
      <c r="DH833" s="238"/>
      <c r="DI833" s="238"/>
      <c r="DJ833" s="238"/>
      <c r="DK833" s="238"/>
      <c r="DL833" s="238"/>
      <c r="DM833" s="238"/>
      <c r="DN833" s="238"/>
      <c r="DO833" s="238"/>
      <c r="DP833" s="238"/>
      <c r="DQ833" s="238"/>
      <c r="DR833" s="238"/>
      <c r="DS833" s="238"/>
      <c r="DT833" s="238"/>
      <c r="DU833" s="238"/>
      <c r="DV833" s="238"/>
      <c r="DW833" s="238"/>
      <c r="DX833" s="238"/>
      <c r="DY833" s="238"/>
      <c r="DZ833" s="238"/>
      <c r="EA833" s="238"/>
      <c r="EB833" s="238"/>
      <c r="EC833" s="238"/>
      <c r="ED833" s="3"/>
      <c r="EE833" s="3"/>
      <c r="EF833" s="3"/>
      <c r="EG833" s="3"/>
      <c r="EH833" s="3"/>
    </row>
    <row r="834" spans="1:138" s="82" customFormat="1" x14ac:dyDescent="0.2">
      <c r="A834" s="3"/>
      <c r="B834" s="167"/>
      <c r="C834" s="3"/>
      <c r="D834" s="3"/>
      <c r="E834" s="31"/>
      <c r="F834" s="133"/>
      <c r="G834" s="3"/>
      <c r="H834" s="31"/>
      <c r="I834" s="31"/>
      <c r="J834" s="3"/>
      <c r="K834" s="3"/>
      <c r="L834" s="3"/>
      <c r="M834" s="3"/>
      <c r="N834" s="3"/>
      <c r="O834" s="3"/>
      <c r="P834" s="3"/>
      <c r="Q834" s="3"/>
      <c r="R834" s="32"/>
      <c r="S834" s="32"/>
      <c r="T834" s="3"/>
      <c r="U834" s="33"/>
      <c r="V834" s="33"/>
      <c r="W834" s="3"/>
      <c r="X834" s="3"/>
      <c r="Y834" s="3"/>
      <c r="Z834" s="3"/>
      <c r="AA834" s="3"/>
      <c r="AB834" s="3"/>
      <c r="AC834" s="3"/>
      <c r="AD834" s="32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4"/>
      <c r="AT834" s="3"/>
      <c r="AU834" s="3"/>
      <c r="AV834" s="3"/>
      <c r="AW834" s="3"/>
      <c r="AX834" s="4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84"/>
      <c r="BZ834" s="84"/>
      <c r="CA834" s="84"/>
      <c r="CB834" s="84"/>
      <c r="CC834" s="84"/>
      <c r="CD834" s="84"/>
      <c r="CE834" s="84"/>
      <c r="CF834" s="84"/>
      <c r="CG834" s="84"/>
      <c r="CH834" s="84"/>
      <c r="CI834" s="84"/>
      <c r="CJ834" s="84"/>
      <c r="CK834" s="84"/>
      <c r="CL834" s="84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220"/>
      <c r="CY834" s="220"/>
      <c r="CZ834" s="220"/>
      <c r="DA834" s="220"/>
      <c r="DB834" s="237"/>
      <c r="DC834" s="238"/>
      <c r="DD834" s="238"/>
      <c r="DE834" s="238"/>
      <c r="DF834" s="238"/>
      <c r="DG834" s="238"/>
      <c r="DH834" s="238"/>
      <c r="DI834" s="238"/>
      <c r="DJ834" s="238"/>
      <c r="DK834" s="238"/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38"/>
      <c r="DW834" s="238"/>
      <c r="DX834" s="238"/>
      <c r="DY834" s="238"/>
      <c r="DZ834" s="238"/>
      <c r="EA834" s="238"/>
      <c r="EB834" s="238"/>
      <c r="EC834" s="238"/>
      <c r="ED834" s="3"/>
      <c r="EE834" s="3"/>
      <c r="EF834" s="3"/>
      <c r="EG834" s="3"/>
      <c r="EH834" s="3"/>
    </row>
    <row r="835" spans="1:138" s="82" customFormat="1" x14ac:dyDescent="0.2">
      <c r="A835" s="3"/>
      <c r="B835" s="167"/>
      <c r="C835" s="3"/>
      <c r="D835" s="3"/>
      <c r="E835" s="31"/>
      <c r="F835" s="133"/>
      <c r="G835" s="3"/>
      <c r="H835" s="31"/>
      <c r="I835" s="31"/>
      <c r="J835" s="3"/>
      <c r="K835" s="3"/>
      <c r="L835" s="3"/>
      <c r="M835" s="3"/>
      <c r="N835" s="3"/>
      <c r="O835" s="3"/>
      <c r="P835" s="3"/>
      <c r="Q835" s="3"/>
      <c r="R835" s="32"/>
      <c r="S835" s="32"/>
      <c r="T835" s="3"/>
      <c r="U835" s="33"/>
      <c r="V835" s="33"/>
      <c r="W835" s="3"/>
      <c r="X835" s="3"/>
      <c r="Y835" s="3"/>
      <c r="Z835" s="3"/>
      <c r="AA835" s="3"/>
      <c r="AB835" s="3"/>
      <c r="AC835" s="3"/>
      <c r="AD835" s="32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4"/>
      <c r="AT835" s="3"/>
      <c r="AU835" s="3"/>
      <c r="AV835" s="3"/>
      <c r="AW835" s="3"/>
      <c r="AX835" s="4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84"/>
      <c r="BZ835" s="84"/>
      <c r="CA835" s="84"/>
      <c r="CB835" s="84"/>
      <c r="CC835" s="84"/>
      <c r="CD835" s="84"/>
      <c r="CE835" s="84"/>
      <c r="CF835" s="84"/>
      <c r="CG835" s="84"/>
      <c r="CH835" s="84"/>
      <c r="CI835" s="84"/>
      <c r="CJ835" s="84"/>
      <c r="CK835" s="84"/>
      <c r="CL835" s="84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220"/>
      <c r="CY835" s="220"/>
      <c r="CZ835" s="220"/>
      <c r="DA835" s="220"/>
      <c r="DB835" s="237"/>
      <c r="DC835" s="238"/>
      <c r="DD835" s="238"/>
      <c r="DE835" s="238"/>
      <c r="DF835" s="238"/>
      <c r="DG835" s="238"/>
      <c r="DH835" s="238"/>
      <c r="DI835" s="238"/>
      <c r="DJ835" s="238"/>
      <c r="DK835" s="238"/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38"/>
      <c r="DW835" s="238"/>
      <c r="DX835" s="238"/>
      <c r="DY835" s="238"/>
      <c r="DZ835" s="238"/>
      <c r="EA835" s="238"/>
      <c r="EB835" s="238"/>
      <c r="EC835" s="238"/>
      <c r="ED835" s="3"/>
      <c r="EE835" s="3"/>
      <c r="EF835" s="3"/>
      <c r="EG835" s="3"/>
      <c r="EH835" s="3"/>
    </row>
    <row r="836" spans="1:138" s="82" customFormat="1" x14ac:dyDescent="0.2">
      <c r="A836" s="3"/>
      <c r="B836" s="167"/>
      <c r="C836" s="3"/>
      <c r="D836" s="3"/>
      <c r="E836" s="31"/>
      <c r="F836" s="133"/>
      <c r="G836" s="3"/>
      <c r="H836" s="31"/>
      <c r="I836" s="31"/>
      <c r="J836" s="3"/>
      <c r="K836" s="3"/>
      <c r="L836" s="3"/>
      <c r="M836" s="3"/>
      <c r="N836" s="3"/>
      <c r="O836" s="3"/>
      <c r="P836" s="3"/>
      <c r="Q836" s="3"/>
      <c r="R836" s="32"/>
      <c r="S836" s="32"/>
      <c r="T836" s="3"/>
      <c r="U836" s="33"/>
      <c r="V836" s="33"/>
      <c r="W836" s="3"/>
      <c r="X836" s="3"/>
      <c r="Y836" s="3"/>
      <c r="Z836" s="3"/>
      <c r="AA836" s="3"/>
      <c r="AB836" s="3"/>
      <c r="AC836" s="3"/>
      <c r="AD836" s="32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4"/>
      <c r="AT836" s="3"/>
      <c r="AU836" s="3"/>
      <c r="AV836" s="3"/>
      <c r="AW836" s="3"/>
      <c r="AX836" s="4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84"/>
      <c r="BZ836" s="84"/>
      <c r="CA836" s="84"/>
      <c r="CB836" s="84"/>
      <c r="CC836" s="84"/>
      <c r="CD836" s="84"/>
      <c r="CE836" s="84"/>
      <c r="CF836" s="84"/>
      <c r="CG836" s="84"/>
      <c r="CH836" s="84"/>
      <c r="CI836" s="84"/>
      <c r="CJ836" s="84"/>
      <c r="CK836" s="84"/>
      <c r="CL836" s="84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220"/>
      <c r="CY836" s="220"/>
      <c r="CZ836" s="220"/>
      <c r="DA836" s="220"/>
      <c r="DB836" s="237"/>
      <c r="DC836" s="238"/>
      <c r="DD836" s="238"/>
      <c r="DE836" s="238"/>
      <c r="DF836" s="238"/>
      <c r="DG836" s="238"/>
      <c r="DH836" s="238"/>
      <c r="DI836" s="238"/>
      <c r="DJ836" s="238"/>
      <c r="DK836" s="238"/>
      <c r="DL836" s="238"/>
      <c r="DM836" s="238"/>
      <c r="DN836" s="238"/>
      <c r="DO836" s="238"/>
      <c r="DP836" s="238"/>
      <c r="DQ836" s="238"/>
      <c r="DR836" s="238"/>
      <c r="DS836" s="238"/>
      <c r="DT836" s="238"/>
      <c r="DU836" s="238"/>
      <c r="DV836" s="238"/>
      <c r="DW836" s="238"/>
      <c r="DX836" s="238"/>
      <c r="DY836" s="238"/>
      <c r="DZ836" s="238"/>
      <c r="EA836" s="238"/>
      <c r="EB836" s="238"/>
      <c r="EC836" s="238"/>
      <c r="ED836" s="3"/>
      <c r="EE836" s="3"/>
      <c r="EF836" s="3"/>
      <c r="EG836" s="3"/>
      <c r="EH836" s="3"/>
    </row>
    <row r="837" spans="1:138" s="82" customFormat="1" x14ac:dyDescent="0.2">
      <c r="A837" s="3"/>
      <c r="B837" s="167"/>
      <c r="C837" s="3"/>
      <c r="D837" s="3"/>
      <c r="E837" s="31"/>
      <c r="F837" s="133"/>
      <c r="G837" s="3"/>
      <c r="H837" s="31"/>
      <c r="I837" s="31"/>
      <c r="J837" s="3"/>
      <c r="K837" s="3"/>
      <c r="L837" s="3"/>
      <c r="M837" s="3"/>
      <c r="N837" s="3"/>
      <c r="O837" s="3"/>
      <c r="P837" s="3"/>
      <c r="Q837" s="3"/>
      <c r="R837" s="32"/>
      <c r="S837" s="32"/>
      <c r="T837" s="3"/>
      <c r="U837" s="33"/>
      <c r="V837" s="33"/>
      <c r="W837" s="3"/>
      <c r="X837" s="3"/>
      <c r="Y837" s="3"/>
      <c r="Z837" s="3"/>
      <c r="AA837" s="3"/>
      <c r="AB837" s="3"/>
      <c r="AC837" s="3"/>
      <c r="AD837" s="32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4"/>
      <c r="AT837" s="3"/>
      <c r="AU837" s="3"/>
      <c r="AV837" s="3"/>
      <c r="AW837" s="3"/>
      <c r="AX837" s="4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84"/>
      <c r="BZ837" s="84"/>
      <c r="CA837" s="84"/>
      <c r="CB837" s="84"/>
      <c r="CC837" s="84"/>
      <c r="CD837" s="84"/>
      <c r="CE837" s="84"/>
      <c r="CF837" s="84"/>
      <c r="CG837" s="84"/>
      <c r="CH837" s="84"/>
      <c r="CI837" s="84"/>
      <c r="CJ837" s="84"/>
      <c r="CK837" s="84"/>
      <c r="CL837" s="84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220"/>
      <c r="CY837" s="220"/>
      <c r="CZ837" s="220"/>
      <c r="DA837" s="220"/>
      <c r="DB837" s="237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38"/>
      <c r="DW837" s="238"/>
      <c r="DX837" s="238"/>
      <c r="DY837" s="238"/>
      <c r="DZ837" s="238"/>
      <c r="EA837" s="238"/>
      <c r="EB837" s="238"/>
      <c r="EC837" s="238"/>
      <c r="ED837" s="3"/>
      <c r="EE837" s="3"/>
      <c r="EF837" s="3"/>
      <c r="EG837" s="3"/>
      <c r="EH837" s="3"/>
    </row>
    <row r="838" spans="1:138" s="82" customFormat="1" x14ac:dyDescent="0.2">
      <c r="A838" s="3"/>
      <c r="B838" s="167"/>
      <c r="C838" s="3"/>
      <c r="D838" s="3"/>
      <c r="E838" s="31"/>
      <c r="F838" s="133"/>
      <c r="G838" s="3"/>
      <c r="H838" s="31"/>
      <c r="I838" s="31"/>
      <c r="J838" s="3"/>
      <c r="K838" s="3"/>
      <c r="L838" s="3"/>
      <c r="M838" s="3"/>
      <c r="N838" s="3"/>
      <c r="O838" s="3"/>
      <c r="P838" s="3"/>
      <c r="Q838" s="3"/>
      <c r="R838" s="32"/>
      <c r="S838" s="32"/>
      <c r="T838" s="3"/>
      <c r="U838" s="33"/>
      <c r="V838" s="33"/>
      <c r="W838" s="3"/>
      <c r="X838" s="3"/>
      <c r="Y838" s="3"/>
      <c r="Z838" s="3"/>
      <c r="AA838" s="3"/>
      <c r="AB838" s="3"/>
      <c r="AC838" s="3"/>
      <c r="AD838" s="32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4"/>
      <c r="AT838" s="3"/>
      <c r="AU838" s="3"/>
      <c r="AV838" s="3"/>
      <c r="AW838" s="3"/>
      <c r="AX838" s="4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84"/>
      <c r="BZ838" s="84"/>
      <c r="CA838" s="84"/>
      <c r="CB838" s="84"/>
      <c r="CC838" s="84"/>
      <c r="CD838" s="84"/>
      <c r="CE838" s="84"/>
      <c r="CF838" s="84"/>
      <c r="CG838" s="84"/>
      <c r="CH838" s="84"/>
      <c r="CI838" s="84"/>
      <c r="CJ838" s="84"/>
      <c r="CK838" s="84"/>
      <c r="CL838" s="84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220"/>
      <c r="CY838" s="220"/>
      <c r="CZ838" s="220"/>
      <c r="DA838" s="220"/>
      <c r="DB838" s="237"/>
      <c r="DC838" s="238"/>
      <c r="DD838" s="238"/>
      <c r="DE838" s="238"/>
      <c r="DF838" s="238"/>
      <c r="DG838" s="238"/>
      <c r="DH838" s="238"/>
      <c r="DI838" s="238"/>
      <c r="DJ838" s="238"/>
      <c r="DK838" s="238"/>
      <c r="DL838" s="238"/>
      <c r="DM838" s="238"/>
      <c r="DN838" s="238"/>
      <c r="DO838" s="238"/>
      <c r="DP838" s="238"/>
      <c r="DQ838" s="238"/>
      <c r="DR838" s="238"/>
      <c r="DS838" s="238"/>
      <c r="DT838" s="238"/>
      <c r="DU838" s="238"/>
      <c r="DV838" s="238"/>
      <c r="DW838" s="238"/>
      <c r="DX838" s="238"/>
      <c r="DY838" s="238"/>
      <c r="DZ838" s="238"/>
      <c r="EA838" s="238"/>
      <c r="EB838" s="238"/>
      <c r="EC838" s="238"/>
      <c r="ED838" s="3"/>
      <c r="EE838" s="3"/>
      <c r="EF838" s="3"/>
      <c r="EG838" s="3"/>
      <c r="EH838" s="3"/>
    </row>
    <row r="839" spans="1:138" s="82" customFormat="1" x14ac:dyDescent="0.2">
      <c r="A839" s="3"/>
      <c r="B839" s="167"/>
      <c r="C839" s="3"/>
      <c r="D839" s="3"/>
      <c r="E839" s="31"/>
      <c r="F839" s="133"/>
      <c r="G839" s="3"/>
      <c r="H839" s="31"/>
      <c r="I839" s="31"/>
      <c r="J839" s="3"/>
      <c r="K839" s="3"/>
      <c r="L839" s="3"/>
      <c r="M839" s="3"/>
      <c r="N839" s="3"/>
      <c r="O839" s="3"/>
      <c r="P839" s="3"/>
      <c r="Q839" s="3"/>
      <c r="R839" s="32"/>
      <c r="S839" s="32"/>
      <c r="T839" s="3"/>
      <c r="U839" s="33"/>
      <c r="V839" s="33"/>
      <c r="W839" s="3"/>
      <c r="X839" s="3"/>
      <c r="Y839" s="3"/>
      <c r="Z839" s="3"/>
      <c r="AA839" s="3"/>
      <c r="AB839" s="3"/>
      <c r="AC839" s="3"/>
      <c r="AD839" s="32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4"/>
      <c r="AT839" s="3"/>
      <c r="AU839" s="3"/>
      <c r="AV839" s="3"/>
      <c r="AW839" s="3"/>
      <c r="AX839" s="4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84"/>
      <c r="BZ839" s="84"/>
      <c r="CA839" s="84"/>
      <c r="CB839" s="84"/>
      <c r="CC839" s="84"/>
      <c r="CD839" s="84"/>
      <c r="CE839" s="84"/>
      <c r="CF839" s="84"/>
      <c r="CG839" s="84"/>
      <c r="CH839" s="84"/>
      <c r="CI839" s="84"/>
      <c r="CJ839" s="84"/>
      <c r="CK839" s="84"/>
      <c r="CL839" s="84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220"/>
      <c r="CY839" s="220"/>
      <c r="CZ839" s="220"/>
      <c r="DA839" s="220"/>
      <c r="DB839" s="237"/>
      <c r="DC839" s="238"/>
      <c r="DD839" s="238"/>
      <c r="DE839" s="238"/>
      <c r="DF839" s="238"/>
      <c r="DG839" s="238"/>
      <c r="DH839" s="238"/>
      <c r="DI839" s="238"/>
      <c r="DJ839" s="238"/>
      <c r="DK839" s="238"/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38"/>
      <c r="DW839" s="238"/>
      <c r="DX839" s="238"/>
      <c r="DY839" s="238"/>
      <c r="DZ839" s="238"/>
      <c r="EA839" s="238"/>
      <c r="EB839" s="238"/>
      <c r="EC839" s="238"/>
      <c r="ED839" s="3"/>
      <c r="EE839" s="3"/>
      <c r="EF839" s="3"/>
      <c r="EG839" s="3"/>
      <c r="EH839" s="3"/>
    </row>
    <row r="840" spans="1:138" s="82" customFormat="1" x14ac:dyDescent="0.2">
      <c r="A840" s="3"/>
      <c r="B840" s="167"/>
      <c r="C840" s="3"/>
      <c r="D840" s="3"/>
      <c r="E840" s="31"/>
      <c r="F840" s="133"/>
      <c r="G840" s="3"/>
      <c r="H840" s="31"/>
      <c r="I840" s="31"/>
      <c r="J840" s="3"/>
      <c r="K840" s="3"/>
      <c r="L840" s="3"/>
      <c r="M840" s="3"/>
      <c r="N840" s="3"/>
      <c r="O840" s="3"/>
      <c r="P840" s="3"/>
      <c r="Q840" s="3"/>
      <c r="R840" s="32"/>
      <c r="S840" s="32"/>
      <c r="T840" s="3"/>
      <c r="U840" s="33"/>
      <c r="V840" s="33"/>
      <c r="W840" s="3"/>
      <c r="X840" s="3"/>
      <c r="Y840" s="3"/>
      <c r="Z840" s="3"/>
      <c r="AA840" s="3"/>
      <c r="AB840" s="3"/>
      <c r="AC840" s="3"/>
      <c r="AD840" s="32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4"/>
      <c r="AT840" s="3"/>
      <c r="AU840" s="3"/>
      <c r="AV840" s="3"/>
      <c r="AW840" s="3"/>
      <c r="AX840" s="4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84"/>
      <c r="BZ840" s="84"/>
      <c r="CA840" s="84"/>
      <c r="CB840" s="84"/>
      <c r="CC840" s="84"/>
      <c r="CD840" s="84"/>
      <c r="CE840" s="84"/>
      <c r="CF840" s="84"/>
      <c r="CG840" s="84"/>
      <c r="CH840" s="84"/>
      <c r="CI840" s="84"/>
      <c r="CJ840" s="84"/>
      <c r="CK840" s="84"/>
      <c r="CL840" s="84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220"/>
      <c r="CY840" s="220"/>
      <c r="CZ840" s="220"/>
      <c r="DA840" s="220"/>
      <c r="DB840" s="237"/>
      <c r="DC840" s="238"/>
      <c r="DD840" s="238"/>
      <c r="DE840" s="238"/>
      <c r="DF840" s="238"/>
      <c r="DG840" s="238"/>
      <c r="DH840" s="238"/>
      <c r="DI840" s="238"/>
      <c r="DJ840" s="238"/>
      <c r="DK840" s="238"/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38"/>
      <c r="DW840" s="238"/>
      <c r="DX840" s="238"/>
      <c r="DY840" s="238"/>
      <c r="DZ840" s="238"/>
      <c r="EA840" s="238"/>
      <c r="EB840" s="238"/>
      <c r="EC840" s="238"/>
      <c r="ED840" s="3"/>
      <c r="EE840" s="3"/>
      <c r="EF840" s="3"/>
      <c r="EG840" s="3"/>
      <c r="EH840" s="3"/>
    </row>
    <row r="841" spans="1:138" s="82" customFormat="1" x14ac:dyDescent="0.2">
      <c r="A841" s="3"/>
      <c r="B841" s="167"/>
      <c r="C841" s="3"/>
      <c r="D841" s="3"/>
      <c r="E841" s="31"/>
      <c r="F841" s="133"/>
      <c r="G841" s="3"/>
      <c r="H841" s="31"/>
      <c r="I841" s="31"/>
      <c r="J841" s="3"/>
      <c r="K841" s="3"/>
      <c r="L841" s="3"/>
      <c r="M841" s="3"/>
      <c r="N841" s="3"/>
      <c r="O841" s="3"/>
      <c r="P841" s="3"/>
      <c r="Q841" s="3"/>
      <c r="R841" s="32"/>
      <c r="S841" s="32"/>
      <c r="T841" s="3"/>
      <c r="U841" s="33"/>
      <c r="V841" s="33"/>
      <c r="W841" s="3"/>
      <c r="X841" s="3"/>
      <c r="Y841" s="3"/>
      <c r="Z841" s="3"/>
      <c r="AA841" s="3"/>
      <c r="AB841" s="3"/>
      <c r="AC841" s="3"/>
      <c r="AD841" s="32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4"/>
      <c r="AT841" s="3"/>
      <c r="AU841" s="3"/>
      <c r="AV841" s="3"/>
      <c r="AW841" s="3"/>
      <c r="AX841" s="4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84"/>
      <c r="BZ841" s="84"/>
      <c r="CA841" s="84"/>
      <c r="CB841" s="84"/>
      <c r="CC841" s="84"/>
      <c r="CD841" s="84"/>
      <c r="CE841" s="84"/>
      <c r="CF841" s="84"/>
      <c r="CG841" s="84"/>
      <c r="CH841" s="84"/>
      <c r="CI841" s="84"/>
      <c r="CJ841" s="84"/>
      <c r="CK841" s="84"/>
      <c r="CL841" s="84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220"/>
      <c r="CY841" s="220"/>
      <c r="CZ841" s="220"/>
      <c r="DA841" s="220"/>
      <c r="DB841" s="237"/>
      <c r="DC841" s="238"/>
      <c r="DD841" s="238"/>
      <c r="DE841" s="238"/>
      <c r="DF841" s="238"/>
      <c r="DG841" s="238"/>
      <c r="DH841" s="238"/>
      <c r="DI841" s="238"/>
      <c r="DJ841" s="238"/>
      <c r="DK841" s="238"/>
      <c r="DL841" s="238"/>
      <c r="DM841" s="238"/>
      <c r="DN841" s="238"/>
      <c r="DO841" s="238"/>
      <c r="DP841" s="238"/>
      <c r="DQ841" s="238"/>
      <c r="DR841" s="238"/>
      <c r="DS841" s="238"/>
      <c r="DT841" s="238"/>
      <c r="DU841" s="238"/>
      <c r="DV841" s="238"/>
      <c r="DW841" s="238"/>
      <c r="DX841" s="238"/>
      <c r="DY841" s="238"/>
      <c r="DZ841" s="238"/>
      <c r="EA841" s="238"/>
      <c r="EB841" s="238"/>
      <c r="EC841" s="238"/>
      <c r="ED841" s="3"/>
      <c r="EE841" s="3"/>
      <c r="EF841" s="3"/>
      <c r="EG841" s="3"/>
      <c r="EH841" s="3"/>
    </row>
    <row r="842" spans="1:138" s="82" customFormat="1" x14ac:dyDescent="0.2">
      <c r="A842" s="3"/>
      <c r="B842" s="167"/>
      <c r="C842" s="3"/>
      <c r="D842" s="3"/>
      <c r="E842" s="31"/>
      <c r="F842" s="133"/>
      <c r="G842" s="3"/>
      <c r="H842" s="31"/>
      <c r="I842" s="31"/>
      <c r="J842" s="3"/>
      <c r="K842" s="3"/>
      <c r="L842" s="3"/>
      <c r="M842" s="3"/>
      <c r="N842" s="3"/>
      <c r="O842" s="3"/>
      <c r="P842" s="3"/>
      <c r="Q842" s="3"/>
      <c r="R842" s="32"/>
      <c r="S842" s="32"/>
      <c r="T842" s="3"/>
      <c r="U842" s="33"/>
      <c r="V842" s="33"/>
      <c r="W842" s="3"/>
      <c r="X842" s="3"/>
      <c r="Y842" s="3"/>
      <c r="Z842" s="3"/>
      <c r="AA842" s="3"/>
      <c r="AB842" s="3"/>
      <c r="AC842" s="3"/>
      <c r="AD842" s="32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4"/>
      <c r="AT842" s="3"/>
      <c r="AU842" s="3"/>
      <c r="AV842" s="3"/>
      <c r="AW842" s="3"/>
      <c r="AX842" s="4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84"/>
      <c r="BZ842" s="84"/>
      <c r="CA842" s="84"/>
      <c r="CB842" s="84"/>
      <c r="CC842" s="84"/>
      <c r="CD842" s="84"/>
      <c r="CE842" s="84"/>
      <c r="CF842" s="84"/>
      <c r="CG842" s="84"/>
      <c r="CH842" s="84"/>
      <c r="CI842" s="84"/>
      <c r="CJ842" s="84"/>
      <c r="CK842" s="84"/>
      <c r="CL842" s="84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220"/>
      <c r="CY842" s="220"/>
      <c r="CZ842" s="220"/>
      <c r="DA842" s="220"/>
      <c r="DB842" s="237"/>
      <c r="DC842" s="238"/>
      <c r="DD842" s="238"/>
      <c r="DE842" s="238"/>
      <c r="DF842" s="238"/>
      <c r="DG842" s="238"/>
      <c r="DH842" s="238"/>
      <c r="DI842" s="238"/>
      <c r="DJ842" s="238"/>
      <c r="DK842" s="238"/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38"/>
      <c r="DW842" s="238"/>
      <c r="DX842" s="238"/>
      <c r="DY842" s="238"/>
      <c r="DZ842" s="238"/>
      <c r="EA842" s="238"/>
      <c r="EB842" s="238"/>
      <c r="EC842" s="238"/>
      <c r="ED842" s="3"/>
      <c r="EE842" s="3"/>
      <c r="EF842" s="3"/>
      <c r="EG842" s="3"/>
      <c r="EH842" s="3"/>
    </row>
    <row r="843" spans="1:138" s="82" customFormat="1" x14ac:dyDescent="0.2">
      <c r="A843" s="3"/>
      <c r="B843" s="167"/>
      <c r="C843" s="3"/>
      <c r="D843" s="3"/>
      <c r="E843" s="31"/>
      <c r="F843" s="133"/>
      <c r="G843" s="3"/>
      <c r="H843" s="31"/>
      <c r="I843" s="31"/>
      <c r="J843" s="3"/>
      <c r="K843" s="3"/>
      <c r="L843" s="3"/>
      <c r="M843" s="3"/>
      <c r="N843" s="3"/>
      <c r="O843" s="3"/>
      <c r="P843" s="3"/>
      <c r="Q843" s="3"/>
      <c r="R843" s="32"/>
      <c r="S843" s="32"/>
      <c r="T843" s="3"/>
      <c r="U843" s="33"/>
      <c r="V843" s="33"/>
      <c r="W843" s="3"/>
      <c r="X843" s="3"/>
      <c r="Y843" s="3"/>
      <c r="Z843" s="3"/>
      <c r="AA843" s="3"/>
      <c r="AB843" s="3"/>
      <c r="AC843" s="3"/>
      <c r="AD843" s="32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4"/>
      <c r="AT843" s="3"/>
      <c r="AU843" s="3"/>
      <c r="AV843" s="3"/>
      <c r="AW843" s="3"/>
      <c r="AX843" s="4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84"/>
      <c r="BZ843" s="84"/>
      <c r="CA843" s="84"/>
      <c r="CB843" s="84"/>
      <c r="CC843" s="84"/>
      <c r="CD843" s="84"/>
      <c r="CE843" s="84"/>
      <c r="CF843" s="84"/>
      <c r="CG843" s="84"/>
      <c r="CH843" s="84"/>
      <c r="CI843" s="84"/>
      <c r="CJ843" s="84"/>
      <c r="CK843" s="84"/>
      <c r="CL843" s="84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220"/>
      <c r="CY843" s="220"/>
      <c r="CZ843" s="220"/>
      <c r="DA843" s="220"/>
      <c r="DB843" s="237"/>
      <c r="DC843" s="238"/>
      <c r="DD843" s="238"/>
      <c r="DE843" s="238"/>
      <c r="DF843" s="238"/>
      <c r="DG843" s="238"/>
      <c r="DH843" s="238"/>
      <c r="DI843" s="238"/>
      <c r="DJ843" s="238"/>
      <c r="DK843" s="238"/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38"/>
      <c r="DW843" s="238"/>
      <c r="DX843" s="238"/>
      <c r="DY843" s="238"/>
      <c r="DZ843" s="238"/>
      <c r="EA843" s="238"/>
      <c r="EB843" s="238"/>
      <c r="EC843" s="238"/>
      <c r="ED843" s="3"/>
      <c r="EE843" s="3"/>
      <c r="EF843" s="3"/>
      <c r="EG843" s="3"/>
      <c r="EH843" s="3"/>
    </row>
    <row r="844" spans="1:138" s="82" customFormat="1" x14ac:dyDescent="0.2">
      <c r="A844" s="3"/>
      <c r="B844" s="167"/>
      <c r="C844" s="3"/>
      <c r="D844" s="3"/>
      <c r="E844" s="31"/>
      <c r="F844" s="133"/>
      <c r="G844" s="3"/>
      <c r="H844" s="31"/>
      <c r="I844" s="31"/>
      <c r="J844" s="3"/>
      <c r="K844" s="3"/>
      <c r="L844" s="3"/>
      <c r="M844" s="3"/>
      <c r="N844" s="3"/>
      <c r="O844" s="3"/>
      <c r="P844" s="3"/>
      <c r="Q844" s="3"/>
      <c r="R844" s="32"/>
      <c r="S844" s="32"/>
      <c r="T844" s="3"/>
      <c r="U844" s="33"/>
      <c r="V844" s="33"/>
      <c r="W844" s="3"/>
      <c r="X844" s="3"/>
      <c r="Y844" s="3"/>
      <c r="Z844" s="3"/>
      <c r="AA844" s="3"/>
      <c r="AB844" s="3"/>
      <c r="AC844" s="3"/>
      <c r="AD844" s="32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4"/>
      <c r="AT844" s="3"/>
      <c r="AU844" s="3"/>
      <c r="AV844" s="3"/>
      <c r="AW844" s="3"/>
      <c r="AX844" s="4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84"/>
      <c r="BZ844" s="84"/>
      <c r="CA844" s="84"/>
      <c r="CB844" s="84"/>
      <c r="CC844" s="84"/>
      <c r="CD844" s="84"/>
      <c r="CE844" s="84"/>
      <c r="CF844" s="84"/>
      <c r="CG844" s="84"/>
      <c r="CH844" s="84"/>
      <c r="CI844" s="84"/>
      <c r="CJ844" s="84"/>
      <c r="CK844" s="84"/>
      <c r="CL844" s="84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220"/>
      <c r="CY844" s="220"/>
      <c r="CZ844" s="220"/>
      <c r="DA844" s="220"/>
      <c r="DB844" s="237"/>
      <c r="DC844" s="238"/>
      <c r="DD844" s="238"/>
      <c r="DE844" s="238"/>
      <c r="DF844" s="238"/>
      <c r="DG844" s="238"/>
      <c r="DH844" s="238"/>
      <c r="DI844" s="238"/>
      <c r="DJ844" s="238"/>
      <c r="DK844" s="238"/>
      <c r="DL844" s="238"/>
      <c r="DM844" s="238"/>
      <c r="DN844" s="238"/>
      <c r="DO844" s="238"/>
      <c r="DP844" s="238"/>
      <c r="DQ844" s="238"/>
      <c r="DR844" s="238"/>
      <c r="DS844" s="238"/>
      <c r="DT844" s="238"/>
      <c r="DU844" s="238"/>
      <c r="DV844" s="238"/>
      <c r="DW844" s="238"/>
      <c r="DX844" s="238"/>
      <c r="DY844" s="238"/>
      <c r="DZ844" s="238"/>
      <c r="EA844" s="238"/>
      <c r="EB844" s="238"/>
      <c r="EC844" s="238"/>
      <c r="ED844" s="3"/>
      <c r="EE844" s="3"/>
      <c r="EF844" s="3"/>
      <c r="EG844" s="3"/>
      <c r="EH844" s="3"/>
    </row>
    <row r="845" spans="1:138" s="82" customFormat="1" x14ac:dyDescent="0.2">
      <c r="A845" s="3"/>
      <c r="B845" s="167"/>
      <c r="C845" s="3"/>
      <c r="D845" s="3"/>
      <c r="E845" s="31"/>
      <c r="F845" s="133"/>
      <c r="G845" s="3"/>
      <c r="H845" s="31"/>
      <c r="I845" s="31"/>
      <c r="J845" s="3"/>
      <c r="K845" s="3"/>
      <c r="L845" s="3"/>
      <c r="M845" s="3"/>
      <c r="N845" s="3"/>
      <c r="O845" s="3"/>
      <c r="P845" s="3"/>
      <c r="Q845" s="3"/>
      <c r="R845" s="32"/>
      <c r="S845" s="32"/>
      <c r="T845" s="3"/>
      <c r="U845" s="33"/>
      <c r="V845" s="33"/>
      <c r="W845" s="3"/>
      <c r="X845" s="3"/>
      <c r="Y845" s="3"/>
      <c r="Z845" s="3"/>
      <c r="AA845" s="3"/>
      <c r="AB845" s="3"/>
      <c r="AC845" s="3"/>
      <c r="AD845" s="32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4"/>
      <c r="AT845" s="3"/>
      <c r="AU845" s="3"/>
      <c r="AV845" s="3"/>
      <c r="AW845" s="3"/>
      <c r="AX845" s="4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84"/>
      <c r="BZ845" s="84"/>
      <c r="CA845" s="84"/>
      <c r="CB845" s="84"/>
      <c r="CC845" s="84"/>
      <c r="CD845" s="84"/>
      <c r="CE845" s="84"/>
      <c r="CF845" s="84"/>
      <c r="CG845" s="84"/>
      <c r="CH845" s="84"/>
      <c r="CI845" s="84"/>
      <c r="CJ845" s="84"/>
      <c r="CK845" s="84"/>
      <c r="CL845" s="84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220"/>
      <c r="CY845" s="220"/>
      <c r="CZ845" s="220"/>
      <c r="DA845" s="220"/>
      <c r="DB845" s="237"/>
      <c r="DC845" s="238"/>
      <c r="DD845" s="238"/>
      <c r="DE845" s="238"/>
      <c r="DF845" s="238"/>
      <c r="DG845" s="238"/>
      <c r="DH845" s="238"/>
      <c r="DI845" s="238"/>
      <c r="DJ845" s="238"/>
      <c r="DK845" s="238"/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38"/>
      <c r="DW845" s="238"/>
      <c r="DX845" s="238"/>
      <c r="DY845" s="238"/>
      <c r="DZ845" s="238"/>
      <c r="EA845" s="238"/>
      <c r="EB845" s="238"/>
      <c r="EC845" s="238"/>
      <c r="ED845" s="3"/>
      <c r="EE845" s="3"/>
      <c r="EF845" s="3"/>
      <c r="EG845" s="3"/>
      <c r="EH845" s="3"/>
    </row>
    <row r="846" spans="1:138" s="82" customFormat="1" x14ac:dyDescent="0.2">
      <c r="A846" s="3"/>
      <c r="B846" s="167"/>
      <c r="C846" s="3"/>
      <c r="D846" s="3"/>
      <c r="E846" s="31"/>
      <c r="F846" s="133"/>
      <c r="G846" s="3"/>
      <c r="H846" s="31"/>
      <c r="I846" s="31"/>
      <c r="J846" s="3"/>
      <c r="K846" s="3"/>
      <c r="L846" s="3"/>
      <c r="M846" s="3"/>
      <c r="N846" s="3"/>
      <c r="O846" s="3"/>
      <c r="P846" s="3"/>
      <c r="Q846" s="3"/>
      <c r="R846" s="32"/>
      <c r="S846" s="32"/>
      <c r="T846" s="3"/>
      <c r="U846" s="33"/>
      <c r="V846" s="33"/>
      <c r="W846" s="3"/>
      <c r="X846" s="3"/>
      <c r="Y846" s="3"/>
      <c r="Z846" s="3"/>
      <c r="AA846" s="3"/>
      <c r="AB846" s="3"/>
      <c r="AC846" s="3"/>
      <c r="AD846" s="32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4"/>
      <c r="AT846" s="3"/>
      <c r="AU846" s="3"/>
      <c r="AV846" s="3"/>
      <c r="AW846" s="3"/>
      <c r="AX846" s="4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84"/>
      <c r="BZ846" s="84"/>
      <c r="CA846" s="84"/>
      <c r="CB846" s="84"/>
      <c r="CC846" s="84"/>
      <c r="CD846" s="84"/>
      <c r="CE846" s="84"/>
      <c r="CF846" s="84"/>
      <c r="CG846" s="84"/>
      <c r="CH846" s="84"/>
      <c r="CI846" s="84"/>
      <c r="CJ846" s="84"/>
      <c r="CK846" s="84"/>
      <c r="CL846" s="84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220"/>
      <c r="CY846" s="220"/>
      <c r="CZ846" s="220"/>
      <c r="DA846" s="220"/>
      <c r="DB846" s="237"/>
      <c r="DC846" s="238"/>
      <c r="DD846" s="238"/>
      <c r="DE846" s="238"/>
      <c r="DF846" s="238"/>
      <c r="DG846" s="238"/>
      <c r="DH846" s="238"/>
      <c r="DI846" s="238"/>
      <c r="DJ846" s="238"/>
      <c r="DK846" s="238"/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38"/>
      <c r="DW846" s="238"/>
      <c r="DX846" s="238"/>
      <c r="DY846" s="238"/>
      <c r="DZ846" s="238"/>
      <c r="EA846" s="238"/>
      <c r="EB846" s="238"/>
      <c r="EC846" s="238"/>
      <c r="ED846" s="3"/>
      <c r="EE846" s="3"/>
      <c r="EF846" s="3"/>
      <c r="EG846" s="3"/>
      <c r="EH846" s="3"/>
    </row>
    <row r="847" spans="1:138" s="82" customFormat="1" x14ac:dyDescent="0.2">
      <c r="A847" s="3"/>
      <c r="B847" s="167"/>
      <c r="C847" s="3"/>
      <c r="D847" s="3"/>
      <c r="E847" s="31"/>
      <c r="F847" s="133"/>
      <c r="G847" s="3"/>
      <c r="H847" s="31"/>
      <c r="I847" s="31"/>
      <c r="J847" s="3"/>
      <c r="K847" s="3"/>
      <c r="L847" s="3"/>
      <c r="M847" s="3"/>
      <c r="N847" s="3"/>
      <c r="O847" s="3"/>
      <c r="P847" s="3"/>
      <c r="Q847" s="3"/>
      <c r="R847" s="32"/>
      <c r="S847" s="32"/>
      <c r="T847" s="3"/>
      <c r="U847" s="33"/>
      <c r="V847" s="33"/>
      <c r="W847" s="3"/>
      <c r="X847" s="3"/>
      <c r="Y847" s="3"/>
      <c r="Z847" s="3"/>
      <c r="AA847" s="3"/>
      <c r="AB847" s="3"/>
      <c r="AC847" s="3"/>
      <c r="AD847" s="32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4"/>
      <c r="AT847" s="3"/>
      <c r="AU847" s="3"/>
      <c r="AV847" s="3"/>
      <c r="AW847" s="3"/>
      <c r="AX847" s="4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84"/>
      <c r="BZ847" s="84"/>
      <c r="CA847" s="84"/>
      <c r="CB847" s="84"/>
      <c r="CC847" s="84"/>
      <c r="CD847" s="84"/>
      <c r="CE847" s="84"/>
      <c r="CF847" s="84"/>
      <c r="CG847" s="84"/>
      <c r="CH847" s="84"/>
      <c r="CI847" s="84"/>
      <c r="CJ847" s="84"/>
      <c r="CK847" s="84"/>
      <c r="CL847" s="84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220"/>
      <c r="CY847" s="220"/>
      <c r="CZ847" s="220"/>
      <c r="DA847" s="220"/>
      <c r="DB847" s="237"/>
      <c r="DC847" s="238"/>
      <c r="DD847" s="238"/>
      <c r="DE847" s="238"/>
      <c r="DF847" s="238"/>
      <c r="DG847" s="238"/>
      <c r="DH847" s="238"/>
      <c r="DI847" s="238"/>
      <c r="DJ847" s="238"/>
      <c r="DK847" s="238"/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38"/>
      <c r="DW847" s="238"/>
      <c r="DX847" s="238"/>
      <c r="DY847" s="238"/>
      <c r="DZ847" s="238"/>
      <c r="EA847" s="238"/>
      <c r="EB847" s="238"/>
      <c r="EC847" s="238"/>
      <c r="ED847" s="3"/>
      <c r="EE847" s="3"/>
      <c r="EF847" s="3"/>
      <c r="EG847" s="3"/>
      <c r="EH847" s="3"/>
    </row>
    <row r="848" spans="1:138" s="82" customFormat="1" x14ac:dyDescent="0.2">
      <c r="A848" s="3"/>
      <c r="B848" s="167"/>
      <c r="C848" s="3"/>
      <c r="D848" s="3"/>
      <c r="E848" s="31"/>
      <c r="F848" s="133"/>
      <c r="G848" s="3"/>
      <c r="H848" s="31"/>
      <c r="I848" s="31"/>
      <c r="J848" s="3"/>
      <c r="K848" s="3"/>
      <c r="L848" s="3"/>
      <c r="M848" s="3"/>
      <c r="N848" s="3"/>
      <c r="O848" s="3"/>
      <c r="P848" s="3"/>
      <c r="Q848" s="3"/>
      <c r="R848" s="32"/>
      <c r="S848" s="32"/>
      <c r="T848" s="3"/>
      <c r="U848" s="33"/>
      <c r="V848" s="33"/>
      <c r="W848" s="3"/>
      <c r="X848" s="3"/>
      <c r="Y848" s="3"/>
      <c r="Z848" s="3"/>
      <c r="AA848" s="3"/>
      <c r="AB848" s="3"/>
      <c r="AC848" s="3"/>
      <c r="AD848" s="32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4"/>
      <c r="AT848" s="3"/>
      <c r="AU848" s="3"/>
      <c r="AV848" s="3"/>
      <c r="AW848" s="3"/>
      <c r="AX848" s="4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84"/>
      <c r="BZ848" s="84"/>
      <c r="CA848" s="84"/>
      <c r="CB848" s="84"/>
      <c r="CC848" s="84"/>
      <c r="CD848" s="84"/>
      <c r="CE848" s="84"/>
      <c r="CF848" s="84"/>
      <c r="CG848" s="84"/>
      <c r="CH848" s="84"/>
      <c r="CI848" s="84"/>
      <c r="CJ848" s="84"/>
      <c r="CK848" s="84"/>
      <c r="CL848" s="84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220"/>
      <c r="CY848" s="220"/>
      <c r="CZ848" s="220"/>
      <c r="DA848" s="220"/>
      <c r="DB848" s="237"/>
      <c r="DC848" s="238"/>
      <c r="DD848" s="238"/>
      <c r="DE848" s="238"/>
      <c r="DF848" s="238"/>
      <c r="DG848" s="238"/>
      <c r="DH848" s="238"/>
      <c r="DI848" s="238"/>
      <c r="DJ848" s="238"/>
      <c r="DK848" s="238"/>
      <c r="DL848" s="238"/>
      <c r="DM848" s="238"/>
      <c r="DN848" s="238"/>
      <c r="DO848" s="238"/>
      <c r="DP848" s="238"/>
      <c r="DQ848" s="238"/>
      <c r="DR848" s="238"/>
      <c r="DS848" s="238"/>
      <c r="DT848" s="238"/>
      <c r="DU848" s="238"/>
      <c r="DV848" s="238"/>
      <c r="DW848" s="238"/>
      <c r="DX848" s="238"/>
      <c r="DY848" s="238"/>
      <c r="DZ848" s="238"/>
      <c r="EA848" s="238"/>
      <c r="EB848" s="238"/>
      <c r="EC848" s="238"/>
      <c r="ED848" s="3"/>
      <c r="EE848" s="3"/>
      <c r="EF848" s="3"/>
      <c r="EG848" s="3"/>
      <c r="EH848" s="3"/>
    </row>
    <row r="849" spans="5:40" x14ac:dyDescent="0.2">
      <c r="E849" s="31"/>
      <c r="F849" s="133"/>
      <c r="H849" s="31"/>
      <c r="I849" s="31"/>
      <c r="R849" s="32"/>
      <c r="S849" s="32"/>
      <c r="U849" s="33"/>
      <c r="V849" s="33"/>
      <c r="AD849" s="32"/>
    </row>
    <row r="850" spans="5:40" x14ac:dyDescent="0.2">
      <c r="E850" s="31"/>
      <c r="F850" s="133"/>
      <c r="H850" s="31"/>
      <c r="I850" s="31"/>
      <c r="R850" s="32"/>
      <c r="S850" s="32"/>
      <c r="U850" s="33"/>
      <c r="V850" s="33"/>
      <c r="AD850" s="32"/>
    </row>
    <row r="851" spans="5:40" x14ac:dyDescent="0.2">
      <c r="E851" s="31"/>
      <c r="F851" s="133"/>
      <c r="H851" s="31"/>
      <c r="I851" s="31"/>
      <c r="R851" s="32"/>
      <c r="S851" s="32"/>
      <c r="U851" s="33"/>
      <c r="V851" s="33"/>
      <c r="AD851" s="32"/>
    </row>
    <row r="852" spans="5:40" x14ac:dyDescent="0.2">
      <c r="E852" s="31"/>
      <c r="F852" s="133"/>
      <c r="H852" s="31"/>
      <c r="I852" s="31"/>
      <c r="R852" s="32"/>
      <c r="S852" s="32"/>
      <c r="U852" s="33"/>
      <c r="V852" s="33"/>
      <c r="AD852" s="32"/>
    </row>
    <row r="853" spans="5:40" x14ac:dyDescent="0.2">
      <c r="E853" s="31"/>
      <c r="F853" s="133"/>
      <c r="H853" s="31"/>
      <c r="I853" s="31"/>
      <c r="R853" s="32"/>
      <c r="S853" s="32"/>
      <c r="U853" s="33"/>
      <c r="V853" s="33"/>
      <c r="AD853" s="32"/>
    </row>
    <row r="854" spans="5:40" x14ac:dyDescent="0.2">
      <c r="E854" s="31"/>
      <c r="F854" s="133"/>
      <c r="I854" s="31"/>
      <c r="R854" s="32"/>
      <c r="S854" s="32"/>
      <c r="U854" s="33"/>
      <c r="V854" s="33"/>
      <c r="AD854" s="32"/>
    </row>
    <row r="855" spans="5:40" x14ac:dyDescent="0.2">
      <c r="E855" s="31"/>
      <c r="F855" s="133"/>
      <c r="H855" s="31"/>
      <c r="R855" s="32"/>
      <c r="S855" s="32"/>
      <c r="U855" s="33"/>
      <c r="V855" s="33"/>
      <c r="AD855" s="32"/>
    </row>
    <row r="856" spans="5:40" x14ac:dyDescent="0.2">
      <c r="E856" s="31"/>
      <c r="F856" s="133"/>
      <c r="H856" s="31"/>
      <c r="R856" s="32"/>
      <c r="S856" s="32"/>
      <c r="U856" s="33"/>
      <c r="V856" s="33"/>
      <c r="AD856" s="32"/>
    </row>
    <row r="857" spans="5:40" x14ac:dyDescent="0.2">
      <c r="E857" s="31"/>
      <c r="F857" s="133"/>
      <c r="H857" s="31"/>
      <c r="R857" s="32"/>
      <c r="S857" s="32"/>
      <c r="U857" s="33"/>
      <c r="V857" s="33"/>
      <c r="AD857" s="32"/>
    </row>
    <row r="858" spans="5:40" x14ac:dyDescent="0.2">
      <c r="E858" s="31"/>
      <c r="F858" s="133"/>
      <c r="H858" s="31"/>
      <c r="R858" s="32"/>
      <c r="S858" s="32"/>
      <c r="U858" s="33"/>
      <c r="V858" s="33"/>
      <c r="AD858" s="32"/>
    </row>
    <row r="859" spans="5:40" x14ac:dyDescent="0.2">
      <c r="E859" s="31"/>
      <c r="F859" s="133"/>
      <c r="H859" s="31"/>
      <c r="R859" s="32"/>
      <c r="S859" s="32"/>
      <c r="U859" s="33"/>
      <c r="V859" s="33"/>
      <c r="AD859" s="32"/>
    </row>
    <row r="860" spans="5:40" x14ac:dyDescent="0.2">
      <c r="E860" s="31"/>
      <c r="F860" s="133"/>
      <c r="G860" s="32"/>
      <c r="H860" s="31"/>
      <c r="J860" s="32"/>
      <c r="K860" s="32"/>
      <c r="N860" s="32"/>
      <c r="O860" s="32"/>
      <c r="P860" s="32"/>
      <c r="Q860" s="32"/>
      <c r="R860" s="32"/>
      <c r="S860" s="32"/>
      <c r="T860" s="32"/>
      <c r="U860" s="32"/>
      <c r="V860" s="32"/>
      <c r="AD860" s="32"/>
      <c r="AE860" s="119"/>
      <c r="AF860" s="32"/>
      <c r="AG860" s="32"/>
      <c r="AH860" s="32"/>
      <c r="AJ860" s="32"/>
      <c r="AK860" s="32"/>
      <c r="AL860" s="32"/>
      <c r="AM860" s="32"/>
      <c r="AN860" s="32"/>
    </row>
    <row r="861" spans="5:40" x14ac:dyDescent="0.2">
      <c r="E861" s="31"/>
      <c r="F861" s="133"/>
      <c r="H861" s="31"/>
      <c r="I861" s="31"/>
      <c r="R861" s="32"/>
      <c r="S861" s="32"/>
      <c r="U861" s="33"/>
      <c r="V861" s="33"/>
      <c r="AD861" s="32"/>
    </row>
    <row r="862" spans="5:40" x14ac:dyDescent="0.2">
      <c r="E862" s="31"/>
      <c r="F862" s="133"/>
      <c r="H862" s="31"/>
      <c r="I862" s="31"/>
      <c r="R862" s="32"/>
      <c r="S862" s="32"/>
      <c r="U862" s="33"/>
      <c r="V862" s="33"/>
      <c r="AD862" s="32"/>
    </row>
    <row r="863" spans="5:40" x14ac:dyDescent="0.2">
      <c r="E863" s="31"/>
      <c r="F863" s="133"/>
      <c r="H863" s="31"/>
      <c r="I863" s="31"/>
      <c r="R863" s="32"/>
      <c r="S863" s="32"/>
      <c r="U863" s="33"/>
      <c r="V863" s="33"/>
      <c r="AD863" s="32"/>
    </row>
    <row r="864" spans="5:40" x14ac:dyDescent="0.2">
      <c r="E864" s="31"/>
      <c r="F864" s="133"/>
      <c r="H864" s="31"/>
      <c r="I864" s="31"/>
      <c r="R864" s="32"/>
      <c r="S864" s="32"/>
      <c r="U864" s="33"/>
      <c r="V864" s="33"/>
      <c r="AD864" s="32"/>
    </row>
    <row r="865" spans="1:138" s="82" customFormat="1" x14ac:dyDescent="0.2">
      <c r="A865" s="3"/>
      <c r="B865" s="167"/>
      <c r="C865" s="3"/>
      <c r="D865" s="3"/>
      <c r="E865" s="31"/>
      <c r="F865" s="133"/>
      <c r="G865" s="3"/>
      <c r="H865" s="31"/>
      <c r="I865" s="31"/>
      <c r="J865" s="3"/>
      <c r="K865" s="3"/>
      <c r="L865" s="3"/>
      <c r="M865" s="3"/>
      <c r="N865" s="3"/>
      <c r="O865" s="3"/>
      <c r="P865" s="3"/>
      <c r="Q865" s="3"/>
      <c r="R865" s="32"/>
      <c r="S865" s="32"/>
      <c r="T865" s="3"/>
      <c r="U865" s="33"/>
      <c r="V865" s="33"/>
      <c r="W865" s="3"/>
      <c r="X865" s="3"/>
      <c r="Y865" s="3"/>
      <c r="Z865" s="3"/>
      <c r="AA865" s="3"/>
      <c r="AB865" s="3"/>
      <c r="AC865" s="3"/>
      <c r="AD865" s="32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4"/>
      <c r="AT865" s="3"/>
      <c r="AU865" s="3"/>
      <c r="AV865" s="3"/>
      <c r="AW865" s="3"/>
      <c r="AX865" s="4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84"/>
      <c r="BZ865" s="84"/>
      <c r="CA865" s="84"/>
      <c r="CB865" s="84"/>
      <c r="CC865" s="84"/>
      <c r="CD865" s="84"/>
      <c r="CE865" s="84"/>
      <c r="CF865" s="84"/>
      <c r="CG865" s="84"/>
      <c r="CH865" s="84"/>
      <c r="CI865" s="84"/>
      <c r="CJ865" s="84"/>
      <c r="CK865" s="84"/>
      <c r="CL865" s="84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220"/>
      <c r="CY865" s="220"/>
      <c r="CZ865" s="220"/>
      <c r="DA865" s="220"/>
      <c r="DB865" s="237"/>
      <c r="DC865" s="238"/>
      <c r="DD865" s="238"/>
      <c r="DE865" s="238"/>
      <c r="DF865" s="238"/>
      <c r="DG865" s="238"/>
      <c r="DH865" s="238"/>
      <c r="DI865" s="238"/>
      <c r="DJ865" s="238"/>
      <c r="DK865" s="238"/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38"/>
      <c r="DW865" s="238"/>
      <c r="DX865" s="238"/>
      <c r="DY865" s="238"/>
      <c r="DZ865" s="238"/>
      <c r="EA865" s="238"/>
      <c r="EB865" s="238"/>
      <c r="EC865" s="238"/>
      <c r="ED865" s="3"/>
      <c r="EE865" s="3"/>
      <c r="EF865" s="3"/>
      <c r="EG865" s="3"/>
      <c r="EH865" s="3"/>
    </row>
    <row r="866" spans="1:138" s="82" customFormat="1" x14ac:dyDescent="0.2">
      <c r="A866" s="3"/>
      <c r="B866" s="167"/>
      <c r="C866" s="3"/>
      <c r="D866" s="3"/>
      <c r="E866" s="31"/>
      <c r="F866" s="133"/>
      <c r="G866" s="3"/>
      <c r="H866" s="31"/>
      <c r="I866" s="31"/>
      <c r="J866" s="3"/>
      <c r="K866" s="3"/>
      <c r="L866" s="3"/>
      <c r="M866" s="3"/>
      <c r="N866" s="3"/>
      <c r="O866" s="3"/>
      <c r="P866" s="3"/>
      <c r="Q866" s="3"/>
      <c r="R866" s="32"/>
      <c r="S866" s="32"/>
      <c r="T866" s="3"/>
      <c r="U866" s="33"/>
      <c r="V866" s="33"/>
      <c r="W866" s="3"/>
      <c r="X866" s="3"/>
      <c r="Y866" s="3"/>
      <c r="Z866" s="3"/>
      <c r="AA866" s="3"/>
      <c r="AB866" s="3"/>
      <c r="AC866" s="3"/>
      <c r="AD866" s="32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4"/>
      <c r="AT866" s="3"/>
      <c r="AU866" s="3"/>
      <c r="AV866" s="3"/>
      <c r="AW866" s="3"/>
      <c r="AX866" s="4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84"/>
      <c r="BZ866" s="84"/>
      <c r="CA866" s="84"/>
      <c r="CB866" s="84"/>
      <c r="CC866" s="84"/>
      <c r="CD866" s="84"/>
      <c r="CE866" s="84"/>
      <c r="CF866" s="84"/>
      <c r="CG866" s="84"/>
      <c r="CH866" s="84"/>
      <c r="CI866" s="84"/>
      <c r="CJ866" s="84"/>
      <c r="CK866" s="84"/>
      <c r="CL866" s="84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220"/>
      <c r="CY866" s="220"/>
      <c r="CZ866" s="220"/>
      <c r="DA866" s="220"/>
      <c r="DB866" s="237"/>
      <c r="DC866" s="238"/>
      <c r="DD866" s="238"/>
      <c r="DE866" s="238"/>
      <c r="DF866" s="238"/>
      <c r="DG866" s="238"/>
      <c r="DH866" s="238"/>
      <c r="DI866" s="238"/>
      <c r="DJ866" s="238"/>
      <c r="DK866" s="238"/>
      <c r="DL866" s="238"/>
      <c r="DM866" s="238"/>
      <c r="DN866" s="238"/>
      <c r="DO866" s="238"/>
      <c r="DP866" s="238"/>
      <c r="DQ866" s="238"/>
      <c r="DR866" s="238"/>
      <c r="DS866" s="238"/>
      <c r="DT866" s="238"/>
      <c r="DU866" s="238"/>
      <c r="DV866" s="238"/>
      <c r="DW866" s="238"/>
      <c r="DX866" s="238"/>
      <c r="DY866" s="238"/>
      <c r="DZ866" s="238"/>
      <c r="EA866" s="238"/>
      <c r="EB866" s="238"/>
      <c r="EC866" s="238"/>
      <c r="ED866" s="3"/>
      <c r="EE866" s="3"/>
      <c r="EF866" s="3"/>
      <c r="EG866" s="3"/>
      <c r="EH866" s="3"/>
    </row>
    <row r="867" spans="1:138" s="82" customFormat="1" x14ac:dyDescent="0.2">
      <c r="A867" s="3"/>
      <c r="B867" s="167"/>
      <c r="C867" s="3"/>
      <c r="D867" s="3"/>
      <c r="E867" s="31"/>
      <c r="F867" s="133"/>
      <c r="G867" s="3"/>
      <c r="H867" s="31"/>
      <c r="I867" s="31"/>
      <c r="J867" s="3"/>
      <c r="K867" s="3"/>
      <c r="L867" s="3"/>
      <c r="M867" s="3"/>
      <c r="N867" s="3"/>
      <c r="O867" s="3"/>
      <c r="P867" s="3"/>
      <c r="Q867" s="3"/>
      <c r="R867" s="32"/>
      <c r="S867" s="32"/>
      <c r="T867" s="3"/>
      <c r="U867" s="33"/>
      <c r="V867" s="33"/>
      <c r="W867" s="3"/>
      <c r="X867" s="3"/>
      <c r="Y867" s="3"/>
      <c r="Z867" s="3"/>
      <c r="AA867" s="3"/>
      <c r="AB867" s="3"/>
      <c r="AC867" s="3"/>
      <c r="AD867" s="32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4"/>
      <c r="AT867" s="3"/>
      <c r="AU867" s="3"/>
      <c r="AV867" s="3"/>
      <c r="AW867" s="3"/>
      <c r="AX867" s="4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84"/>
      <c r="BZ867" s="84"/>
      <c r="CA867" s="84"/>
      <c r="CB867" s="84"/>
      <c r="CC867" s="84"/>
      <c r="CD867" s="84"/>
      <c r="CE867" s="84"/>
      <c r="CF867" s="84"/>
      <c r="CG867" s="84"/>
      <c r="CH867" s="84"/>
      <c r="CI867" s="84"/>
      <c r="CJ867" s="84"/>
      <c r="CK867" s="84"/>
      <c r="CL867" s="84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220"/>
      <c r="CY867" s="220"/>
      <c r="CZ867" s="220"/>
      <c r="DA867" s="220"/>
      <c r="DB867" s="237"/>
      <c r="DC867" s="238"/>
      <c r="DD867" s="238"/>
      <c r="DE867" s="238"/>
      <c r="DF867" s="238"/>
      <c r="DG867" s="238"/>
      <c r="DH867" s="238"/>
      <c r="DI867" s="238"/>
      <c r="DJ867" s="238"/>
      <c r="DK867" s="238"/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38"/>
      <c r="DW867" s="238"/>
      <c r="DX867" s="238"/>
      <c r="DY867" s="238"/>
      <c r="DZ867" s="238"/>
      <c r="EA867" s="238"/>
      <c r="EB867" s="238"/>
      <c r="EC867" s="238"/>
      <c r="ED867" s="3"/>
      <c r="EE867" s="3"/>
      <c r="EF867" s="3"/>
      <c r="EG867" s="3"/>
      <c r="EH867" s="3"/>
    </row>
    <row r="868" spans="1:138" s="82" customFormat="1" x14ac:dyDescent="0.2">
      <c r="A868" s="3"/>
      <c r="B868" s="167"/>
      <c r="C868" s="3"/>
      <c r="D868" s="3"/>
      <c r="E868" s="31"/>
      <c r="F868" s="133"/>
      <c r="G868" s="3"/>
      <c r="H868" s="31"/>
      <c r="I868" s="31"/>
      <c r="J868" s="3"/>
      <c r="K868" s="3"/>
      <c r="L868" s="3"/>
      <c r="M868" s="3"/>
      <c r="N868" s="3"/>
      <c r="O868" s="3"/>
      <c r="P868" s="3"/>
      <c r="Q868" s="3"/>
      <c r="R868" s="32"/>
      <c r="S868" s="32"/>
      <c r="T868" s="3"/>
      <c r="U868" s="33"/>
      <c r="V868" s="33"/>
      <c r="W868" s="3"/>
      <c r="X868" s="3"/>
      <c r="Y868" s="3"/>
      <c r="Z868" s="3"/>
      <c r="AA868" s="3"/>
      <c r="AB868" s="3"/>
      <c r="AC868" s="3"/>
      <c r="AD868" s="32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4"/>
      <c r="AT868" s="3"/>
      <c r="AU868" s="3"/>
      <c r="AV868" s="3"/>
      <c r="AW868" s="3"/>
      <c r="AX868" s="4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84"/>
      <c r="BZ868" s="84"/>
      <c r="CA868" s="84"/>
      <c r="CB868" s="84"/>
      <c r="CC868" s="84"/>
      <c r="CD868" s="84"/>
      <c r="CE868" s="84"/>
      <c r="CF868" s="84"/>
      <c r="CG868" s="84"/>
      <c r="CH868" s="84"/>
      <c r="CI868" s="84"/>
      <c r="CJ868" s="84"/>
      <c r="CK868" s="84"/>
      <c r="CL868" s="84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220"/>
      <c r="CY868" s="220"/>
      <c r="CZ868" s="220"/>
      <c r="DA868" s="220"/>
      <c r="DB868" s="237"/>
      <c r="DC868" s="238"/>
      <c r="DD868" s="238"/>
      <c r="DE868" s="238"/>
      <c r="DF868" s="238"/>
      <c r="DG868" s="238"/>
      <c r="DH868" s="238"/>
      <c r="DI868" s="238"/>
      <c r="DJ868" s="238"/>
      <c r="DK868" s="238"/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38"/>
      <c r="DW868" s="238"/>
      <c r="DX868" s="238"/>
      <c r="DY868" s="238"/>
      <c r="DZ868" s="238"/>
      <c r="EA868" s="238"/>
      <c r="EB868" s="238"/>
      <c r="EC868" s="238"/>
      <c r="ED868" s="3"/>
      <c r="EE868" s="3"/>
      <c r="EF868" s="3"/>
      <c r="EG868" s="3"/>
      <c r="EH868" s="3"/>
    </row>
    <row r="869" spans="1:138" s="82" customFormat="1" x14ac:dyDescent="0.2">
      <c r="A869" s="3"/>
      <c r="B869" s="167"/>
      <c r="C869" s="3"/>
      <c r="D869" s="3"/>
      <c r="E869" s="31"/>
      <c r="F869" s="133"/>
      <c r="G869" s="3"/>
      <c r="H869" s="31"/>
      <c r="I869" s="31"/>
      <c r="J869" s="3"/>
      <c r="K869" s="3"/>
      <c r="L869" s="3"/>
      <c r="M869" s="3"/>
      <c r="N869" s="3"/>
      <c r="O869" s="3"/>
      <c r="P869" s="3"/>
      <c r="Q869" s="3"/>
      <c r="R869" s="32"/>
      <c r="S869" s="32"/>
      <c r="T869" s="3"/>
      <c r="U869" s="33"/>
      <c r="V869" s="33"/>
      <c r="W869" s="3"/>
      <c r="X869" s="3"/>
      <c r="Y869" s="3"/>
      <c r="Z869" s="3"/>
      <c r="AA869" s="3"/>
      <c r="AB869" s="3"/>
      <c r="AC869" s="3"/>
      <c r="AD869" s="32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4"/>
      <c r="AT869" s="3"/>
      <c r="AU869" s="3"/>
      <c r="AV869" s="3"/>
      <c r="AW869" s="3"/>
      <c r="AX869" s="4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84"/>
      <c r="BZ869" s="84"/>
      <c r="CA869" s="84"/>
      <c r="CB869" s="84"/>
      <c r="CC869" s="84"/>
      <c r="CD869" s="84"/>
      <c r="CE869" s="84"/>
      <c r="CF869" s="84"/>
      <c r="CG869" s="84"/>
      <c r="CH869" s="84"/>
      <c r="CI869" s="84"/>
      <c r="CJ869" s="84"/>
      <c r="CK869" s="84"/>
      <c r="CL869" s="84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220"/>
      <c r="CY869" s="220"/>
      <c r="CZ869" s="220"/>
      <c r="DA869" s="220"/>
      <c r="DB869" s="237"/>
      <c r="DC869" s="238"/>
      <c r="DD869" s="238"/>
      <c r="DE869" s="238"/>
      <c r="DF869" s="238"/>
      <c r="DG869" s="238"/>
      <c r="DH869" s="238"/>
      <c r="DI869" s="238"/>
      <c r="DJ869" s="238"/>
      <c r="DK869" s="238"/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38"/>
      <c r="DW869" s="238"/>
      <c r="DX869" s="238"/>
      <c r="DY869" s="238"/>
      <c r="DZ869" s="238"/>
      <c r="EA869" s="238"/>
      <c r="EB869" s="238"/>
      <c r="EC869" s="238"/>
      <c r="ED869" s="3"/>
      <c r="EE869" s="3"/>
      <c r="EF869" s="3"/>
      <c r="EG869" s="3"/>
      <c r="EH869" s="3"/>
    </row>
    <row r="870" spans="1:138" s="82" customFormat="1" x14ac:dyDescent="0.2">
      <c r="A870" s="3"/>
      <c r="B870" s="167"/>
      <c r="C870" s="3"/>
      <c r="D870" s="3"/>
      <c r="E870" s="31"/>
      <c r="F870" s="133"/>
      <c r="G870" s="3"/>
      <c r="H870" s="31"/>
      <c r="I870" s="31"/>
      <c r="J870" s="3"/>
      <c r="K870" s="3"/>
      <c r="L870" s="3"/>
      <c r="M870" s="3"/>
      <c r="N870" s="3"/>
      <c r="O870" s="3"/>
      <c r="P870" s="3"/>
      <c r="Q870" s="3"/>
      <c r="R870" s="32"/>
      <c r="S870" s="32"/>
      <c r="T870" s="3"/>
      <c r="U870" s="33"/>
      <c r="V870" s="33"/>
      <c r="W870" s="3"/>
      <c r="X870" s="3"/>
      <c r="Y870" s="3"/>
      <c r="Z870" s="3"/>
      <c r="AA870" s="3"/>
      <c r="AB870" s="3"/>
      <c r="AC870" s="3"/>
      <c r="AD870" s="32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4"/>
      <c r="AT870" s="3"/>
      <c r="AU870" s="3"/>
      <c r="AV870" s="3"/>
      <c r="AW870" s="3"/>
      <c r="AX870" s="4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84"/>
      <c r="BZ870" s="84"/>
      <c r="CA870" s="84"/>
      <c r="CB870" s="84"/>
      <c r="CC870" s="84"/>
      <c r="CD870" s="84"/>
      <c r="CE870" s="84"/>
      <c r="CF870" s="84"/>
      <c r="CG870" s="84"/>
      <c r="CH870" s="84"/>
      <c r="CI870" s="84"/>
      <c r="CJ870" s="84"/>
      <c r="CK870" s="84"/>
      <c r="CL870" s="84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220"/>
      <c r="CY870" s="220"/>
      <c r="CZ870" s="220"/>
      <c r="DA870" s="220"/>
      <c r="DB870" s="237"/>
      <c r="DC870" s="238"/>
      <c r="DD870" s="238"/>
      <c r="DE870" s="238"/>
      <c r="DF870" s="238"/>
      <c r="DG870" s="238"/>
      <c r="DH870" s="238"/>
      <c r="DI870" s="238"/>
      <c r="DJ870" s="238"/>
      <c r="DK870" s="238"/>
      <c r="DL870" s="238"/>
      <c r="DM870" s="238"/>
      <c r="DN870" s="238"/>
      <c r="DO870" s="238"/>
      <c r="DP870" s="238"/>
      <c r="DQ870" s="238"/>
      <c r="DR870" s="238"/>
      <c r="DS870" s="238"/>
      <c r="DT870" s="238"/>
      <c r="DU870" s="238"/>
      <c r="DV870" s="238"/>
      <c r="DW870" s="238"/>
      <c r="DX870" s="238"/>
      <c r="DY870" s="238"/>
      <c r="DZ870" s="238"/>
      <c r="EA870" s="238"/>
      <c r="EB870" s="238"/>
      <c r="EC870" s="238"/>
      <c r="ED870" s="3"/>
      <c r="EE870" s="3"/>
      <c r="EF870" s="3"/>
      <c r="EG870" s="3"/>
      <c r="EH870" s="3"/>
    </row>
    <row r="871" spans="1:138" s="82" customFormat="1" x14ac:dyDescent="0.2">
      <c r="A871" s="3"/>
      <c r="B871" s="167"/>
      <c r="C871" s="3"/>
      <c r="D871" s="3"/>
      <c r="E871" s="31"/>
      <c r="F871" s="133"/>
      <c r="G871" s="3"/>
      <c r="H871" s="31"/>
      <c r="I871" s="31"/>
      <c r="J871" s="3"/>
      <c r="K871" s="3"/>
      <c r="L871" s="3"/>
      <c r="M871" s="3"/>
      <c r="N871" s="3"/>
      <c r="O871" s="3"/>
      <c r="P871" s="3"/>
      <c r="Q871" s="3"/>
      <c r="R871" s="32"/>
      <c r="S871" s="32"/>
      <c r="T871" s="3"/>
      <c r="U871" s="33"/>
      <c r="V871" s="33"/>
      <c r="W871" s="3"/>
      <c r="X871" s="3"/>
      <c r="Y871" s="3"/>
      <c r="Z871" s="3"/>
      <c r="AA871" s="3"/>
      <c r="AB871" s="3"/>
      <c r="AC871" s="3"/>
      <c r="AD871" s="32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4"/>
      <c r="AT871" s="3"/>
      <c r="AU871" s="3"/>
      <c r="AV871" s="3"/>
      <c r="AW871" s="3"/>
      <c r="AX871" s="4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84"/>
      <c r="BZ871" s="84"/>
      <c r="CA871" s="84"/>
      <c r="CB871" s="84"/>
      <c r="CC871" s="84"/>
      <c r="CD871" s="84"/>
      <c r="CE871" s="84"/>
      <c r="CF871" s="84"/>
      <c r="CG871" s="84"/>
      <c r="CH871" s="84"/>
      <c r="CI871" s="84"/>
      <c r="CJ871" s="84"/>
      <c r="CK871" s="84"/>
      <c r="CL871" s="84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220"/>
      <c r="CY871" s="220"/>
      <c r="CZ871" s="220"/>
      <c r="DA871" s="220"/>
      <c r="DB871" s="237"/>
      <c r="DC871" s="238"/>
      <c r="DD871" s="238"/>
      <c r="DE871" s="238"/>
      <c r="DF871" s="238"/>
      <c r="DG871" s="238"/>
      <c r="DH871" s="238"/>
      <c r="DI871" s="238"/>
      <c r="DJ871" s="238"/>
      <c r="DK871" s="238"/>
      <c r="DL871" s="238"/>
      <c r="DM871" s="238"/>
      <c r="DN871" s="238"/>
      <c r="DO871" s="238"/>
      <c r="DP871" s="238"/>
      <c r="DQ871" s="238"/>
      <c r="DR871" s="238"/>
      <c r="DS871" s="238"/>
      <c r="DT871" s="238"/>
      <c r="DU871" s="238"/>
      <c r="DV871" s="238"/>
      <c r="DW871" s="238"/>
      <c r="DX871" s="238"/>
      <c r="DY871" s="238"/>
      <c r="DZ871" s="238"/>
      <c r="EA871" s="238"/>
      <c r="EB871" s="238"/>
      <c r="EC871" s="238"/>
      <c r="ED871" s="3"/>
      <c r="EE871" s="3"/>
      <c r="EF871" s="3"/>
      <c r="EG871" s="3"/>
      <c r="EH871" s="3"/>
    </row>
    <row r="872" spans="1:138" s="82" customFormat="1" x14ac:dyDescent="0.2">
      <c r="A872" s="3"/>
      <c r="B872" s="167"/>
      <c r="C872" s="3"/>
      <c r="D872" s="3"/>
      <c r="E872" s="31"/>
      <c r="F872" s="133"/>
      <c r="G872" s="3"/>
      <c r="H872" s="31"/>
      <c r="I872" s="31"/>
      <c r="J872" s="3"/>
      <c r="K872" s="3"/>
      <c r="L872" s="3"/>
      <c r="M872" s="3"/>
      <c r="N872" s="3"/>
      <c r="O872" s="3"/>
      <c r="P872" s="3"/>
      <c r="Q872" s="3"/>
      <c r="R872" s="32"/>
      <c r="S872" s="32"/>
      <c r="T872" s="3"/>
      <c r="U872" s="33"/>
      <c r="V872" s="33"/>
      <c r="W872" s="3"/>
      <c r="X872" s="3"/>
      <c r="Y872" s="3"/>
      <c r="Z872" s="3"/>
      <c r="AA872" s="3"/>
      <c r="AB872" s="3"/>
      <c r="AC872" s="3"/>
      <c r="AD872" s="32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4"/>
      <c r="AT872" s="3"/>
      <c r="AU872" s="3"/>
      <c r="AV872" s="3"/>
      <c r="AW872" s="3"/>
      <c r="AX872" s="4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84"/>
      <c r="BZ872" s="84"/>
      <c r="CA872" s="84"/>
      <c r="CB872" s="84"/>
      <c r="CC872" s="84"/>
      <c r="CD872" s="84"/>
      <c r="CE872" s="84"/>
      <c r="CF872" s="84"/>
      <c r="CG872" s="84"/>
      <c r="CH872" s="84"/>
      <c r="CI872" s="84"/>
      <c r="CJ872" s="84"/>
      <c r="CK872" s="84"/>
      <c r="CL872" s="84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220"/>
      <c r="CY872" s="220"/>
      <c r="CZ872" s="220"/>
      <c r="DA872" s="220"/>
      <c r="DB872" s="237"/>
      <c r="DC872" s="238"/>
      <c r="DD872" s="238"/>
      <c r="DE872" s="238"/>
      <c r="DF872" s="238"/>
      <c r="DG872" s="238"/>
      <c r="DH872" s="238"/>
      <c r="DI872" s="238"/>
      <c r="DJ872" s="238"/>
      <c r="DK872" s="238"/>
      <c r="DL872" s="238"/>
      <c r="DM872" s="238"/>
      <c r="DN872" s="238"/>
      <c r="DO872" s="238"/>
      <c r="DP872" s="238"/>
      <c r="DQ872" s="238"/>
      <c r="DR872" s="238"/>
      <c r="DS872" s="238"/>
      <c r="DT872" s="238"/>
      <c r="DU872" s="238"/>
      <c r="DV872" s="238"/>
      <c r="DW872" s="238"/>
      <c r="DX872" s="238"/>
      <c r="DY872" s="238"/>
      <c r="DZ872" s="238"/>
      <c r="EA872" s="238"/>
      <c r="EB872" s="238"/>
      <c r="EC872" s="238"/>
      <c r="ED872" s="3"/>
      <c r="EE872" s="3"/>
      <c r="EF872" s="3"/>
      <c r="EG872" s="3"/>
      <c r="EH872" s="3"/>
    </row>
    <row r="873" spans="1:138" s="82" customFormat="1" x14ac:dyDescent="0.2">
      <c r="A873" s="3"/>
      <c r="B873" s="167"/>
      <c r="C873" s="3"/>
      <c r="D873" s="3"/>
      <c r="E873" s="31"/>
      <c r="F873" s="133"/>
      <c r="G873" s="3"/>
      <c r="H873" s="31"/>
      <c r="I873" s="31"/>
      <c r="J873" s="3"/>
      <c r="K873" s="3"/>
      <c r="L873" s="3"/>
      <c r="M873" s="3"/>
      <c r="N873" s="3"/>
      <c r="O873" s="3"/>
      <c r="P873" s="3"/>
      <c r="Q873" s="3"/>
      <c r="R873" s="32"/>
      <c r="S873" s="32"/>
      <c r="T873" s="3"/>
      <c r="U873" s="33"/>
      <c r="V873" s="33"/>
      <c r="W873" s="3"/>
      <c r="X873" s="3"/>
      <c r="Y873" s="3"/>
      <c r="Z873" s="3"/>
      <c r="AA873" s="3"/>
      <c r="AB873" s="3"/>
      <c r="AC873" s="3"/>
      <c r="AD873" s="32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4"/>
      <c r="AT873" s="3"/>
      <c r="AU873" s="3"/>
      <c r="AV873" s="3"/>
      <c r="AW873" s="3"/>
      <c r="AX873" s="4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84"/>
      <c r="BZ873" s="84"/>
      <c r="CA873" s="84"/>
      <c r="CB873" s="84"/>
      <c r="CC873" s="84"/>
      <c r="CD873" s="84"/>
      <c r="CE873" s="84"/>
      <c r="CF873" s="84"/>
      <c r="CG873" s="84"/>
      <c r="CH873" s="84"/>
      <c r="CI873" s="84"/>
      <c r="CJ873" s="84"/>
      <c r="CK873" s="84"/>
      <c r="CL873" s="84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220"/>
      <c r="CY873" s="220"/>
      <c r="CZ873" s="220"/>
      <c r="DA873" s="220"/>
      <c r="DB873" s="237"/>
      <c r="DC873" s="238"/>
      <c r="DD873" s="238"/>
      <c r="DE873" s="238"/>
      <c r="DF873" s="238"/>
      <c r="DG873" s="238"/>
      <c r="DH873" s="238"/>
      <c r="DI873" s="238"/>
      <c r="DJ873" s="238"/>
      <c r="DK873" s="238"/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38"/>
      <c r="DW873" s="238"/>
      <c r="DX873" s="238"/>
      <c r="DY873" s="238"/>
      <c r="DZ873" s="238"/>
      <c r="EA873" s="238"/>
      <c r="EB873" s="238"/>
      <c r="EC873" s="238"/>
      <c r="ED873" s="3"/>
      <c r="EE873" s="3"/>
      <c r="EF873" s="3"/>
      <c r="EG873" s="3"/>
      <c r="EH873" s="3"/>
    </row>
    <row r="874" spans="1:138" s="82" customFormat="1" x14ac:dyDescent="0.2">
      <c r="A874" s="3"/>
      <c r="B874" s="167"/>
      <c r="C874" s="3"/>
      <c r="D874" s="3"/>
      <c r="E874" s="31"/>
      <c r="F874" s="133"/>
      <c r="G874" s="3"/>
      <c r="H874" s="31"/>
      <c r="I874" s="31"/>
      <c r="J874" s="3"/>
      <c r="K874" s="3"/>
      <c r="L874" s="3"/>
      <c r="M874" s="3"/>
      <c r="N874" s="3"/>
      <c r="O874" s="3"/>
      <c r="P874" s="3"/>
      <c r="Q874" s="3"/>
      <c r="R874" s="32"/>
      <c r="S874" s="32"/>
      <c r="T874" s="3"/>
      <c r="U874" s="33"/>
      <c r="V874" s="33"/>
      <c r="W874" s="3"/>
      <c r="X874" s="3"/>
      <c r="Y874" s="3"/>
      <c r="Z874" s="3"/>
      <c r="AA874" s="3"/>
      <c r="AB874" s="3"/>
      <c r="AC874" s="3"/>
      <c r="AD874" s="32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4"/>
      <c r="AT874" s="3"/>
      <c r="AU874" s="3"/>
      <c r="AV874" s="3"/>
      <c r="AW874" s="3"/>
      <c r="AX874" s="4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84"/>
      <c r="BZ874" s="84"/>
      <c r="CA874" s="84"/>
      <c r="CB874" s="84"/>
      <c r="CC874" s="84"/>
      <c r="CD874" s="84"/>
      <c r="CE874" s="84"/>
      <c r="CF874" s="84"/>
      <c r="CG874" s="84"/>
      <c r="CH874" s="84"/>
      <c r="CI874" s="84"/>
      <c r="CJ874" s="84"/>
      <c r="CK874" s="84"/>
      <c r="CL874" s="84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220"/>
      <c r="CY874" s="220"/>
      <c r="CZ874" s="220"/>
      <c r="DA874" s="220"/>
      <c r="DB874" s="237"/>
      <c r="DC874" s="238"/>
      <c r="DD874" s="238"/>
      <c r="DE874" s="238"/>
      <c r="DF874" s="238"/>
      <c r="DG874" s="238"/>
      <c r="DH874" s="238"/>
      <c r="DI874" s="238"/>
      <c r="DJ874" s="238"/>
      <c r="DK874" s="238"/>
      <c r="DL874" s="238"/>
      <c r="DM874" s="238"/>
      <c r="DN874" s="238"/>
      <c r="DO874" s="238"/>
      <c r="DP874" s="238"/>
      <c r="DQ874" s="238"/>
      <c r="DR874" s="238"/>
      <c r="DS874" s="238"/>
      <c r="DT874" s="238"/>
      <c r="DU874" s="238"/>
      <c r="DV874" s="238"/>
      <c r="DW874" s="238"/>
      <c r="DX874" s="238"/>
      <c r="DY874" s="238"/>
      <c r="DZ874" s="238"/>
      <c r="EA874" s="238"/>
      <c r="EB874" s="238"/>
      <c r="EC874" s="238"/>
      <c r="ED874" s="3"/>
      <c r="EE874" s="3"/>
      <c r="EF874" s="3"/>
      <c r="EG874" s="3"/>
      <c r="EH874" s="3"/>
    </row>
    <row r="875" spans="1:138" s="82" customFormat="1" x14ac:dyDescent="0.2">
      <c r="A875" s="3"/>
      <c r="B875" s="167"/>
      <c r="C875" s="3"/>
      <c r="D875" s="3"/>
      <c r="E875" s="31"/>
      <c r="F875" s="133"/>
      <c r="G875" s="3"/>
      <c r="H875" s="31"/>
      <c r="I875" s="31"/>
      <c r="J875" s="3"/>
      <c r="K875" s="3"/>
      <c r="L875" s="3"/>
      <c r="M875" s="3"/>
      <c r="N875" s="3"/>
      <c r="O875" s="3"/>
      <c r="P875" s="3"/>
      <c r="Q875" s="3"/>
      <c r="R875" s="32"/>
      <c r="S875" s="32"/>
      <c r="T875" s="3"/>
      <c r="U875" s="33"/>
      <c r="V875" s="33"/>
      <c r="W875" s="3"/>
      <c r="X875" s="3"/>
      <c r="Y875" s="3"/>
      <c r="Z875" s="3"/>
      <c r="AA875" s="3"/>
      <c r="AB875" s="3"/>
      <c r="AC875" s="3"/>
      <c r="AD875" s="32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4"/>
      <c r="AT875" s="3"/>
      <c r="AU875" s="3"/>
      <c r="AV875" s="3"/>
      <c r="AW875" s="3"/>
      <c r="AX875" s="4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84"/>
      <c r="BZ875" s="84"/>
      <c r="CA875" s="84"/>
      <c r="CB875" s="84"/>
      <c r="CC875" s="84"/>
      <c r="CD875" s="84"/>
      <c r="CE875" s="84"/>
      <c r="CF875" s="84"/>
      <c r="CG875" s="84"/>
      <c r="CH875" s="84"/>
      <c r="CI875" s="84"/>
      <c r="CJ875" s="84"/>
      <c r="CK875" s="84"/>
      <c r="CL875" s="84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220"/>
      <c r="CY875" s="220"/>
      <c r="CZ875" s="220"/>
      <c r="DA875" s="220"/>
      <c r="DB875" s="237"/>
      <c r="DC875" s="238"/>
      <c r="DD875" s="238"/>
      <c r="DE875" s="238"/>
      <c r="DF875" s="238"/>
      <c r="DG875" s="238"/>
      <c r="DH875" s="238"/>
      <c r="DI875" s="238"/>
      <c r="DJ875" s="238"/>
      <c r="DK875" s="238"/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38"/>
      <c r="DW875" s="238"/>
      <c r="DX875" s="238"/>
      <c r="DY875" s="238"/>
      <c r="DZ875" s="238"/>
      <c r="EA875" s="238"/>
      <c r="EB875" s="238"/>
      <c r="EC875" s="238"/>
      <c r="ED875" s="3"/>
      <c r="EE875" s="3"/>
      <c r="EF875" s="3"/>
      <c r="EG875" s="3"/>
      <c r="EH875" s="3"/>
    </row>
    <row r="876" spans="1:138" s="82" customFormat="1" x14ac:dyDescent="0.2">
      <c r="A876" s="3"/>
      <c r="B876" s="167"/>
      <c r="C876" s="3"/>
      <c r="D876" s="3"/>
      <c r="E876" s="31"/>
      <c r="F876" s="133"/>
      <c r="G876" s="3"/>
      <c r="H876" s="31"/>
      <c r="I876" s="31"/>
      <c r="J876" s="3"/>
      <c r="K876" s="3"/>
      <c r="L876" s="3"/>
      <c r="M876" s="3"/>
      <c r="N876" s="3"/>
      <c r="O876" s="3"/>
      <c r="P876" s="3"/>
      <c r="Q876" s="3"/>
      <c r="R876" s="32"/>
      <c r="S876" s="32"/>
      <c r="T876" s="3"/>
      <c r="U876" s="33"/>
      <c r="V876" s="33"/>
      <c r="W876" s="3"/>
      <c r="X876" s="3"/>
      <c r="Y876" s="3"/>
      <c r="Z876" s="3"/>
      <c r="AA876" s="3"/>
      <c r="AB876" s="3"/>
      <c r="AC876" s="3"/>
      <c r="AD876" s="32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4"/>
      <c r="AT876" s="3"/>
      <c r="AU876" s="3"/>
      <c r="AV876" s="3"/>
      <c r="AW876" s="3"/>
      <c r="AX876" s="4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84"/>
      <c r="BZ876" s="84"/>
      <c r="CA876" s="84"/>
      <c r="CB876" s="84"/>
      <c r="CC876" s="84"/>
      <c r="CD876" s="84"/>
      <c r="CE876" s="84"/>
      <c r="CF876" s="84"/>
      <c r="CG876" s="84"/>
      <c r="CH876" s="84"/>
      <c r="CI876" s="84"/>
      <c r="CJ876" s="84"/>
      <c r="CK876" s="84"/>
      <c r="CL876" s="84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220"/>
      <c r="CY876" s="220"/>
      <c r="CZ876" s="220"/>
      <c r="DA876" s="220"/>
      <c r="DB876" s="237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238"/>
      <c r="EC876" s="238"/>
      <c r="ED876" s="3"/>
      <c r="EE876" s="3"/>
      <c r="EF876" s="3"/>
      <c r="EG876" s="3"/>
      <c r="EH876" s="3"/>
    </row>
    <row r="877" spans="1:138" s="82" customFormat="1" x14ac:dyDescent="0.2">
      <c r="A877" s="3"/>
      <c r="B877" s="167"/>
      <c r="C877" s="3"/>
      <c r="D877" s="3"/>
      <c r="E877" s="31"/>
      <c r="F877" s="133"/>
      <c r="G877" s="3"/>
      <c r="H877" s="31"/>
      <c r="I877" s="31"/>
      <c r="J877" s="3"/>
      <c r="K877" s="3"/>
      <c r="L877" s="3"/>
      <c r="M877" s="3"/>
      <c r="N877" s="3"/>
      <c r="O877" s="3"/>
      <c r="P877" s="3"/>
      <c r="Q877" s="3"/>
      <c r="R877" s="32"/>
      <c r="S877" s="32"/>
      <c r="T877" s="3"/>
      <c r="U877" s="33"/>
      <c r="V877" s="33"/>
      <c r="W877" s="3"/>
      <c r="X877" s="3"/>
      <c r="Y877" s="3"/>
      <c r="Z877" s="3"/>
      <c r="AA877" s="3"/>
      <c r="AB877" s="3"/>
      <c r="AC877" s="3"/>
      <c r="AD877" s="32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4"/>
      <c r="AT877" s="3"/>
      <c r="AU877" s="3"/>
      <c r="AV877" s="3"/>
      <c r="AW877" s="3"/>
      <c r="AX877" s="4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84"/>
      <c r="BZ877" s="84"/>
      <c r="CA877" s="84"/>
      <c r="CB877" s="84"/>
      <c r="CC877" s="84"/>
      <c r="CD877" s="84"/>
      <c r="CE877" s="84"/>
      <c r="CF877" s="84"/>
      <c r="CG877" s="84"/>
      <c r="CH877" s="84"/>
      <c r="CI877" s="84"/>
      <c r="CJ877" s="84"/>
      <c r="CK877" s="84"/>
      <c r="CL877" s="84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220"/>
      <c r="CY877" s="220"/>
      <c r="CZ877" s="220"/>
      <c r="DA877" s="220"/>
      <c r="DB877" s="237"/>
      <c r="DC877" s="238"/>
      <c r="DD877" s="238"/>
      <c r="DE877" s="238"/>
      <c r="DF877" s="238"/>
      <c r="DG877" s="238"/>
      <c r="DH877" s="238"/>
      <c r="DI877" s="238"/>
      <c r="DJ877" s="238"/>
      <c r="DK877" s="238"/>
      <c r="DL877" s="238"/>
      <c r="DM877" s="238"/>
      <c r="DN877" s="238"/>
      <c r="DO877" s="238"/>
      <c r="DP877" s="238"/>
      <c r="DQ877" s="238"/>
      <c r="DR877" s="238"/>
      <c r="DS877" s="238"/>
      <c r="DT877" s="238"/>
      <c r="DU877" s="238"/>
      <c r="DV877" s="238"/>
      <c r="DW877" s="238"/>
      <c r="DX877" s="238"/>
      <c r="DY877" s="238"/>
      <c r="DZ877" s="238"/>
      <c r="EA877" s="238"/>
      <c r="EB877" s="238"/>
      <c r="EC877" s="238"/>
      <c r="ED877" s="3"/>
      <c r="EE877" s="3"/>
      <c r="EF877" s="3"/>
      <c r="EG877" s="3"/>
      <c r="EH877" s="3"/>
    </row>
    <row r="878" spans="1:138" s="82" customFormat="1" x14ac:dyDescent="0.2">
      <c r="A878" s="3"/>
      <c r="B878" s="167"/>
      <c r="C878" s="3"/>
      <c r="D878" s="3"/>
      <c r="E878" s="31"/>
      <c r="F878" s="133"/>
      <c r="G878" s="3"/>
      <c r="H878" s="31"/>
      <c r="I878" s="31"/>
      <c r="J878" s="3"/>
      <c r="K878" s="3"/>
      <c r="L878" s="3"/>
      <c r="M878" s="3"/>
      <c r="N878" s="3"/>
      <c r="O878" s="3"/>
      <c r="P878" s="3"/>
      <c r="Q878" s="3"/>
      <c r="R878" s="32"/>
      <c r="S878" s="32"/>
      <c r="T878" s="3"/>
      <c r="U878" s="33"/>
      <c r="V878" s="33"/>
      <c r="W878" s="3"/>
      <c r="X878" s="3"/>
      <c r="Y878" s="3"/>
      <c r="Z878" s="3"/>
      <c r="AA878" s="3"/>
      <c r="AB878" s="3"/>
      <c r="AC878" s="3"/>
      <c r="AD878" s="32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4"/>
      <c r="AT878" s="3"/>
      <c r="AU878" s="3"/>
      <c r="AV878" s="3"/>
      <c r="AW878" s="3"/>
      <c r="AX878" s="4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84"/>
      <c r="BZ878" s="84"/>
      <c r="CA878" s="84"/>
      <c r="CB878" s="84"/>
      <c r="CC878" s="84"/>
      <c r="CD878" s="84"/>
      <c r="CE878" s="84"/>
      <c r="CF878" s="84"/>
      <c r="CG878" s="84"/>
      <c r="CH878" s="84"/>
      <c r="CI878" s="84"/>
      <c r="CJ878" s="84"/>
      <c r="CK878" s="84"/>
      <c r="CL878" s="84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220"/>
      <c r="CY878" s="220"/>
      <c r="CZ878" s="220"/>
      <c r="DA878" s="220"/>
      <c r="DB878" s="237"/>
      <c r="DC878" s="238"/>
      <c r="DD878" s="238"/>
      <c r="DE878" s="238"/>
      <c r="DF878" s="238"/>
      <c r="DG878" s="238"/>
      <c r="DH878" s="238"/>
      <c r="DI878" s="238"/>
      <c r="DJ878" s="238"/>
      <c r="DK878" s="238"/>
      <c r="DL878" s="238"/>
      <c r="DM878" s="238"/>
      <c r="DN878" s="238"/>
      <c r="DO878" s="238"/>
      <c r="DP878" s="238"/>
      <c r="DQ878" s="238"/>
      <c r="DR878" s="238"/>
      <c r="DS878" s="238"/>
      <c r="DT878" s="238"/>
      <c r="DU878" s="238"/>
      <c r="DV878" s="238"/>
      <c r="DW878" s="238"/>
      <c r="DX878" s="238"/>
      <c r="DY878" s="238"/>
      <c r="DZ878" s="238"/>
      <c r="EA878" s="238"/>
      <c r="EB878" s="238"/>
      <c r="EC878" s="238"/>
      <c r="ED878" s="3"/>
      <c r="EE878" s="3"/>
      <c r="EF878" s="3"/>
      <c r="EG878" s="3"/>
      <c r="EH878" s="3"/>
    </row>
    <row r="879" spans="1:138" s="82" customFormat="1" x14ac:dyDescent="0.2">
      <c r="A879" s="3"/>
      <c r="B879" s="167"/>
      <c r="C879" s="3"/>
      <c r="D879" s="3"/>
      <c r="E879" s="31"/>
      <c r="F879" s="133"/>
      <c r="G879" s="3"/>
      <c r="H879" s="31"/>
      <c r="I879" s="31"/>
      <c r="J879" s="3"/>
      <c r="K879" s="3"/>
      <c r="L879" s="3"/>
      <c r="M879" s="3"/>
      <c r="N879" s="3"/>
      <c r="O879" s="3"/>
      <c r="P879" s="3"/>
      <c r="Q879" s="3"/>
      <c r="R879" s="32"/>
      <c r="S879" s="32"/>
      <c r="T879" s="3"/>
      <c r="U879" s="33"/>
      <c r="V879" s="33"/>
      <c r="W879" s="3"/>
      <c r="X879" s="3"/>
      <c r="Y879" s="3"/>
      <c r="Z879" s="3"/>
      <c r="AA879" s="3"/>
      <c r="AB879" s="3"/>
      <c r="AC879" s="3"/>
      <c r="AD879" s="32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4"/>
      <c r="AT879" s="3"/>
      <c r="AU879" s="3"/>
      <c r="AV879" s="3"/>
      <c r="AW879" s="3"/>
      <c r="AX879" s="4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84"/>
      <c r="BZ879" s="84"/>
      <c r="CA879" s="84"/>
      <c r="CB879" s="84"/>
      <c r="CC879" s="84"/>
      <c r="CD879" s="84"/>
      <c r="CE879" s="84"/>
      <c r="CF879" s="84"/>
      <c r="CG879" s="84"/>
      <c r="CH879" s="84"/>
      <c r="CI879" s="84"/>
      <c r="CJ879" s="84"/>
      <c r="CK879" s="84"/>
      <c r="CL879" s="84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220"/>
      <c r="CY879" s="220"/>
      <c r="CZ879" s="220"/>
      <c r="DA879" s="220"/>
      <c r="DB879" s="237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238"/>
      <c r="EC879" s="238"/>
      <c r="ED879" s="3"/>
      <c r="EE879" s="3"/>
      <c r="EF879" s="3"/>
      <c r="EG879" s="3"/>
      <c r="EH879" s="3"/>
    </row>
    <row r="880" spans="1:138" s="82" customFormat="1" x14ac:dyDescent="0.2">
      <c r="A880" s="3"/>
      <c r="B880" s="167"/>
      <c r="C880" s="3"/>
      <c r="D880" s="3"/>
      <c r="E880" s="31"/>
      <c r="F880" s="133"/>
      <c r="G880" s="3"/>
      <c r="H880" s="31"/>
      <c r="I880" s="31"/>
      <c r="J880" s="3"/>
      <c r="K880" s="3"/>
      <c r="L880" s="3"/>
      <c r="M880" s="3"/>
      <c r="N880" s="3"/>
      <c r="O880" s="3"/>
      <c r="P880" s="3"/>
      <c r="Q880" s="3"/>
      <c r="R880" s="32"/>
      <c r="S880" s="32"/>
      <c r="T880" s="3"/>
      <c r="U880" s="33"/>
      <c r="V880" s="33"/>
      <c r="W880" s="3"/>
      <c r="X880" s="3"/>
      <c r="Y880" s="3"/>
      <c r="Z880" s="3"/>
      <c r="AA880" s="3"/>
      <c r="AB880" s="3"/>
      <c r="AC880" s="3"/>
      <c r="AD880" s="32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4"/>
      <c r="AT880" s="3"/>
      <c r="AU880" s="3"/>
      <c r="AV880" s="3"/>
      <c r="AW880" s="3"/>
      <c r="AX880" s="4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84"/>
      <c r="BZ880" s="84"/>
      <c r="CA880" s="84"/>
      <c r="CB880" s="84"/>
      <c r="CC880" s="84"/>
      <c r="CD880" s="84"/>
      <c r="CE880" s="84"/>
      <c r="CF880" s="84"/>
      <c r="CG880" s="84"/>
      <c r="CH880" s="84"/>
      <c r="CI880" s="84"/>
      <c r="CJ880" s="84"/>
      <c r="CK880" s="84"/>
      <c r="CL880" s="84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220"/>
      <c r="CY880" s="220"/>
      <c r="CZ880" s="220"/>
      <c r="DA880" s="220"/>
      <c r="DB880" s="237"/>
      <c r="DC880" s="238"/>
      <c r="DD880" s="238"/>
      <c r="DE880" s="238"/>
      <c r="DF880" s="238"/>
      <c r="DG880" s="238"/>
      <c r="DH880" s="238"/>
      <c r="DI880" s="238"/>
      <c r="DJ880" s="238"/>
      <c r="DK880" s="238"/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38"/>
      <c r="DW880" s="238"/>
      <c r="DX880" s="238"/>
      <c r="DY880" s="238"/>
      <c r="DZ880" s="238"/>
      <c r="EA880" s="238"/>
      <c r="EB880" s="238"/>
      <c r="EC880" s="238"/>
      <c r="ED880" s="3"/>
      <c r="EE880" s="3"/>
      <c r="EF880" s="3"/>
      <c r="EG880" s="3"/>
      <c r="EH880" s="3"/>
    </row>
    <row r="881" spans="1:138" s="82" customFormat="1" x14ac:dyDescent="0.2">
      <c r="A881" s="3"/>
      <c r="B881" s="167"/>
      <c r="C881" s="3"/>
      <c r="D881" s="3"/>
      <c r="E881" s="31"/>
      <c r="F881" s="133"/>
      <c r="G881" s="3"/>
      <c r="H881" s="31"/>
      <c r="I881" s="31"/>
      <c r="J881" s="3"/>
      <c r="K881" s="3"/>
      <c r="L881" s="3"/>
      <c r="M881" s="3"/>
      <c r="N881" s="3"/>
      <c r="O881" s="3"/>
      <c r="P881" s="3"/>
      <c r="Q881" s="3"/>
      <c r="R881" s="32"/>
      <c r="S881" s="32"/>
      <c r="T881" s="3"/>
      <c r="U881" s="33"/>
      <c r="V881" s="33"/>
      <c r="W881" s="3"/>
      <c r="X881" s="3"/>
      <c r="Y881" s="3"/>
      <c r="Z881" s="3"/>
      <c r="AA881" s="3"/>
      <c r="AB881" s="3"/>
      <c r="AC881" s="3"/>
      <c r="AD881" s="32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4"/>
      <c r="AT881" s="3"/>
      <c r="AU881" s="3"/>
      <c r="AV881" s="3"/>
      <c r="AW881" s="3"/>
      <c r="AX881" s="4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84"/>
      <c r="BZ881" s="84"/>
      <c r="CA881" s="84"/>
      <c r="CB881" s="84"/>
      <c r="CC881" s="84"/>
      <c r="CD881" s="84"/>
      <c r="CE881" s="84"/>
      <c r="CF881" s="84"/>
      <c r="CG881" s="84"/>
      <c r="CH881" s="84"/>
      <c r="CI881" s="84"/>
      <c r="CJ881" s="84"/>
      <c r="CK881" s="84"/>
      <c r="CL881" s="84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220"/>
      <c r="CY881" s="220"/>
      <c r="CZ881" s="220"/>
      <c r="DA881" s="220"/>
      <c r="DB881" s="237"/>
      <c r="DC881" s="238"/>
      <c r="DD881" s="238"/>
      <c r="DE881" s="238"/>
      <c r="DF881" s="238"/>
      <c r="DG881" s="238"/>
      <c r="DH881" s="238"/>
      <c r="DI881" s="238"/>
      <c r="DJ881" s="238"/>
      <c r="DK881" s="238"/>
      <c r="DL881" s="238"/>
      <c r="DM881" s="238"/>
      <c r="DN881" s="238"/>
      <c r="DO881" s="238"/>
      <c r="DP881" s="238"/>
      <c r="DQ881" s="238"/>
      <c r="DR881" s="238"/>
      <c r="DS881" s="238"/>
      <c r="DT881" s="238"/>
      <c r="DU881" s="238"/>
      <c r="DV881" s="238"/>
      <c r="DW881" s="238"/>
      <c r="DX881" s="238"/>
      <c r="DY881" s="238"/>
      <c r="DZ881" s="238"/>
      <c r="EA881" s="238"/>
      <c r="EB881" s="238"/>
      <c r="EC881" s="238"/>
      <c r="ED881" s="3"/>
      <c r="EE881" s="3"/>
      <c r="EF881" s="3"/>
      <c r="EG881" s="3"/>
      <c r="EH881" s="3"/>
    </row>
    <row r="882" spans="1:138" s="82" customFormat="1" x14ac:dyDescent="0.2">
      <c r="A882" s="3"/>
      <c r="B882" s="167"/>
      <c r="C882" s="3"/>
      <c r="D882" s="3"/>
      <c r="E882" s="31"/>
      <c r="F882" s="133"/>
      <c r="G882" s="3"/>
      <c r="H882" s="31"/>
      <c r="I882" s="31"/>
      <c r="J882" s="3"/>
      <c r="K882" s="3"/>
      <c r="L882" s="3"/>
      <c r="M882" s="3"/>
      <c r="N882" s="3"/>
      <c r="O882" s="3"/>
      <c r="P882" s="3"/>
      <c r="Q882" s="3"/>
      <c r="R882" s="32"/>
      <c r="S882" s="32"/>
      <c r="T882" s="3"/>
      <c r="U882" s="33"/>
      <c r="V882" s="33"/>
      <c r="W882" s="3"/>
      <c r="X882" s="3"/>
      <c r="Y882" s="3"/>
      <c r="Z882" s="3"/>
      <c r="AA882" s="3"/>
      <c r="AB882" s="3"/>
      <c r="AC882" s="3"/>
      <c r="AD882" s="32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4"/>
      <c r="AT882" s="3"/>
      <c r="AU882" s="3"/>
      <c r="AV882" s="3"/>
      <c r="AW882" s="3"/>
      <c r="AX882" s="4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84"/>
      <c r="BZ882" s="84"/>
      <c r="CA882" s="84"/>
      <c r="CB882" s="84"/>
      <c r="CC882" s="84"/>
      <c r="CD882" s="84"/>
      <c r="CE882" s="84"/>
      <c r="CF882" s="84"/>
      <c r="CG882" s="84"/>
      <c r="CH882" s="84"/>
      <c r="CI882" s="84"/>
      <c r="CJ882" s="84"/>
      <c r="CK882" s="84"/>
      <c r="CL882" s="84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220"/>
      <c r="CY882" s="220"/>
      <c r="CZ882" s="220"/>
      <c r="DA882" s="220"/>
      <c r="DB882" s="237"/>
      <c r="DC882" s="238"/>
      <c r="DD882" s="238"/>
      <c r="DE882" s="238"/>
      <c r="DF882" s="238"/>
      <c r="DG882" s="238"/>
      <c r="DH882" s="238"/>
      <c r="DI882" s="238"/>
      <c r="DJ882" s="238"/>
      <c r="DK882" s="238"/>
      <c r="DL882" s="238"/>
      <c r="DM882" s="238"/>
      <c r="DN882" s="238"/>
      <c r="DO882" s="238"/>
      <c r="DP882" s="238"/>
      <c r="DQ882" s="238"/>
      <c r="DR882" s="238"/>
      <c r="DS882" s="238"/>
      <c r="DT882" s="238"/>
      <c r="DU882" s="238"/>
      <c r="DV882" s="238"/>
      <c r="DW882" s="238"/>
      <c r="DX882" s="238"/>
      <c r="DY882" s="238"/>
      <c r="DZ882" s="238"/>
      <c r="EA882" s="238"/>
      <c r="EB882" s="238"/>
      <c r="EC882" s="238"/>
      <c r="ED882" s="3"/>
      <c r="EE882" s="3"/>
      <c r="EF882" s="3"/>
      <c r="EG882" s="3"/>
      <c r="EH882" s="3"/>
    </row>
    <row r="883" spans="1:138" s="82" customFormat="1" x14ac:dyDescent="0.2">
      <c r="A883" s="3"/>
      <c r="B883" s="167"/>
      <c r="C883" s="3"/>
      <c r="D883" s="3"/>
      <c r="E883" s="31"/>
      <c r="F883" s="133"/>
      <c r="G883" s="3"/>
      <c r="H883" s="31"/>
      <c r="I883" s="31"/>
      <c r="J883" s="3"/>
      <c r="K883" s="3"/>
      <c r="L883" s="3"/>
      <c r="M883" s="3"/>
      <c r="N883" s="3"/>
      <c r="O883" s="3"/>
      <c r="P883" s="3"/>
      <c r="Q883" s="3"/>
      <c r="R883" s="32"/>
      <c r="S883" s="32"/>
      <c r="T883" s="3"/>
      <c r="U883" s="33"/>
      <c r="V883" s="33"/>
      <c r="W883" s="3"/>
      <c r="X883" s="3"/>
      <c r="Y883" s="3"/>
      <c r="Z883" s="3"/>
      <c r="AA883" s="3"/>
      <c r="AB883" s="3"/>
      <c r="AC883" s="3"/>
      <c r="AD883" s="32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4"/>
      <c r="AT883" s="3"/>
      <c r="AU883" s="3"/>
      <c r="AV883" s="3"/>
      <c r="AW883" s="3"/>
      <c r="AX883" s="4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84"/>
      <c r="BZ883" s="84"/>
      <c r="CA883" s="84"/>
      <c r="CB883" s="84"/>
      <c r="CC883" s="84"/>
      <c r="CD883" s="84"/>
      <c r="CE883" s="84"/>
      <c r="CF883" s="84"/>
      <c r="CG883" s="84"/>
      <c r="CH883" s="84"/>
      <c r="CI883" s="84"/>
      <c r="CJ883" s="84"/>
      <c r="CK883" s="84"/>
      <c r="CL883" s="84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220"/>
      <c r="CY883" s="220"/>
      <c r="CZ883" s="220"/>
      <c r="DA883" s="220"/>
      <c r="DB883" s="237"/>
      <c r="DC883" s="238"/>
      <c r="DD883" s="238"/>
      <c r="DE883" s="238"/>
      <c r="DF883" s="238"/>
      <c r="DG883" s="238"/>
      <c r="DH883" s="238"/>
      <c r="DI883" s="238"/>
      <c r="DJ883" s="238"/>
      <c r="DK883" s="238"/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38"/>
      <c r="DW883" s="238"/>
      <c r="DX883" s="238"/>
      <c r="DY883" s="238"/>
      <c r="DZ883" s="238"/>
      <c r="EA883" s="238"/>
      <c r="EB883" s="238"/>
      <c r="EC883" s="238"/>
      <c r="ED883" s="3"/>
      <c r="EE883" s="3"/>
      <c r="EF883" s="3"/>
      <c r="EG883" s="3"/>
      <c r="EH883" s="3"/>
    </row>
    <row r="884" spans="1:138" s="82" customFormat="1" x14ac:dyDescent="0.2">
      <c r="A884" s="3"/>
      <c r="B884" s="167"/>
      <c r="C884" s="3"/>
      <c r="D884" s="3"/>
      <c r="E884" s="31"/>
      <c r="F884" s="133"/>
      <c r="G884" s="3"/>
      <c r="H884" s="31"/>
      <c r="I884" s="31"/>
      <c r="J884" s="3"/>
      <c r="K884" s="3"/>
      <c r="L884" s="3"/>
      <c r="M884" s="3"/>
      <c r="N884" s="3"/>
      <c r="O884" s="3"/>
      <c r="P884" s="3"/>
      <c r="Q884" s="3"/>
      <c r="R884" s="32"/>
      <c r="S884" s="32"/>
      <c r="T884" s="3"/>
      <c r="U884" s="33"/>
      <c r="V884" s="33"/>
      <c r="W884" s="3"/>
      <c r="X884" s="3"/>
      <c r="Y884" s="3"/>
      <c r="Z884" s="3"/>
      <c r="AA884" s="3"/>
      <c r="AB884" s="3"/>
      <c r="AC884" s="3"/>
      <c r="AD884" s="32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4"/>
      <c r="AT884" s="3"/>
      <c r="AU884" s="3"/>
      <c r="AV884" s="3"/>
      <c r="AW884" s="3"/>
      <c r="AX884" s="4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84"/>
      <c r="BZ884" s="84"/>
      <c r="CA884" s="84"/>
      <c r="CB884" s="84"/>
      <c r="CC884" s="84"/>
      <c r="CD884" s="84"/>
      <c r="CE884" s="84"/>
      <c r="CF884" s="84"/>
      <c r="CG884" s="84"/>
      <c r="CH884" s="84"/>
      <c r="CI884" s="84"/>
      <c r="CJ884" s="84"/>
      <c r="CK884" s="84"/>
      <c r="CL884" s="84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220"/>
      <c r="CY884" s="220"/>
      <c r="CZ884" s="220"/>
      <c r="DA884" s="220"/>
      <c r="DB884" s="237"/>
      <c r="DC884" s="238"/>
      <c r="DD884" s="238"/>
      <c r="DE884" s="238"/>
      <c r="DF884" s="238"/>
      <c r="DG884" s="238"/>
      <c r="DH884" s="238"/>
      <c r="DI884" s="238"/>
      <c r="DJ884" s="238"/>
      <c r="DK884" s="238"/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38"/>
      <c r="DW884" s="238"/>
      <c r="DX884" s="238"/>
      <c r="DY884" s="238"/>
      <c r="DZ884" s="238"/>
      <c r="EA884" s="238"/>
      <c r="EB884" s="238"/>
      <c r="EC884" s="238"/>
      <c r="ED884" s="3"/>
      <c r="EE884" s="3"/>
      <c r="EF884" s="3"/>
      <c r="EG884" s="3"/>
      <c r="EH884" s="3"/>
    </row>
    <row r="885" spans="1:138" s="82" customFormat="1" x14ac:dyDescent="0.2">
      <c r="A885" s="3"/>
      <c r="B885" s="167"/>
      <c r="C885" s="3"/>
      <c r="D885" s="3"/>
      <c r="E885" s="31"/>
      <c r="F885" s="133"/>
      <c r="G885" s="3"/>
      <c r="H885" s="31"/>
      <c r="I885" s="31"/>
      <c r="J885" s="3"/>
      <c r="K885" s="3"/>
      <c r="L885" s="3"/>
      <c r="M885" s="3"/>
      <c r="N885" s="3"/>
      <c r="O885" s="3"/>
      <c r="P885" s="3"/>
      <c r="Q885" s="3"/>
      <c r="R885" s="32"/>
      <c r="S885" s="32"/>
      <c r="T885" s="3"/>
      <c r="U885" s="33"/>
      <c r="V885" s="33"/>
      <c r="W885" s="3"/>
      <c r="X885" s="3"/>
      <c r="Y885" s="3"/>
      <c r="Z885" s="3"/>
      <c r="AA885" s="3"/>
      <c r="AB885" s="3"/>
      <c r="AC885" s="3"/>
      <c r="AD885" s="32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4"/>
      <c r="AT885" s="3"/>
      <c r="AU885" s="3"/>
      <c r="AV885" s="3"/>
      <c r="AW885" s="3"/>
      <c r="AX885" s="4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84"/>
      <c r="BZ885" s="84"/>
      <c r="CA885" s="84"/>
      <c r="CB885" s="84"/>
      <c r="CC885" s="84"/>
      <c r="CD885" s="84"/>
      <c r="CE885" s="84"/>
      <c r="CF885" s="84"/>
      <c r="CG885" s="84"/>
      <c r="CH885" s="84"/>
      <c r="CI885" s="84"/>
      <c r="CJ885" s="84"/>
      <c r="CK885" s="84"/>
      <c r="CL885" s="84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220"/>
      <c r="CY885" s="220"/>
      <c r="CZ885" s="220"/>
      <c r="DA885" s="220"/>
      <c r="DB885" s="237"/>
      <c r="DC885" s="238"/>
      <c r="DD885" s="238"/>
      <c r="DE885" s="238"/>
      <c r="DF885" s="238"/>
      <c r="DG885" s="238"/>
      <c r="DH885" s="238"/>
      <c r="DI885" s="238"/>
      <c r="DJ885" s="238"/>
      <c r="DK885" s="238"/>
      <c r="DL885" s="238"/>
      <c r="DM885" s="238"/>
      <c r="DN885" s="238"/>
      <c r="DO885" s="238"/>
      <c r="DP885" s="238"/>
      <c r="DQ885" s="238"/>
      <c r="DR885" s="238"/>
      <c r="DS885" s="238"/>
      <c r="DT885" s="238"/>
      <c r="DU885" s="238"/>
      <c r="DV885" s="238"/>
      <c r="DW885" s="238"/>
      <c r="DX885" s="238"/>
      <c r="DY885" s="238"/>
      <c r="DZ885" s="238"/>
      <c r="EA885" s="238"/>
      <c r="EB885" s="238"/>
      <c r="EC885" s="238"/>
      <c r="ED885" s="3"/>
      <c r="EE885" s="3"/>
      <c r="EF885" s="3"/>
      <c r="EG885" s="3"/>
      <c r="EH885" s="3"/>
    </row>
    <row r="886" spans="1:138" s="82" customFormat="1" x14ac:dyDescent="0.2">
      <c r="A886" s="3"/>
      <c r="B886" s="167"/>
      <c r="C886" s="3"/>
      <c r="D886" s="3"/>
      <c r="E886" s="31"/>
      <c r="F886" s="133"/>
      <c r="G886" s="3"/>
      <c r="H886" s="31"/>
      <c r="I886" s="31"/>
      <c r="J886" s="3"/>
      <c r="K886" s="3"/>
      <c r="L886" s="3"/>
      <c r="M886" s="3"/>
      <c r="N886" s="3"/>
      <c r="O886" s="3"/>
      <c r="P886" s="3"/>
      <c r="Q886" s="3"/>
      <c r="R886" s="32"/>
      <c r="S886" s="32"/>
      <c r="T886" s="3"/>
      <c r="U886" s="33"/>
      <c r="V886" s="33"/>
      <c r="W886" s="3"/>
      <c r="X886" s="3"/>
      <c r="Y886" s="3"/>
      <c r="Z886" s="3"/>
      <c r="AA886" s="3"/>
      <c r="AB886" s="3"/>
      <c r="AC886" s="3"/>
      <c r="AD886" s="32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4"/>
      <c r="AT886" s="3"/>
      <c r="AU886" s="3"/>
      <c r="AV886" s="3"/>
      <c r="AW886" s="3"/>
      <c r="AX886" s="4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220"/>
      <c r="CY886" s="220"/>
      <c r="CZ886" s="220"/>
      <c r="DA886" s="220"/>
      <c r="DB886" s="237"/>
      <c r="DC886" s="238"/>
      <c r="DD886" s="238"/>
      <c r="DE886" s="238"/>
      <c r="DF886" s="238"/>
      <c r="DG886" s="238"/>
      <c r="DH886" s="238"/>
      <c r="DI886" s="238"/>
      <c r="DJ886" s="238"/>
      <c r="DK886" s="238"/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38"/>
      <c r="DW886" s="238"/>
      <c r="DX886" s="238"/>
      <c r="DY886" s="238"/>
      <c r="DZ886" s="238"/>
      <c r="EA886" s="238"/>
      <c r="EB886" s="238"/>
      <c r="EC886" s="238"/>
      <c r="ED886" s="3"/>
      <c r="EE886" s="3"/>
      <c r="EF886" s="3"/>
      <c r="EG886" s="3"/>
      <c r="EH886" s="3"/>
    </row>
    <row r="887" spans="1:138" s="82" customFormat="1" x14ac:dyDescent="0.2">
      <c r="A887" s="3"/>
      <c r="B887" s="167"/>
      <c r="C887" s="3"/>
      <c r="D887" s="3"/>
      <c r="E887" s="31"/>
      <c r="F887" s="133"/>
      <c r="G887" s="3"/>
      <c r="H887" s="31"/>
      <c r="I887" s="31"/>
      <c r="J887" s="3"/>
      <c r="K887" s="3"/>
      <c r="L887" s="3"/>
      <c r="M887" s="3"/>
      <c r="N887" s="3"/>
      <c r="O887" s="3"/>
      <c r="P887" s="3"/>
      <c r="Q887" s="3"/>
      <c r="R887" s="32"/>
      <c r="S887" s="32"/>
      <c r="T887" s="3"/>
      <c r="U887" s="33"/>
      <c r="V887" s="33"/>
      <c r="W887" s="3"/>
      <c r="X887" s="3"/>
      <c r="Y887" s="3"/>
      <c r="Z887" s="3"/>
      <c r="AA887" s="3"/>
      <c r="AB887" s="3"/>
      <c r="AC887" s="3"/>
      <c r="AD887" s="32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4"/>
      <c r="AT887" s="3"/>
      <c r="AU887" s="3"/>
      <c r="AV887" s="3"/>
      <c r="AW887" s="3"/>
      <c r="AX887" s="4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84"/>
      <c r="BZ887" s="84"/>
      <c r="CA887" s="84"/>
      <c r="CB887" s="84"/>
      <c r="CC887" s="84"/>
      <c r="CD887" s="84"/>
      <c r="CE887" s="84"/>
      <c r="CF887" s="84"/>
      <c r="CG887" s="84"/>
      <c r="CH887" s="84"/>
      <c r="CI887" s="84"/>
      <c r="CJ887" s="84"/>
      <c r="CK887" s="84"/>
      <c r="CL887" s="84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220"/>
      <c r="CY887" s="220"/>
      <c r="CZ887" s="220"/>
      <c r="DA887" s="220"/>
      <c r="DB887" s="237"/>
      <c r="DC887" s="238"/>
      <c r="DD887" s="238"/>
      <c r="DE887" s="238"/>
      <c r="DF887" s="238"/>
      <c r="DG887" s="238"/>
      <c r="DH887" s="238"/>
      <c r="DI887" s="238"/>
      <c r="DJ887" s="238"/>
      <c r="DK887" s="238"/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38"/>
      <c r="DW887" s="238"/>
      <c r="DX887" s="238"/>
      <c r="DY887" s="238"/>
      <c r="DZ887" s="238"/>
      <c r="EA887" s="238"/>
      <c r="EB887" s="238"/>
      <c r="EC887" s="238"/>
      <c r="ED887" s="3"/>
      <c r="EE887" s="3"/>
      <c r="EF887" s="3"/>
      <c r="EG887" s="3"/>
      <c r="EH887" s="3"/>
    </row>
    <row r="888" spans="1:138" s="82" customFormat="1" x14ac:dyDescent="0.2">
      <c r="A888" s="3"/>
      <c r="B888" s="167"/>
      <c r="C888" s="3"/>
      <c r="D888" s="3"/>
      <c r="E888" s="31"/>
      <c r="F888" s="133"/>
      <c r="G888" s="3"/>
      <c r="H888" s="31"/>
      <c r="I888" s="31"/>
      <c r="J888" s="3"/>
      <c r="K888" s="3"/>
      <c r="L888" s="3"/>
      <c r="M888" s="3"/>
      <c r="N888" s="3"/>
      <c r="O888" s="3"/>
      <c r="P888" s="3"/>
      <c r="Q888" s="3"/>
      <c r="R888" s="32"/>
      <c r="S888" s="32"/>
      <c r="T888" s="3"/>
      <c r="U888" s="33"/>
      <c r="V888" s="33"/>
      <c r="W888" s="3"/>
      <c r="X888" s="3"/>
      <c r="Y888" s="3"/>
      <c r="Z888" s="3"/>
      <c r="AA888" s="3"/>
      <c r="AB888" s="3"/>
      <c r="AC888" s="3"/>
      <c r="AD888" s="32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4"/>
      <c r="AT888" s="3"/>
      <c r="AU888" s="3"/>
      <c r="AV888" s="3"/>
      <c r="AW888" s="3"/>
      <c r="AX888" s="4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84"/>
      <c r="BZ888" s="84"/>
      <c r="CA888" s="84"/>
      <c r="CB888" s="84"/>
      <c r="CC888" s="84"/>
      <c r="CD888" s="84"/>
      <c r="CE888" s="84"/>
      <c r="CF888" s="84"/>
      <c r="CG888" s="84"/>
      <c r="CH888" s="84"/>
      <c r="CI888" s="84"/>
      <c r="CJ888" s="84"/>
      <c r="CK888" s="84"/>
      <c r="CL888" s="84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220"/>
      <c r="CY888" s="220"/>
      <c r="CZ888" s="220"/>
      <c r="DA888" s="220"/>
      <c r="DB888" s="237"/>
      <c r="DC888" s="238"/>
      <c r="DD888" s="238"/>
      <c r="DE888" s="238"/>
      <c r="DF888" s="238"/>
      <c r="DG888" s="238"/>
      <c r="DH888" s="238"/>
      <c r="DI888" s="238"/>
      <c r="DJ888" s="238"/>
      <c r="DK888" s="238"/>
      <c r="DL888" s="238"/>
      <c r="DM888" s="238"/>
      <c r="DN888" s="238"/>
      <c r="DO888" s="238"/>
      <c r="DP888" s="238"/>
      <c r="DQ888" s="238"/>
      <c r="DR888" s="238"/>
      <c r="DS888" s="238"/>
      <c r="DT888" s="238"/>
      <c r="DU888" s="238"/>
      <c r="DV888" s="238"/>
      <c r="DW888" s="238"/>
      <c r="DX888" s="238"/>
      <c r="DY888" s="238"/>
      <c r="DZ888" s="238"/>
      <c r="EA888" s="238"/>
      <c r="EB888" s="238"/>
      <c r="EC888" s="238"/>
      <c r="ED888" s="3"/>
      <c r="EE888" s="3"/>
      <c r="EF888" s="3"/>
      <c r="EG888" s="3"/>
      <c r="EH888" s="3"/>
    </row>
    <row r="889" spans="1:138" s="82" customFormat="1" x14ac:dyDescent="0.2">
      <c r="A889" s="3"/>
      <c r="B889" s="167"/>
      <c r="C889" s="3"/>
      <c r="D889" s="3"/>
      <c r="E889" s="31"/>
      <c r="F889" s="133"/>
      <c r="G889" s="3"/>
      <c r="H889" s="31"/>
      <c r="I889" s="31"/>
      <c r="J889" s="3"/>
      <c r="K889" s="3"/>
      <c r="L889" s="3"/>
      <c r="M889" s="3"/>
      <c r="N889" s="3"/>
      <c r="O889" s="3"/>
      <c r="P889" s="3"/>
      <c r="Q889" s="3"/>
      <c r="R889" s="32"/>
      <c r="S889" s="32"/>
      <c r="T889" s="3"/>
      <c r="U889" s="33"/>
      <c r="V889" s="33"/>
      <c r="W889" s="3"/>
      <c r="X889" s="3"/>
      <c r="Y889" s="3"/>
      <c r="Z889" s="3"/>
      <c r="AA889" s="3"/>
      <c r="AB889" s="3"/>
      <c r="AC889" s="3"/>
      <c r="AD889" s="32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4"/>
      <c r="AT889" s="3"/>
      <c r="AU889" s="3"/>
      <c r="AV889" s="3"/>
      <c r="AW889" s="3"/>
      <c r="AX889" s="4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84"/>
      <c r="BZ889" s="84"/>
      <c r="CA889" s="84"/>
      <c r="CB889" s="84"/>
      <c r="CC889" s="84"/>
      <c r="CD889" s="84"/>
      <c r="CE889" s="84"/>
      <c r="CF889" s="84"/>
      <c r="CG889" s="84"/>
      <c r="CH889" s="84"/>
      <c r="CI889" s="84"/>
      <c r="CJ889" s="84"/>
      <c r="CK889" s="84"/>
      <c r="CL889" s="84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220"/>
      <c r="CY889" s="220"/>
      <c r="CZ889" s="220"/>
      <c r="DA889" s="220"/>
      <c r="DB889" s="237"/>
      <c r="DC889" s="238"/>
      <c r="DD889" s="238"/>
      <c r="DE889" s="238"/>
      <c r="DF889" s="238"/>
      <c r="DG889" s="238"/>
      <c r="DH889" s="238"/>
      <c r="DI889" s="238"/>
      <c r="DJ889" s="238"/>
      <c r="DK889" s="238"/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38"/>
      <c r="DW889" s="238"/>
      <c r="DX889" s="238"/>
      <c r="DY889" s="238"/>
      <c r="DZ889" s="238"/>
      <c r="EA889" s="238"/>
      <c r="EB889" s="238"/>
      <c r="EC889" s="238"/>
      <c r="ED889" s="3"/>
      <c r="EE889" s="3"/>
      <c r="EF889" s="3"/>
      <c r="EG889" s="3"/>
      <c r="EH889" s="3"/>
    </row>
    <row r="890" spans="1:138" s="82" customFormat="1" x14ac:dyDescent="0.2">
      <c r="A890" s="3"/>
      <c r="B890" s="167"/>
      <c r="C890" s="3"/>
      <c r="D890" s="3"/>
      <c r="E890" s="31"/>
      <c r="F890" s="133"/>
      <c r="G890" s="3"/>
      <c r="H890" s="31"/>
      <c r="I890" s="31"/>
      <c r="J890" s="3"/>
      <c r="K890" s="3"/>
      <c r="L890" s="3"/>
      <c r="M890" s="3"/>
      <c r="N890" s="3"/>
      <c r="O890" s="3"/>
      <c r="P890" s="3"/>
      <c r="Q890" s="3"/>
      <c r="R890" s="32"/>
      <c r="S890" s="32"/>
      <c r="T890" s="3"/>
      <c r="U890" s="33"/>
      <c r="V890" s="33"/>
      <c r="W890" s="3"/>
      <c r="X890" s="3"/>
      <c r="Y890" s="3"/>
      <c r="Z890" s="3"/>
      <c r="AA890" s="3"/>
      <c r="AB890" s="3"/>
      <c r="AC890" s="3"/>
      <c r="AD890" s="32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4"/>
      <c r="AT890" s="3"/>
      <c r="AU890" s="3"/>
      <c r="AV890" s="3"/>
      <c r="AW890" s="3"/>
      <c r="AX890" s="4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84"/>
      <c r="BZ890" s="84"/>
      <c r="CA890" s="84"/>
      <c r="CB890" s="84"/>
      <c r="CC890" s="84"/>
      <c r="CD890" s="84"/>
      <c r="CE890" s="84"/>
      <c r="CF890" s="84"/>
      <c r="CG890" s="84"/>
      <c r="CH890" s="84"/>
      <c r="CI890" s="84"/>
      <c r="CJ890" s="84"/>
      <c r="CK890" s="84"/>
      <c r="CL890" s="84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220"/>
      <c r="CY890" s="220"/>
      <c r="CZ890" s="220"/>
      <c r="DA890" s="220"/>
      <c r="DB890" s="237"/>
      <c r="DC890" s="238"/>
      <c r="DD890" s="238"/>
      <c r="DE890" s="238"/>
      <c r="DF890" s="238"/>
      <c r="DG890" s="238"/>
      <c r="DH890" s="238"/>
      <c r="DI890" s="238"/>
      <c r="DJ890" s="238"/>
      <c r="DK890" s="238"/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38"/>
      <c r="DW890" s="238"/>
      <c r="DX890" s="238"/>
      <c r="DY890" s="238"/>
      <c r="DZ890" s="238"/>
      <c r="EA890" s="238"/>
      <c r="EB890" s="238"/>
      <c r="EC890" s="238"/>
      <c r="ED890" s="3"/>
      <c r="EE890" s="3"/>
      <c r="EF890" s="3"/>
      <c r="EG890" s="3"/>
      <c r="EH890" s="3"/>
    </row>
    <row r="891" spans="1:138" s="82" customFormat="1" x14ac:dyDescent="0.2">
      <c r="A891" s="3"/>
      <c r="B891" s="167"/>
      <c r="C891" s="3"/>
      <c r="D891" s="3"/>
      <c r="E891" s="31"/>
      <c r="F891" s="133"/>
      <c r="G891" s="3"/>
      <c r="H891" s="31"/>
      <c r="I891" s="31"/>
      <c r="J891" s="3"/>
      <c r="K891" s="3"/>
      <c r="L891" s="3"/>
      <c r="M891" s="3"/>
      <c r="N891" s="3"/>
      <c r="O891" s="3"/>
      <c r="P891" s="3"/>
      <c r="Q891" s="3"/>
      <c r="R891" s="32"/>
      <c r="S891" s="32"/>
      <c r="T891" s="3"/>
      <c r="U891" s="33"/>
      <c r="V891" s="33"/>
      <c r="W891" s="3"/>
      <c r="X891" s="3"/>
      <c r="Y891" s="3"/>
      <c r="Z891" s="3"/>
      <c r="AA891" s="3"/>
      <c r="AB891" s="3"/>
      <c r="AC891" s="3"/>
      <c r="AD891" s="32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4"/>
      <c r="AT891" s="3"/>
      <c r="AU891" s="3"/>
      <c r="AV891" s="3"/>
      <c r="AW891" s="3"/>
      <c r="AX891" s="4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84"/>
      <c r="BZ891" s="84"/>
      <c r="CA891" s="84"/>
      <c r="CB891" s="84"/>
      <c r="CC891" s="84"/>
      <c r="CD891" s="84"/>
      <c r="CE891" s="84"/>
      <c r="CF891" s="84"/>
      <c r="CG891" s="84"/>
      <c r="CH891" s="84"/>
      <c r="CI891" s="84"/>
      <c r="CJ891" s="84"/>
      <c r="CK891" s="84"/>
      <c r="CL891" s="84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220"/>
      <c r="CY891" s="220"/>
      <c r="CZ891" s="220"/>
      <c r="DA891" s="220"/>
      <c r="DB891" s="237"/>
      <c r="DC891" s="238"/>
      <c r="DD891" s="238"/>
      <c r="DE891" s="238"/>
      <c r="DF891" s="238"/>
      <c r="DG891" s="238"/>
      <c r="DH891" s="238"/>
      <c r="DI891" s="238"/>
      <c r="DJ891" s="238"/>
      <c r="DK891" s="238"/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38"/>
      <c r="DW891" s="238"/>
      <c r="DX891" s="238"/>
      <c r="DY891" s="238"/>
      <c r="DZ891" s="238"/>
      <c r="EA891" s="238"/>
      <c r="EB891" s="238"/>
      <c r="EC891" s="238"/>
      <c r="ED891" s="3"/>
      <c r="EE891" s="3"/>
      <c r="EF891" s="3"/>
      <c r="EG891" s="3"/>
      <c r="EH891" s="3"/>
    </row>
    <row r="892" spans="1:138" s="82" customFormat="1" x14ac:dyDescent="0.2">
      <c r="A892" s="3"/>
      <c r="B892" s="167"/>
      <c r="C892" s="3"/>
      <c r="D892" s="3"/>
      <c r="E892" s="31"/>
      <c r="F892" s="133"/>
      <c r="G892" s="3"/>
      <c r="H892" s="31"/>
      <c r="I892" s="31"/>
      <c r="J892" s="3"/>
      <c r="K892" s="3"/>
      <c r="L892" s="3"/>
      <c r="M892" s="3"/>
      <c r="N892" s="3"/>
      <c r="O892" s="3"/>
      <c r="P892" s="3"/>
      <c r="Q892" s="3"/>
      <c r="R892" s="32"/>
      <c r="S892" s="32"/>
      <c r="T892" s="3"/>
      <c r="U892" s="33"/>
      <c r="V892" s="33"/>
      <c r="W892" s="3"/>
      <c r="X892" s="3"/>
      <c r="Y892" s="3"/>
      <c r="Z892" s="3"/>
      <c r="AA892" s="3"/>
      <c r="AB892" s="3"/>
      <c r="AC892" s="3"/>
      <c r="AD892" s="32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4"/>
      <c r="AT892" s="3"/>
      <c r="AU892" s="3"/>
      <c r="AV892" s="3"/>
      <c r="AW892" s="3"/>
      <c r="AX892" s="4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84"/>
      <c r="BZ892" s="84"/>
      <c r="CA892" s="84"/>
      <c r="CB892" s="84"/>
      <c r="CC892" s="84"/>
      <c r="CD892" s="84"/>
      <c r="CE892" s="84"/>
      <c r="CF892" s="84"/>
      <c r="CG892" s="84"/>
      <c r="CH892" s="84"/>
      <c r="CI892" s="84"/>
      <c r="CJ892" s="84"/>
      <c r="CK892" s="84"/>
      <c r="CL892" s="84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220"/>
      <c r="CY892" s="220"/>
      <c r="CZ892" s="220"/>
      <c r="DA892" s="220"/>
      <c r="DB892" s="237"/>
      <c r="DC892" s="238"/>
      <c r="DD892" s="238"/>
      <c r="DE892" s="238"/>
      <c r="DF892" s="238"/>
      <c r="DG892" s="238"/>
      <c r="DH892" s="238"/>
      <c r="DI892" s="238"/>
      <c r="DJ892" s="238"/>
      <c r="DK892" s="238"/>
      <c r="DL892" s="238"/>
      <c r="DM892" s="238"/>
      <c r="DN892" s="238"/>
      <c r="DO892" s="238"/>
      <c r="DP892" s="238"/>
      <c r="DQ892" s="238"/>
      <c r="DR892" s="238"/>
      <c r="DS892" s="238"/>
      <c r="DT892" s="238"/>
      <c r="DU892" s="238"/>
      <c r="DV892" s="238"/>
      <c r="DW892" s="238"/>
      <c r="DX892" s="238"/>
      <c r="DY892" s="238"/>
      <c r="DZ892" s="238"/>
      <c r="EA892" s="238"/>
      <c r="EB892" s="238"/>
      <c r="EC892" s="238"/>
      <c r="ED892" s="3"/>
      <c r="EE892" s="3"/>
      <c r="EF892" s="3"/>
      <c r="EG892" s="3"/>
      <c r="EH892" s="3"/>
    </row>
    <row r="893" spans="1:138" s="82" customFormat="1" x14ac:dyDescent="0.2">
      <c r="A893" s="3"/>
      <c r="B893" s="167"/>
      <c r="C893" s="3"/>
      <c r="D893" s="3"/>
      <c r="E893" s="31"/>
      <c r="F893" s="133"/>
      <c r="G893" s="3"/>
      <c r="H893" s="31"/>
      <c r="I893" s="31"/>
      <c r="J893" s="3"/>
      <c r="K893" s="3"/>
      <c r="L893" s="3"/>
      <c r="M893" s="3"/>
      <c r="N893" s="3"/>
      <c r="O893" s="3"/>
      <c r="P893" s="3"/>
      <c r="Q893" s="3"/>
      <c r="R893" s="32"/>
      <c r="S893" s="32"/>
      <c r="T893" s="3"/>
      <c r="U893" s="33"/>
      <c r="V893" s="33"/>
      <c r="W893" s="3"/>
      <c r="X893" s="3"/>
      <c r="Y893" s="3"/>
      <c r="Z893" s="3"/>
      <c r="AA893" s="3"/>
      <c r="AB893" s="3"/>
      <c r="AC893" s="3"/>
      <c r="AD893" s="32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4"/>
      <c r="AT893" s="3"/>
      <c r="AU893" s="3"/>
      <c r="AV893" s="3"/>
      <c r="AW893" s="3"/>
      <c r="AX893" s="4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84"/>
      <c r="BZ893" s="84"/>
      <c r="CA893" s="84"/>
      <c r="CB893" s="84"/>
      <c r="CC893" s="84"/>
      <c r="CD893" s="84"/>
      <c r="CE893" s="84"/>
      <c r="CF893" s="84"/>
      <c r="CG893" s="84"/>
      <c r="CH893" s="84"/>
      <c r="CI893" s="84"/>
      <c r="CJ893" s="84"/>
      <c r="CK893" s="84"/>
      <c r="CL893" s="84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220"/>
      <c r="CY893" s="220"/>
      <c r="CZ893" s="220"/>
      <c r="DA893" s="220"/>
      <c r="DB893" s="237"/>
      <c r="DC893" s="238"/>
      <c r="DD893" s="238"/>
      <c r="DE893" s="238"/>
      <c r="DF893" s="238"/>
      <c r="DG893" s="238"/>
      <c r="DH893" s="238"/>
      <c r="DI893" s="238"/>
      <c r="DJ893" s="238"/>
      <c r="DK893" s="238"/>
      <c r="DL893" s="238"/>
      <c r="DM893" s="238"/>
      <c r="DN893" s="238"/>
      <c r="DO893" s="238"/>
      <c r="DP893" s="238"/>
      <c r="DQ893" s="238"/>
      <c r="DR893" s="238"/>
      <c r="DS893" s="238"/>
      <c r="DT893" s="238"/>
      <c r="DU893" s="238"/>
      <c r="DV893" s="238"/>
      <c r="DW893" s="238"/>
      <c r="DX893" s="238"/>
      <c r="DY893" s="238"/>
      <c r="DZ893" s="238"/>
      <c r="EA893" s="238"/>
      <c r="EB893" s="238"/>
      <c r="EC893" s="238"/>
      <c r="ED893" s="3"/>
      <c r="EE893" s="3"/>
      <c r="EF893" s="3"/>
      <c r="EG893" s="3"/>
      <c r="EH893" s="3"/>
    </row>
    <row r="894" spans="1:138" s="82" customFormat="1" x14ac:dyDescent="0.2">
      <c r="A894" s="3"/>
      <c r="B894" s="167"/>
      <c r="C894" s="3"/>
      <c r="D894" s="3"/>
      <c r="E894" s="31"/>
      <c r="F894" s="133"/>
      <c r="G894" s="3"/>
      <c r="H894" s="31"/>
      <c r="I894" s="31"/>
      <c r="J894" s="3"/>
      <c r="K894" s="3"/>
      <c r="L894" s="3"/>
      <c r="M894" s="3"/>
      <c r="N894" s="3"/>
      <c r="O894" s="3"/>
      <c r="P894" s="3"/>
      <c r="Q894" s="3"/>
      <c r="R894" s="32"/>
      <c r="S894" s="32"/>
      <c r="T894" s="3"/>
      <c r="U894" s="33"/>
      <c r="V894" s="33"/>
      <c r="W894" s="3"/>
      <c r="X894" s="3"/>
      <c r="Y894" s="3"/>
      <c r="Z894" s="3"/>
      <c r="AA894" s="3"/>
      <c r="AB894" s="3"/>
      <c r="AC894" s="3"/>
      <c r="AD894" s="32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4"/>
      <c r="AT894" s="3"/>
      <c r="AU894" s="3"/>
      <c r="AV894" s="3"/>
      <c r="AW894" s="3"/>
      <c r="AX894" s="4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84"/>
      <c r="BZ894" s="84"/>
      <c r="CA894" s="84"/>
      <c r="CB894" s="84"/>
      <c r="CC894" s="84"/>
      <c r="CD894" s="84"/>
      <c r="CE894" s="84"/>
      <c r="CF894" s="84"/>
      <c r="CG894" s="84"/>
      <c r="CH894" s="84"/>
      <c r="CI894" s="84"/>
      <c r="CJ894" s="84"/>
      <c r="CK894" s="84"/>
      <c r="CL894" s="84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220"/>
      <c r="CY894" s="220"/>
      <c r="CZ894" s="220"/>
      <c r="DA894" s="220"/>
      <c r="DB894" s="237"/>
      <c r="DC894" s="238"/>
      <c r="DD894" s="238"/>
      <c r="DE894" s="238"/>
      <c r="DF894" s="238"/>
      <c r="DG894" s="238"/>
      <c r="DH894" s="238"/>
      <c r="DI894" s="238"/>
      <c r="DJ894" s="238"/>
      <c r="DK894" s="238"/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38"/>
      <c r="DW894" s="238"/>
      <c r="DX894" s="238"/>
      <c r="DY894" s="238"/>
      <c r="DZ894" s="238"/>
      <c r="EA894" s="238"/>
      <c r="EB894" s="238"/>
      <c r="EC894" s="238"/>
      <c r="ED894" s="3"/>
      <c r="EE894" s="3"/>
      <c r="EF894" s="3"/>
      <c r="EG894" s="3"/>
      <c r="EH894" s="3"/>
    </row>
    <row r="895" spans="1:138" s="82" customFormat="1" x14ac:dyDescent="0.2">
      <c r="A895" s="3"/>
      <c r="B895" s="167"/>
      <c r="C895" s="3"/>
      <c r="D895" s="3"/>
      <c r="E895" s="31"/>
      <c r="F895" s="133"/>
      <c r="G895" s="3"/>
      <c r="H895" s="31"/>
      <c r="I895" s="31"/>
      <c r="J895" s="3"/>
      <c r="K895" s="3"/>
      <c r="L895" s="3"/>
      <c r="M895" s="3"/>
      <c r="N895" s="3"/>
      <c r="O895" s="3"/>
      <c r="P895" s="3"/>
      <c r="Q895" s="3"/>
      <c r="R895" s="32"/>
      <c r="S895" s="32"/>
      <c r="T895" s="3"/>
      <c r="U895" s="33"/>
      <c r="V895" s="33"/>
      <c r="W895" s="3"/>
      <c r="X895" s="3"/>
      <c r="Y895" s="3"/>
      <c r="Z895" s="3"/>
      <c r="AA895" s="3"/>
      <c r="AB895" s="3"/>
      <c r="AC895" s="3"/>
      <c r="AD895" s="32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4"/>
      <c r="AT895" s="3"/>
      <c r="AU895" s="3"/>
      <c r="AV895" s="3"/>
      <c r="AW895" s="3"/>
      <c r="AX895" s="4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84"/>
      <c r="BZ895" s="84"/>
      <c r="CA895" s="84"/>
      <c r="CB895" s="84"/>
      <c r="CC895" s="84"/>
      <c r="CD895" s="84"/>
      <c r="CE895" s="84"/>
      <c r="CF895" s="84"/>
      <c r="CG895" s="84"/>
      <c r="CH895" s="84"/>
      <c r="CI895" s="84"/>
      <c r="CJ895" s="84"/>
      <c r="CK895" s="84"/>
      <c r="CL895" s="84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220"/>
      <c r="CY895" s="220"/>
      <c r="CZ895" s="220"/>
      <c r="DA895" s="220"/>
      <c r="DB895" s="237"/>
      <c r="DC895" s="238"/>
      <c r="DD895" s="238"/>
      <c r="DE895" s="238"/>
      <c r="DF895" s="238"/>
      <c r="DG895" s="238"/>
      <c r="DH895" s="238"/>
      <c r="DI895" s="238"/>
      <c r="DJ895" s="238"/>
      <c r="DK895" s="238"/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38"/>
      <c r="DW895" s="238"/>
      <c r="DX895" s="238"/>
      <c r="DY895" s="238"/>
      <c r="DZ895" s="238"/>
      <c r="EA895" s="238"/>
      <c r="EB895" s="238"/>
      <c r="EC895" s="238"/>
      <c r="ED895" s="3"/>
      <c r="EE895" s="3"/>
      <c r="EF895" s="3"/>
      <c r="EG895" s="3"/>
      <c r="EH895" s="3"/>
    </row>
    <row r="896" spans="1:138" s="82" customFormat="1" x14ac:dyDescent="0.2">
      <c r="A896" s="3"/>
      <c r="B896" s="167"/>
      <c r="C896" s="3"/>
      <c r="D896" s="3"/>
      <c r="E896" s="31"/>
      <c r="F896" s="133"/>
      <c r="G896" s="3"/>
      <c r="H896" s="31"/>
      <c r="I896" s="31"/>
      <c r="J896" s="3"/>
      <c r="K896" s="3"/>
      <c r="L896" s="3"/>
      <c r="M896" s="3"/>
      <c r="N896" s="3"/>
      <c r="O896" s="3"/>
      <c r="P896" s="3"/>
      <c r="Q896" s="3"/>
      <c r="R896" s="32"/>
      <c r="S896" s="32"/>
      <c r="T896" s="3"/>
      <c r="U896" s="33"/>
      <c r="V896" s="33"/>
      <c r="W896" s="3"/>
      <c r="X896" s="3"/>
      <c r="Y896" s="3"/>
      <c r="Z896" s="3"/>
      <c r="AA896" s="3"/>
      <c r="AB896" s="3"/>
      <c r="AC896" s="3"/>
      <c r="AD896" s="32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4"/>
      <c r="AT896" s="3"/>
      <c r="AU896" s="3"/>
      <c r="AV896" s="3"/>
      <c r="AW896" s="3"/>
      <c r="AX896" s="4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84"/>
      <c r="BZ896" s="84"/>
      <c r="CA896" s="84"/>
      <c r="CB896" s="84"/>
      <c r="CC896" s="84"/>
      <c r="CD896" s="84"/>
      <c r="CE896" s="84"/>
      <c r="CF896" s="84"/>
      <c r="CG896" s="84"/>
      <c r="CH896" s="84"/>
      <c r="CI896" s="84"/>
      <c r="CJ896" s="84"/>
      <c r="CK896" s="84"/>
      <c r="CL896" s="84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220"/>
      <c r="CY896" s="220"/>
      <c r="CZ896" s="220"/>
      <c r="DA896" s="220"/>
      <c r="DB896" s="237"/>
      <c r="DC896" s="238"/>
      <c r="DD896" s="238"/>
      <c r="DE896" s="238"/>
      <c r="DF896" s="238"/>
      <c r="DG896" s="238"/>
      <c r="DH896" s="238"/>
      <c r="DI896" s="238"/>
      <c r="DJ896" s="238"/>
      <c r="DK896" s="238"/>
      <c r="DL896" s="238"/>
      <c r="DM896" s="238"/>
      <c r="DN896" s="238"/>
      <c r="DO896" s="238"/>
      <c r="DP896" s="238"/>
      <c r="DQ896" s="238"/>
      <c r="DR896" s="238"/>
      <c r="DS896" s="238"/>
      <c r="DT896" s="238"/>
      <c r="DU896" s="238"/>
      <c r="DV896" s="238"/>
      <c r="DW896" s="238"/>
      <c r="DX896" s="238"/>
      <c r="DY896" s="238"/>
      <c r="DZ896" s="238"/>
      <c r="EA896" s="238"/>
      <c r="EB896" s="238"/>
      <c r="EC896" s="238"/>
      <c r="ED896" s="3"/>
      <c r="EE896" s="3"/>
      <c r="EF896" s="3"/>
      <c r="EG896" s="3"/>
      <c r="EH896" s="3"/>
    </row>
    <row r="897" spans="1:138" s="82" customFormat="1" x14ac:dyDescent="0.2">
      <c r="A897" s="3"/>
      <c r="B897" s="167"/>
      <c r="C897" s="3"/>
      <c r="D897" s="3"/>
      <c r="E897" s="31"/>
      <c r="F897" s="133"/>
      <c r="G897" s="3"/>
      <c r="H897" s="31"/>
      <c r="I897" s="31"/>
      <c r="J897" s="3"/>
      <c r="K897" s="3"/>
      <c r="L897" s="3"/>
      <c r="M897" s="3"/>
      <c r="N897" s="3"/>
      <c r="O897" s="3"/>
      <c r="P897" s="3"/>
      <c r="Q897" s="3"/>
      <c r="R897" s="32"/>
      <c r="S897" s="32"/>
      <c r="T897" s="3"/>
      <c r="U897" s="33"/>
      <c r="V897" s="33"/>
      <c r="W897" s="3"/>
      <c r="X897" s="3"/>
      <c r="Y897" s="3"/>
      <c r="Z897" s="3"/>
      <c r="AA897" s="3"/>
      <c r="AB897" s="3"/>
      <c r="AC897" s="3"/>
      <c r="AD897" s="32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4"/>
      <c r="AT897" s="3"/>
      <c r="AU897" s="3"/>
      <c r="AV897" s="3"/>
      <c r="AW897" s="3"/>
      <c r="AX897" s="4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84"/>
      <c r="BZ897" s="84"/>
      <c r="CA897" s="84"/>
      <c r="CB897" s="84"/>
      <c r="CC897" s="84"/>
      <c r="CD897" s="84"/>
      <c r="CE897" s="84"/>
      <c r="CF897" s="84"/>
      <c r="CG897" s="84"/>
      <c r="CH897" s="84"/>
      <c r="CI897" s="84"/>
      <c r="CJ897" s="84"/>
      <c r="CK897" s="84"/>
      <c r="CL897" s="84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220"/>
      <c r="CY897" s="220"/>
      <c r="CZ897" s="220"/>
      <c r="DA897" s="220"/>
      <c r="DB897" s="237"/>
      <c r="DC897" s="238"/>
      <c r="DD897" s="238"/>
      <c r="DE897" s="238"/>
      <c r="DF897" s="238"/>
      <c r="DG897" s="238"/>
      <c r="DH897" s="238"/>
      <c r="DI897" s="238"/>
      <c r="DJ897" s="238"/>
      <c r="DK897" s="238"/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38"/>
      <c r="DW897" s="238"/>
      <c r="DX897" s="238"/>
      <c r="DY897" s="238"/>
      <c r="DZ897" s="238"/>
      <c r="EA897" s="238"/>
      <c r="EB897" s="238"/>
      <c r="EC897" s="238"/>
      <c r="ED897" s="3"/>
      <c r="EE897" s="3"/>
      <c r="EF897" s="3"/>
      <c r="EG897" s="3"/>
      <c r="EH897" s="3"/>
    </row>
    <row r="898" spans="1:138" s="82" customFormat="1" x14ac:dyDescent="0.2">
      <c r="A898" s="3"/>
      <c r="B898" s="167"/>
      <c r="C898" s="3"/>
      <c r="D898" s="3"/>
      <c r="E898" s="31"/>
      <c r="F898" s="133"/>
      <c r="G898" s="3"/>
      <c r="H898" s="31"/>
      <c r="I898" s="31"/>
      <c r="J898" s="3"/>
      <c r="K898" s="3"/>
      <c r="L898" s="3"/>
      <c r="M898" s="3"/>
      <c r="N898" s="3"/>
      <c r="O898" s="3"/>
      <c r="P898" s="3"/>
      <c r="Q898" s="3"/>
      <c r="R898" s="32"/>
      <c r="S898" s="32"/>
      <c r="T898" s="3"/>
      <c r="U898" s="33"/>
      <c r="V898" s="33"/>
      <c r="W898" s="3"/>
      <c r="X898" s="3"/>
      <c r="Y898" s="3"/>
      <c r="Z898" s="3"/>
      <c r="AA898" s="3"/>
      <c r="AB898" s="3"/>
      <c r="AC898" s="3"/>
      <c r="AD898" s="32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4"/>
      <c r="AT898" s="3"/>
      <c r="AU898" s="3"/>
      <c r="AV898" s="3"/>
      <c r="AW898" s="3"/>
      <c r="AX898" s="4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84"/>
      <c r="BZ898" s="84"/>
      <c r="CA898" s="84"/>
      <c r="CB898" s="84"/>
      <c r="CC898" s="84"/>
      <c r="CD898" s="84"/>
      <c r="CE898" s="84"/>
      <c r="CF898" s="84"/>
      <c r="CG898" s="84"/>
      <c r="CH898" s="84"/>
      <c r="CI898" s="84"/>
      <c r="CJ898" s="84"/>
      <c r="CK898" s="84"/>
      <c r="CL898" s="84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220"/>
      <c r="CY898" s="220"/>
      <c r="CZ898" s="220"/>
      <c r="DA898" s="220"/>
      <c r="DB898" s="237"/>
      <c r="DC898" s="238"/>
      <c r="DD898" s="238"/>
      <c r="DE898" s="238"/>
      <c r="DF898" s="238"/>
      <c r="DG898" s="238"/>
      <c r="DH898" s="238"/>
      <c r="DI898" s="238"/>
      <c r="DJ898" s="238"/>
      <c r="DK898" s="238"/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38"/>
      <c r="DW898" s="238"/>
      <c r="DX898" s="238"/>
      <c r="DY898" s="238"/>
      <c r="DZ898" s="238"/>
      <c r="EA898" s="238"/>
      <c r="EB898" s="238"/>
      <c r="EC898" s="238"/>
      <c r="ED898" s="3"/>
      <c r="EE898" s="3"/>
      <c r="EF898" s="3"/>
      <c r="EG898" s="3"/>
      <c r="EH898" s="3"/>
    </row>
    <row r="899" spans="1:138" s="82" customFormat="1" x14ac:dyDescent="0.2">
      <c r="A899" s="3"/>
      <c r="B899" s="167"/>
      <c r="C899" s="3"/>
      <c r="D899" s="3"/>
      <c r="E899" s="31"/>
      <c r="F899" s="133"/>
      <c r="G899" s="3"/>
      <c r="H899" s="31"/>
      <c r="I899" s="31"/>
      <c r="J899" s="3"/>
      <c r="K899" s="3"/>
      <c r="L899" s="3"/>
      <c r="M899" s="3"/>
      <c r="N899" s="3"/>
      <c r="O899" s="3"/>
      <c r="P899" s="3"/>
      <c r="Q899" s="3"/>
      <c r="R899" s="32"/>
      <c r="S899" s="32"/>
      <c r="T899" s="3"/>
      <c r="U899" s="33"/>
      <c r="V899" s="33"/>
      <c r="W899" s="3"/>
      <c r="X899" s="3"/>
      <c r="Y899" s="3"/>
      <c r="Z899" s="3"/>
      <c r="AA899" s="3"/>
      <c r="AB899" s="3"/>
      <c r="AC899" s="3"/>
      <c r="AD899" s="32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4"/>
      <c r="AT899" s="3"/>
      <c r="AU899" s="3"/>
      <c r="AV899" s="3"/>
      <c r="AW899" s="3"/>
      <c r="AX899" s="4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84"/>
      <c r="BZ899" s="84"/>
      <c r="CA899" s="84"/>
      <c r="CB899" s="84"/>
      <c r="CC899" s="84"/>
      <c r="CD899" s="84"/>
      <c r="CE899" s="84"/>
      <c r="CF899" s="84"/>
      <c r="CG899" s="84"/>
      <c r="CH899" s="84"/>
      <c r="CI899" s="84"/>
      <c r="CJ899" s="84"/>
      <c r="CK899" s="84"/>
      <c r="CL899" s="84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220"/>
      <c r="CY899" s="220"/>
      <c r="CZ899" s="220"/>
      <c r="DA899" s="220"/>
      <c r="DB899" s="237"/>
      <c r="DC899" s="238"/>
      <c r="DD899" s="238"/>
      <c r="DE899" s="238"/>
      <c r="DF899" s="238"/>
      <c r="DG899" s="238"/>
      <c r="DH899" s="238"/>
      <c r="DI899" s="238"/>
      <c r="DJ899" s="238"/>
      <c r="DK899" s="238"/>
      <c r="DL899" s="238"/>
      <c r="DM899" s="238"/>
      <c r="DN899" s="238"/>
      <c r="DO899" s="238"/>
      <c r="DP899" s="238"/>
      <c r="DQ899" s="238"/>
      <c r="DR899" s="238"/>
      <c r="DS899" s="238"/>
      <c r="DT899" s="238"/>
      <c r="DU899" s="238"/>
      <c r="DV899" s="238"/>
      <c r="DW899" s="238"/>
      <c r="DX899" s="238"/>
      <c r="DY899" s="238"/>
      <c r="DZ899" s="238"/>
      <c r="EA899" s="238"/>
      <c r="EB899" s="238"/>
      <c r="EC899" s="238"/>
      <c r="ED899" s="3"/>
      <c r="EE899" s="3"/>
      <c r="EF899" s="3"/>
      <c r="EG899" s="3"/>
      <c r="EH899" s="3"/>
    </row>
    <row r="900" spans="1:138" s="82" customFormat="1" x14ac:dyDescent="0.2">
      <c r="A900" s="3"/>
      <c r="B900" s="167"/>
      <c r="C900" s="3"/>
      <c r="D900" s="3"/>
      <c r="E900" s="31"/>
      <c r="F900" s="133"/>
      <c r="G900" s="3"/>
      <c r="H900" s="31"/>
      <c r="I900" s="31"/>
      <c r="J900" s="3"/>
      <c r="K900" s="3"/>
      <c r="L900" s="3"/>
      <c r="M900" s="3"/>
      <c r="N900" s="3"/>
      <c r="O900" s="3"/>
      <c r="P900" s="3"/>
      <c r="Q900" s="3"/>
      <c r="R900" s="32"/>
      <c r="S900" s="32"/>
      <c r="T900" s="3"/>
      <c r="U900" s="33"/>
      <c r="V900" s="33"/>
      <c r="W900" s="3"/>
      <c r="X900" s="3"/>
      <c r="Y900" s="3"/>
      <c r="Z900" s="3"/>
      <c r="AA900" s="3"/>
      <c r="AB900" s="3"/>
      <c r="AC900" s="3"/>
      <c r="AD900" s="32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4"/>
      <c r="AT900" s="3"/>
      <c r="AU900" s="3"/>
      <c r="AV900" s="3"/>
      <c r="AW900" s="3"/>
      <c r="AX900" s="4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84"/>
      <c r="BZ900" s="84"/>
      <c r="CA900" s="84"/>
      <c r="CB900" s="84"/>
      <c r="CC900" s="84"/>
      <c r="CD900" s="84"/>
      <c r="CE900" s="84"/>
      <c r="CF900" s="84"/>
      <c r="CG900" s="84"/>
      <c r="CH900" s="84"/>
      <c r="CI900" s="84"/>
      <c r="CJ900" s="84"/>
      <c r="CK900" s="84"/>
      <c r="CL900" s="84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220"/>
      <c r="CY900" s="220"/>
      <c r="CZ900" s="220"/>
      <c r="DA900" s="220"/>
      <c r="DB900" s="237"/>
      <c r="DC900" s="238"/>
      <c r="DD900" s="238"/>
      <c r="DE900" s="238"/>
      <c r="DF900" s="238"/>
      <c r="DG900" s="238"/>
      <c r="DH900" s="238"/>
      <c r="DI900" s="238"/>
      <c r="DJ900" s="238"/>
      <c r="DK900" s="238"/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38"/>
      <c r="DW900" s="238"/>
      <c r="DX900" s="238"/>
      <c r="DY900" s="238"/>
      <c r="DZ900" s="238"/>
      <c r="EA900" s="238"/>
      <c r="EB900" s="238"/>
      <c r="EC900" s="238"/>
      <c r="ED900" s="3"/>
      <c r="EE900" s="3"/>
      <c r="EF900" s="3"/>
      <c r="EG900" s="3"/>
      <c r="EH900" s="3"/>
    </row>
    <row r="901" spans="1:138" s="82" customFormat="1" x14ac:dyDescent="0.2">
      <c r="A901" s="3"/>
      <c r="B901" s="167"/>
      <c r="C901" s="3"/>
      <c r="D901" s="3"/>
      <c r="E901" s="31"/>
      <c r="F901" s="133"/>
      <c r="G901" s="3"/>
      <c r="H901" s="31"/>
      <c r="I901" s="31"/>
      <c r="J901" s="3"/>
      <c r="K901" s="3"/>
      <c r="L901" s="3"/>
      <c r="M901" s="3"/>
      <c r="N901" s="3"/>
      <c r="O901" s="3"/>
      <c r="P901" s="3"/>
      <c r="Q901" s="3"/>
      <c r="R901" s="32"/>
      <c r="S901" s="32"/>
      <c r="T901" s="3"/>
      <c r="U901" s="33"/>
      <c r="V901" s="33"/>
      <c r="W901" s="3"/>
      <c r="X901" s="3"/>
      <c r="Y901" s="3"/>
      <c r="Z901" s="3"/>
      <c r="AA901" s="3"/>
      <c r="AB901" s="3"/>
      <c r="AC901" s="3"/>
      <c r="AD901" s="32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4"/>
      <c r="AT901" s="3"/>
      <c r="AU901" s="3"/>
      <c r="AV901" s="3"/>
      <c r="AW901" s="3"/>
      <c r="AX901" s="4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84"/>
      <c r="BZ901" s="84"/>
      <c r="CA901" s="84"/>
      <c r="CB901" s="84"/>
      <c r="CC901" s="84"/>
      <c r="CD901" s="84"/>
      <c r="CE901" s="84"/>
      <c r="CF901" s="84"/>
      <c r="CG901" s="84"/>
      <c r="CH901" s="84"/>
      <c r="CI901" s="84"/>
      <c r="CJ901" s="84"/>
      <c r="CK901" s="84"/>
      <c r="CL901" s="84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220"/>
      <c r="CY901" s="220"/>
      <c r="CZ901" s="220"/>
      <c r="DA901" s="220"/>
      <c r="DB901" s="237"/>
      <c r="DC901" s="238"/>
      <c r="DD901" s="238"/>
      <c r="DE901" s="238"/>
      <c r="DF901" s="238"/>
      <c r="DG901" s="238"/>
      <c r="DH901" s="238"/>
      <c r="DI901" s="238"/>
      <c r="DJ901" s="238"/>
      <c r="DK901" s="238"/>
      <c r="DL901" s="238"/>
      <c r="DM901" s="238"/>
      <c r="DN901" s="238"/>
      <c r="DO901" s="238"/>
      <c r="DP901" s="238"/>
      <c r="DQ901" s="238"/>
      <c r="DR901" s="238"/>
      <c r="DS901" s="238"/>
      <c r="DT901" s="238"/>
      <c r="DU901" s="238"/>
      <c r="DV901" s="238"/>
      <c r="DW901" s="238"/>
      <c r="DX901" s="238"/>
      <c r="DY901" s="238"/>
      <c r="DZ901" s="238"/>
      <c r="EA901" s="238"/>
      <c r="EB901" s="238"/>
      <c r="EC901" s="238"/>
      <c r="ED901" s="3"/>
      <c r="EE901" s="3"/>
      <c r="EF901" s="3"/>
      <c r="EG901" s="3"/>
      <c r="EH901" s="3"/>
    </row>
    <row r="902" spans="1:138" s="82" customFormat="1" x14ac:dyDescent="0.2">
      <c r="A902" s="3"/>
      <c r="B902" s="167"/>
      <c r="C902" s="3"/>
      <c r="D902" s="3"/>
      <c r="E902" s="31"/>
      <c r="F902" s="133"/>
      <c r="G902" s="3"/>
      <c r="H902" s="31"/>
      <c r="I902" s="31"/>
      <c r="J902" s="3"/>
      <c r="K902" s="3"/>
      <c r="L902" s="3"/>
      <c r="M902" s="3"/>
      <c r="N902" s="3"/>
      <c r="O902" s="3"/>
      <c r="P902" s="3"/>
      <c r="Q902" s="3"/>
      <c r="R902" s="32"/>
      <c r="S902" s="32"/>
      <c r="T902" s="3"/>
      <c r="U902" s="33"/>
      <c r="V902" s="33"/>
      <c r="W902" s="3"/>
      <c r="X902" s="3"/>
      <c r="Y902" s="3"/>
      <c r="Z902" s="3"/>
      <c r="AA902" s="3"/>
      <c r="AB902" s="3"/>
      <c r="AC902" s="3"/>
      <c r="AD902" s="32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4"/>
      <c r="AT902" s="3"/>
      <c r="AU902" s="3"/>
      <c r="AV902" s="3"/>
      <c r="AW902" s="3"/>
      <c r="AX902" s="4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84"/>
      <c r="BZ902" s="84"/>
      <c r="CA902" s="84"/>
      <c r="CB902" s="84"/>
      <c r="CC902" s="84"/>
      <c r="CD902" s="84"/>
      <c r="CE902" s="84"/>
      <c r="CF902" s="84"/>
      <c r="CG902" s="84"/>
      <c r="CH902" s="84"/>
      <c r="CI902" s="84"/>
      <c r="CJ902" s="84"/>
      <c r="CK902" s="84"/>
      <c r="CL902" s="84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220"/>
      <c r="CY902" s="220"/>
      <c r="CZ902" s="220"/>
      <c r="DA902" s="220"/>
      <c r="DB902" s="237"/>
      <c r="DC902" s="238"/>
      <c r="DD902" s="238"/>
      <c r="DE902" s="238"/>
      <c r="DF902" s="238"/>
      <c r="DG902" s="238"/>
      <c r="DH902" s="238"/>
      <c r="DI902" s="238"/>
      <c r="DJ902" s="238"/>
      <c r="DK902" s="238"/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38"/>
      <c r="DW902" s="238"/>
      <c r="DX902" s="238"/>
      <c r="DY902" s="238"/>
      <c r="DZ902" s="238"/>
      <c r="EA902" s="238"/>
      <c r="EB902" s="238"/>
      <c r="EC902" s="238"/>
      <c r="ED902" s="3"/>
      <c r="EE902" s="3"/>
      <c r="EF902" s="3"/>
      <c r="EG902" s="3"/>
      <c r="EH902" s="3"/>
    </row>
    <row r="903" spans="1:138" s="82" customFormat="1" x14ac:dyDescent="0.2">
      <c r="A903" s="3"/>
      <c r="B903" s="167"/>
      <c r="C903" s="3"/>
      <c r="D903" s="3"/>
      <c r="E903" s="31"/>
      <c r="F903" s="133"/>
      <c r="G903" s="3"/>
      <c r="H903" s="31"/>
      <c r="I903" s="31"/>
      <c r="J903" s="3"/>
      <c r="K903" s="3"/>
      <c r="L903" s="3"/>
      <c r="M903" s="3"/>
      <c r="N903" s="3"/>
      <c r="O903" s="3"/>
      <c r="P903" s="3"/>
      <c r="Q903" s="3"/>
      <c r="R903" s="32"/>
      <c r="S903" s="32"/>
      <c r="T903" s="3"/>
      <c r="U903" s="33"/>
      <c r="V903" s="33"/>
      <c r="W903" s="3"/>
      <c r="X903" s="3"/>
      <c r="Y903" s="3"/>
      <c r="Z903" s="3"/>
      <c r="AA903" s="3"/>
      <c r="AB903" s="3"/>
      <c r="AC903" s="3"/>
      <c r="AD903" s="32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4"/>
      <c r="AT903" s="3"/>
      <c r="AU903" s="3"/>
      <c r="AV903" s="3"/>
      <c r="AW903" s="3"/>
      <c r="AX903" s="4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84"/>
      <c r="BZ903" s="84"/>
      <c r="CA903" s="84"/>
      <c r="CB903" s="84"/>
      <c r="CC903" s="84"/>
      <c r="CD903" s="84"/>
      <c r="CE903" s="84"/>
      <c r="CF903" s="84"/>
      <c r="CG903" s="84"/>
      <c r="CH903" s="84"/>
      <c r="CI903" s="84"/>
      <c r="CJ903" s="84"/>
      <c r="CK903" s="84"/>
      <c r="CL903" s="84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220"/>
      <c r="CY903" s="220"/>
      <c r="CZ903" s="220"/>
      <c r="DA903" s="220"/>
      <c r="DB903" s="237"/>
      <c r="DC903" s="238"/>
      <c r="DD903" s="238"/>
      <c r="DE903" s="238"/>
      <c r="DF903" s="238"/>
      <c r="DG903" s="238"/>
      <c r="DH903" s="238"/>
      <c r="DI903" s="238"/>
      <c r="DJ903" s="238"/>
      <c r="DK903" s="238"/>
      <c r="DL903" s="238"/>
      <c r="DM903" s="238"/>
      <c r="DN903" s="238"/>
      <c r="DO903" s="238"/>
      <c r="DP903" s="238"/>
      <c r="DQ903" s="238"/>
      <c r="DR903" s="238"/>
      <c r="DS903" s="238"/>
      <c r="DT903" s="238"/>
      <c r="DU903" s="238"/>
      <c r="DV903" s="238"/>
      <c r="DW903" s="238"/>
      <c r="DX903" s="238"/>
      <c r="DY903" s="238"/>
      <c r="DZ903" s="238"/>
      <c r="EA903" s="238"/>
      <c r="EB903" s="238"/>
      <c r="EC903" s="238"/>
      <c r="ED903" s="3"/>
      <c r="EE903" s="3"/>
      <c r="EF903" s="3"/>
      <c r="EG903" s="3"/>
      <c r="EH903" s="3"/>
    </row>
    <row r="904" spans="1:138" s="82" customFormat="1" x14ac:dyDescent="0.2">
      <c r="A904" s="3"/>
      <c r="B904" s="167"/>
      <c r="C904" s="3"/>
      <c r="D904" s="3"/>
      <c r="E904" s="31"/>
      <c r="F904" s="133"/>
      <c r="G904" s="3"/>
      <c r="H904" s="31"/>
      <c r="I904" s="31"/>
      <c r="J904" s="3"/>
      <c r="K904" s="3"/>
      <c r="L904" s="3"/>
      <c r="M904" s="3"/>
      <c r="N904" s="3"/>
      <c r="O904" s="3"/>
      <c r="P904" s="3"/>
      <c r="Q904" s="3"/>
      <c r="R904" s="32"/>
      <c r="S904" s="32"/>
      <c r="T904" s="3"/>
      <c r="U904" s="33"/>
      <c r="V904" s="33"/>
      <c r="W904" s="3"/>
      <c r="X904" s="3"/>
      <c r="Y904" s="3"/>
      <c r="Z904" s="3"/>
      <c r="AA904" s="3"/>
      <c r="AB904" s="3"/>
      <c r="AC904" s="3"/>
      <c r="AD904" s="32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4"/>
      <c r="AT904" s="3"/>
      <c r="AU904" s="3"/>
      <c r="AV904" s="3"/>
      <c r="AW904" s="3"/>
      <c r="AX904" s="4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84"/>
      <c r="BZ904" s="84"/>
      <c r="CA904" s="84"/>
      <c r="CB904" s="84"/>
      <c r="CC904" s="84"/>
      <c r="CD904" s="84"/>
      <c r="CE904" s="84"/>
      <c r="CF904" s="84"/>
      <c r="CG904" s="84"/>
      <c r="CH904" s="84"/>
      <c r="CI904" s="84"/>
      <c r="CJ904" s="84"/>
      <c r="CK904" s="84"/>
      <c r="CL904" s="84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220"/>
      <c r="CY904" s="220"/>
      <c r="CZ904" s="220"/>
      <c r="DA904" s="220"/>
      <c r="DB904" s="237"/>
      <c r="DC904" s="238"/>
      <c r="DD904" s="238"/>
      <c r="DE904" s="238"/>
      <c r="DF904" s="238"/>
      <c r="DG904" s="238"/>
      <c r="DH904" s="238"/>
      <c r="DI904" s="238"/>
      <c r="DJ904" s="238"/>
      <c r="DK904" s="238"/>
      <c r="DL904" s="238"/>
      <c r="DM904" s="238"/>
      <c r="DN904" s="238"/>
      <c r="DO904" s="238"/>
      <c r="DP904" s="238"/>
      <c r="DQ904" s="238"/>
      <c r="DR904" s="238"/>
      <c r="DS904" s="238"/>
      <c r="DT904" s="238"/>
      <c r="DU904" s="238"/>
      <c r="DV904" s="238"/>
      <c r="DW904" s="238"/>
      <c r="DX904" s="238"/>
      <c r="DY904" s="238"/>
      <c r="DZ904" s="238"/>
      <c r="EA904" s="238"/>
      <c r="EB904" s="238"/>
      <c r="EC904" s="238"/>
      <c r="ED904" s="3"/>
      <c r="EE904" s="3"/>
      <c r="EF904" s="3"/>
      <c r="EG904" s="3"/>
      <c r="EH904" s="3"/>
    </row>
    <row r="905" spans="1:138" s="82" customFormat="1" x14ac:dyDescent="0.2">
      <c r="A905" s="3"/>
      <c r="B905" s="167"/>
      <c r="C905" s="3"/>
      <c r="D905" s="3"/>
      <c r="E905" s="31"/>
      <c r="F905" s="133"/>
      <c r="G905" s="3"/>
      <c r="H905" s="31"/>
      <c r="I905" s="31"/>
      <c r="J905" s="3"/>
      <c r="K905" s="3"/>
      <c r="L905" s="3"/>
      <c r="M905" s="3"/>
      <c r="N905" s="3"/>
      <c r="O905" s="3"/>
      <c r="P905" s="3"/>
      <c r="Q905" s="3"/>
      <c r="R905" s="32"/>
      <c r="S905" s="32"/>
      <c r="T905" s="3"/>
      <c r="U905" s="33"/>
      <c r="V905" s="33"/>
      <c r="W905" s="3"/>
      <c r="X905" s="3"/>
      <c r="Y905" s="3"/>
      <c r="Z905" s="3"/>
      <c r="AA905" s="3"/>
      <c r="AB905" s="3"/>
      <c r="AC905" s="3"/>
      <c r="AD905" s="32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4"/>
      <c r="AT905" s="3"/>
      <c r="AU905" s="3"/>
      <c r="AV905" s="3"/>
      <c r="AW905" s="3"/>
      <c r="AX905" s="4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84"/>
      <c r="BZ905" s="84"/>
      <c r="CA905" s="84"/>
      <c r="CB905" s="84"/>
      <c r="CC905" s="84"/>
      <c r="CD905" s="84"/>
      <c r="CE905" s="84"/>
      <c r="CF905" s="84"/>
      <c r="CG905" s="84"/>
      <c r="CH905" s="84"/>
      <c r="CI905" s="84"/>
      <c r="CJ905" s="84"/>
      <c r="CK905" s="84"/>
      <c r="CL905" s="84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220"/>
      <c r="CY905" s="220"/>
      <c r="CZ905" s="220"/>
      <c r="DA905" s="220"/>
      <c r="DB905" s="237"/>
      <c r="DC905" s="238"/>
      <c r="DD905" s="238"/>
      <c r="DE905" s="238"/>
      <c r="DF905" s="238"/>
      <c r="DG905" s="238"/>
      <c r="DH905" s="238"/>
      <c r="DI905" s="238"/>
      <c r="DJ905" s="238"/>
      <c r="DK905" s="238"/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38"/>
      <c r="DW905" s="238"/>
      <c r="DX905" s="238"/>
      <c r="DY905" s="238"/>
      <c r="DZ905" s="238"/>
      <c r="EA905" s="238"/>
      <c r="EB905" s="238"/>
      <c r="EC905" s="238"/>
      <c r="ED905" s="3"/>
      <c r="EE905" s="3"/>
      <c r="EF905" s="3"/>
      <c r="EG905" s="3"/>
      <c r="EH905" s="3"/>
    </row>
    <row r="906" spans="1:138" s="82" customFormat="1" x14ac:dyDescent="0.2">
      <c r="A906" s="3"/>
      <c r="B906" s="167"/>
      <c r="C906" s="3"/>
      <c r="D906" s="3"/>
      <c r="E906" s="31"/>
      <c r="F906" s="133"/>
      <c r="G906" s="3"/>
      <c r="H906" s="31"/>
      <c r="I906" s="31"/>
      <c r="J906" s="3"/>
      <c r="K906" s="3"/>
      <c r="L906" s="3"/>
      <c r="M906" s="3"/>
      <c r="N906" s="3"/>
      <c r="O906" s="3"/>
      <c r="P906" s="3"/>
      <c r="Q906" s="3"/>
      <c r="R906" s="32"/>
      <c r="S906" s="32"/>
      <c r="T906" s="3"/>
      <c r="U906" s="33"/>
      <c r="V906" s="33"/>
      <c r="W906" s="3"/>
      <c r="X906" s="3"/>
      <c r="Y906" s="3"/>
      <c r="Z906" s="3"/>
      <c r="AA906" s="3"/>
      <c r="AB906" s="3"/>
      <c r="AC906" s="3"/>
      <c r="AD906" s="32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4"/>
      <c r="AT906" s="3"/>
      <c r="AU906" s="3"/>
      <c r="AV906" s="3"/>
      <c r="AW906" s="3"/>
      <c r="AX906" s="4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84"/>
      <c r="BZ906" s="84"/>
      <c r="CA906" s="84"/>
      <c r="CB906" s="84"/>
      <c r="CC906" s="84"/>
      <c r="CD906" s="84"/>
      <c r="CE906" s="84"/>
      <c r="CF906" s="84"/>
      <c r="CG906" s="84"/>
      <c r="CH906" s="84"/>
      <c r="CI906" s="84"/>
      <c r="CJ906" s="84"/>
      <c r="CK906" s="84"/>
      <c r="CL906" s="84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220"/>
      <c r="CY906" s="220"/>
      <c r="CZ906" s="220"/>
      <c r="DA906" s="220"/>
      <c r="DB906" s="237"/>
      <c r="DC906" s="238"/>
      <c r="DD906" s="238"/>
      <c r="DE906" s="238"/>
      <c r="DF906" s="238"/>
      <c r="DG906" s="238"/>
      <c r="DH906" s="238"/>
      <c r="DI906" s="238"/>
      <c r="DJ906" s="238"/>
      <c r="DK906" s="238"/>
      <c r="DL906" s="238"/>
      <c r="DM906" s="238"/>
      <c r="DN906" s="238"/>
      <c r="DO906" s="238"/>
      <c r="DP906" s="238"/>
      <c r="DQ906" s="238"/>
      <c r="DR906" s="238"/>
      <c r="DS906" s="238"/>
      <c r="DT906" s="238"/>
      <c r="DU906" s="238"/>
      <c r="DV906" s="238"/>
      <c r="DW906" s="238"/>
      <c r="DX906" s="238"/>
      <c r="DY906" s="238"/>
      <c r="DZ906" s="238"/>
      <c r="EA906" s="238"/>
      <c r="EB906" s="238"/>
      <c r="EC906" s="238"/>
      <c r="ED906" s="3"/>
      <c r="EE906" s="3"/>
      <c r="EF906" s="3"/>
      <c r="EG906" s="3"/>
      <c r="EH906" s="3"/>
    </row>
    <row r="907" spans="1:138" s="82" customFormat="1" x14ac:dyDescent="0.2">
      <c r="A907" s="3"/>
      <c r="B907" s="167"/>
      <c r="C907" s="3"/>
      <c r="D907" s="3"/>
      <c r="E907" s="31"/>
      <c r="F907" s="133"/>
      <c r="G907" s="3"/>
      <c r="H907" s="31"/>
      <c r="I907" s="31"/>
      <c r="J907" s="3"/>
      <c r="K907" s="3"/>
      <c r="L907" s="3"/>
      <c r="M907" s="3"/>
      <c r="N907" s="3"/>
      <c r="O907" s="3"/>
      <c r="P907" s="3"/>
      <c r="Q907" s="3"/>
      <c r="R907" s="32"/>
      <c r="S907" s="32"/>
      <c r="T907" s="3"/>
      <c r="U907" s="33"/>
      <c r="V907" s="33"/>
      <c r="W907" s="3"/>
      <c r="X907" s="3"/>
      <c r="Y907" s="3"/>
      <c r="Z907" s="3"/>
      <c r="AA907" s="3"/>
      <c r="AB907" s="3"/>
      <c r="AC907" s="3"/>
      <c r="AD907" s="32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4"/>
      <c r="AT907" s="3"/>
      <c r="AU907" s="3"/>
      <c r="AV907" s="3"/>
      <c r="AW907" s="3"/>
      <c r="AX907" s="4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84"/>
      <c r="BZ907" s="84"/>
      <c r="CA907" s="84"/>
      <c r="CB907" s="84"/>
      <c r="CC907" s="84"/>
      <c r="CD907" s="84"/>
      <c r="CE907" s="84"/>
      <c r="CF907" s="84"/>
      <c r="CG907" s="84"/>
      <c r="CH907" s="84"/>
      <c r="CI907" s="84"/>
      <c r="CJ907" s="84"/>
      <c r="CK907" s="84"/>
      <c r="CL907" s="84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220"/>
      <c r="CY907" s="220"/>
      <c r="CZ907" s="220"/>
      <c r="DA907" s="220"/>
      <c r="DB907" s="237"/>
      <c r="DC907" s="238"/>
      <c r="DD907" s="238"/>
      <c r="DE907" s="238"/>
      <c r="DF907" s="238"/>
      <c r="DG907" s="238"/>
      <c r="DH907" s="238"/>
      <c r="DI907" s="238"/>
      <c r="DJ907" s="238"/>
      <c r="DK907" s="238"/>
      <c r="DL907" s="238"/>
      <c r="DM907" s="238"/>
      <c r="DN907" s="238"/>
      <c r="DO907" s="238"/>
      <c r="DP907" s="238"/>
      <c r="DQ907" s="238"/>
      <c r="DR907" s="238"/>
      <c r="DS907" s="238"/>
      <c r="DT907" s="238"/>
      <c r="DU907" s="238"/>
      <c r="DV907" s="238"/>
      <c r="DW907" s="238"/>
      <c r="DX907" s="238"/>
      <c r="DY907" s="238"/>
      <c r="DZ907" s="238"/>
      <c r="EA907" s="238"/>
      <c r="EB907" s="238"/>
      <c r="EC907" s="238"/>
      <c r="ED907" s="3"/>
      <c r="EE907" s="3"/>
      <c r="EF907" s="3"/>
      <c r="EG907" s="3"/>
      <c r="EH907" s="3"/>
    </row>
    <row r="908" spans="1:138" s="82" customFormat="1" x14ac:dyDescent="0.2">
      <c r="A908" s="3"/>
      <c r="B908" s="167"/>
      <c r="C908" s="3"/>
      <c r="D908" s="3"/>
      <c r="E908" s="31"/>
      <c r="F908" s="133"/>
      <c r="G908" s="3"/>
      <c r="H908" s="31"/>
      <c r="I908" s="31"/>
      <c r="J908" s="3"/>
      <c r="K908" s="3"/>
      <c r="L908" s="3"/>
      <c r="M908" s="3"/>
      <c r="N908" s="3"/>
      <c r="O908" s="3"/>
      <c r="P908" s="3"/>
      <c r="Q908" s="3"/>
      <c r="R908" s="32"/>
      <c r="S908" s="32"/>
      <c r="T908" s="3"/>
      <c r="U908" s="33"/>
      <c r="V908" s="33"/>
      <c r="W908" s="3"/>
      <c r="X908" s="3"/>
      <c r="Y908" s="3"/>
      <c r="Z908" s="3"/>
      <c r="AA908" s="3"/>
      <c r="AB908" s="3"/>
      <c r="AC908" s="3"/>
      <c r="AD908" s="32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4"/>
      <c r="AT908" s="3"/>
      <c r="AU908" s="3"/>
      <c r="AV908" s="3"/>
      <c r="AW908" s="3"/>
      <c r="AX908" s="4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84"/>
      <c r="BZ908" s="84"/>
      <c r="CA908" s="84"/>
      <c r="CB908" s="84"/>
      <c r="CC908" s="84"/>
      <c r="CD908" s="84"/>
      <c r="CE908" s="84"/>
      <c r="CF908" s="84"/>
      <c r="CG908" s="84"/>
      <c r="CH908" s="84"/>
      <c r="CI908" s="84"/>
      <c r="CJ908" s="84"/>
      <c r="CK908" s="84"/>
      <c r="CL908" s="84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220"/>
      <c r="CY908" s="220"/>
      <c r="CZ908" s="220"/>
      <c r="DA908" s="220"/>
      <c r="DB908" s="237"/>
      <c r="DC908" s="238"/>
      <c r="DD908" s="238"/>
      <c r="DE908" s="238"/>
      <c r="DF908" s="238"/>
      <c r="DG908" s="238"/>
      <c r="DH908" s="238"/>
      <c r="DI908" s="238"/>
      <c r="DJ908" s="238"/>
      <c r="DK908" s="238"/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38"/>
      <c r="DW908" s="238"/>
      <c r="DX908" s="238"/>
      <c r="DY908" s="238"/>
      <c r="DZ908" s="238"/>
      <c r="EA908" s="238"/>
      <c r="EB908" s="238"/>
      <c r="EC908" s="238"/>
      <c r="ED908" s="3"/>
      <c r="EE908" s="3"/>
      <c r="EF908" s="3"/>
      <c r="EG908" s="3"/>
      <c r="EH908" s="3"/>
    </row>
    <row r="909" spans="1:138" s="82" customFormat="1" x14ac:dyDescent="0.2">
      <c r="A909" s="3"/>
      <c r="B909" s="167"/>
      <c r="C909" s="3"/>
      <c r="D909" s="3"/>
      <c r="E909" s="31"/>
      <c r="F909" s="133"/>
      <c r="G909" s="3"/>
      <c r="H909" s="31"/>
      <c r="I909" s="31"/>
      <c r="J909" s="3"/>
      <c r="K909" s="3"/>
      <c r="L909" s="3"/>
      <c r="M909" s="3"/>
      <c r="N909" s="3"/>
      <c r="O909" s="3"/>
      <c r="P909" s="3"/>
      <c r="Q909" s="3"/>
      <c r="R909" s="32"/>
      <c r="S909" s="32"/>
      <c r="T909" s="3"/>
      <c r="U909" s="33"/>
      <c r="V909" s="33"/>
      <c r="W909" s="3"/>
      <c r="X909" s="3"/>
      <c r="Y909" s="3"/>
      <c r="Z909" s="3"/>
      <c r="AA909" s="3"/>
      <c r="AB909" s="3"/>
      <c r="AC909" s="3"/>
      <c r="AD909" s="32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4"/>
      <c r="AT909" s="3"/>
      <c r="AU909" s="3"/>
      <c r="AV909" s="3"/>
      <c r="AW909" s="3"/>
      <c r="AX909" s="4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84"/>
      <c r="BZ909" s="84"/>
      <c r="CA909" s="84"/>
      <c r="CB909" s="84"/>
      <c r="CC909" s="84"/>
      <c r="CD909" s="84"/>
      <c r="CE909" s="84"/>
      <c r="CF909" s="84"/>
      <c r="CG909" s="84"/>
      <c r="CH909" s="84"/>
      <c r="CI909" s="84"/>
      <c r="CJ909" s="84"/>
      <c r="CK909" s="84"/>
      <c r="CL909" s="84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220"/>
      <c r="CY909" s="220"/>
      <c r="CZ909" s="220"/>
      <c r="DA909" s="220"/>
      <c r="DB909" s="237"/>
      <c r="DC909" s="238"/>
      <c r="DD909" s="238"/>
      <c r="DE909" s="238"/>
      <c r="DF909" s="238"/>
      <c r="DG909" s="238"/>
      <c r="DH909" s="238"/>
      <c r="DI909" s="238"/>
      <c r="DJ909" s="238"/>
      <c r="DK909" s="238"/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38"/>
      <c r="DW909" s="238"/>
      <c r="DX909" s="238"/>
      <c r="DY909" s="238"/>
      <c r="DZ909" s="238"/>
      <c r="EA909" s="238"/>
      <c r="EB909" s="238"/>
      <c r="EC909" s="238"/>
      <c r="ED909" s="3"/>
      <c r="EE909" s="3"/>
      <c r="EF909" s="3"/>
      <c r="EG909" s="3"/>
      <c r="EH909" s="3"/>
    </row>
    <row r="910" spans="1:138" s="82" customFormat="1" x14ac:dyDescent="0.2">
      <c r="A910" s="3"/>
      <c r="B910" s="167"/>
      <c r="C910" s="3"/>
      <c r="D910" s="3"/>
      <c r="E910" s="31"/>
      <c r="F910" s="133"/>
      <c r="G910" s="3"/>
      <c r="H910" s="31"/>
      <c r="I910" s="31"/>
      <c r="J910" s="3"/>
      <c r="K910" s="3"/>
      <c r="L910" s="3"/>
      <c r="M910" s="3"/>
      <c r="N910" s="3"/>
      <c r="O910" s="3"/>
      <c r="P910" s="3"/>
      <c r="Q910" s="3"/>
      <c r="R910" s="32"/>
      <c r="S910" s="32"/>
      <c r="T910" s="3"/>
      <c r="U910" s="33"/>
      <c r="V910" s="33"/>
      <c r="W910" s="3"/>
      <c r="X910" s="3"/>
      <c r="Y910" s="3"/>
      <c r="Z910" s="3"/>
      <c r="AA910" s="3"/>
      <c r="AB910" s="3"/>
      <c r="AC910" s="3"/>
      <c r="AD910" s="32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4"/>
      <c r="AT910" s="3"/>
      <c r="AU910" s="3"/>
      <c r="AV910" s="3"/>
      <c r="AW910" s="3"/>
      <c r="AX910" s="4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84"/>
      <c r="BZ910" s="84"/>
      <c r="CA910" s="84"/>
      <c r="CB910" s="84"/>
      <c r="CC910" s="84"/>
      <c r="CD910" s="84"/>
      <c r="CE910" s="84"/>
      <c r="CF910" s="84"/>
      <c r="CG910" s="84"/>
      <c r="CH910" s="84"/>
      <c r="CI910" s="84"/>
      <c r="CJ910" s="84"/>
      <c r="CK910" s="84"/>
      <c r="CL910" s="84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220"/>
      <c r="CY910" s="220"/>
      <c r="CZ910" s="220"/>
      <c r="DA910" s="220"/>
      <c r="DB910" s="237"/>
      <c r="DC910" s="238"/>
      <c r="DD910" s="238"/>
      <c r="DE910" s="238"/>
      <c r="DF910" s="238"/>
      <c r="DG910" s="238"/>
      <c r="DH910" s="238"/>
      <c r="DI910" s="238"/>
      <c r="DJ910" s="238"/>
      <c r="DK910" s="238"/>
      <c r="DL910" s="238"/>
      <c r="DM910" s="238"/>
      <c r="DN910" s="238"/>
      <c r="DO910" s="238"/>
      <c r="DP910" s="238"/>
      <c r="DQ910" s="238"/>
      <c r="DR910" s="238"/>
      <c r="DS910" s="238"/>
      <c r="DT910" s="238"/>
      <c r="DU910" s="238"/>
      <c r="DV910" s="238"/>
      <c r="DW910" s="238"/>
      <c r="DX910" s="238"/>
      <c r="DY910" s="238"/>
      <c r="DZ910" s="238"/>
      <c r="EA910" s="238"/>
      <c r="EB910" s="238"/>
      <c r="EC910" s="238"/>
      <c r="ED910" s="3"/>
      <c r="EE910" s="3"/>
      <c r="EF910" s="3"/>
      <c r="EG910" s="3"/>
      <c r="EH910" s="3"/>
    </row>
    <row r="911" spans="1:138" s="82" customFormat="1" x14ac:dyDescent="0.2">
      <c r="A911" s="3"/>
      <c r="B911" s="167"/>
      <c r="C911" s="3"/>
      <c r="D911" s="3"/>
      <c r="E911" s="31"/>
      <c r="F911" s="133"/>
      <c r="G911" s="3"/>
      <c r="H911" s="31"/>
      <c r="I911" s="31"/>
      <c r="J911" s="3"/>
      <c r="K911" s="3"/>
      <c r="L911" s="3"/>
      <c r="M911" s="3"/>
      <c r="N911" s="3"/>
      <c r="O911" s="3"/>
      <c r="P911" s="3"/>
      <c r="Q911" s="3"/>
      <c r="R911" s="32"/>
      <c r="S911" s="32"/>
      <c r="T911" s="3"/>
      <c r="U911" s="33"/>
      <c r="V911" s="33"/>
      <c r="W911" s="3"/>
      <c r="X911" s="3"/>
      <c r="Y911" s="3"/>
      <c r="Z911" s="3"/>
      <c r="AA911" s="3"/>
      <c r="AB911" s="3"/>
      <c r="AC911" s="3"/>
      <c r="AD911" s="32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4"/>
      <c r="AT911" s="3"/>
      <c r="AU911" s="3"/>
      <c r="AV911" s="3"/>
      <c r="AW911" s="3"/>
      <c r="AX911" s="4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84"/>
      <c r="BZ911" s="84"/>
      <c r="CA911" s="84"/>
      <c r="CB911" s="84"/>
      <c r="CC911" s="84"/>
      <c r="CD911" s="84"/>
      <c r="CE911" s="84"/>
      <c r="CF911" s="84"/>
      <c r="CG911" s="84"/>
      <c r="CH911" s="84"/>
      <c r="CI911" s="84"/>
      <c r="CJ911" s="84"/>
      <c r="CK911" s="84"/>
      <c r="CL911" s="84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220"/>
      <c r="CY911" s="220"/>
      <c r="CZ911" s="220"/>
      <c r="DA911" s="220"/>
      <c r="DB911" s="237"/>
      <c r="DC911" s="238"/>
      <c r="DD911" s="238"/>
      <c r="DE911" s="238"/>
      <c r="DF911" s="238"/>
      <c r="DG911" s="238"/>
      <c r="DH911" s="238"/>
      <c r="DI911" s="238"/>
      <c r="DJ911" s="238"/>
      <c r="DK911" s="238"/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38"/>
      <c r="DW911" s="238"/>
      <c r="DX911" s="238"/>
      <c r="DY911" s="238"/>
      <c r="DZ911" s="238"/>
      <c r="EA911" s="238"/>
      <c r="EB911" s="238"/>
      <c r="EC911" s="238"/>
      <c r="ED911" s="3"/>
      <c r="EE911" s="3"/>
      <c r="EF911" s="3"/>
      <c r="EG911" s="3"/>
      <c r="EH911" s="3"/>
    </row>
    <row r="912" spans="1:138" s="82" customFormat="1" x14ac:dyDescent="0.2">
      <c r="A912" s="3"/>
      <c r="B912" s="167"/>
      <c r="C912" s="3"/>
      <c r="D912" s="3"/>
      <c r="E912" s="31"/>
      <c r="F912" s="133"/>
      <c r="G912" s="3"/>
      <c r="H912" s="31"/>
      <c r="I912" s="31"/>
      <c r="J912" s="3"/>
      <c r="K912" s="3"/>
      <c r="L912" s="3"/>
      <c r="M912" s="3"/>
      <c r="N912" s="3"/>
      <c r="O912" s="3"/>
      <c r="P912" s="3"/>
      <c r="Q912" s="3"/>
      <c r="R912" s="32"/>
      <c r="S912" s="32"/>
      <c r="T912" s="3"/>
      <c r="U912" s="33"/>
      <c r="V912" s="33"/>
      <c r="W912" s="3"/>
      <c r="X912" s="3"/>
      <c r="Y912" s="3"/>
      <c r="Z912" s="3"/>
      <c r="AA912" s="3"/>
      <c r="AB912" s="3"/>
      <c r="AC912" s="3"/>
      <c r="AD912" s="32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4"/>
      <c r="AT912" s="3"/>
      <c r="AU912" s="3"/>
      <c r="AV912" s="3"/>
      <c r="AW912" s="3"/>
      <c r="AX912" s="4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84"/>
      <c r="BZ912" s="84"/>
      <c r="CA912" s="84"/>
      <c r="CB912" s="84"/>
      <c r="CC912" s="84"/>
      <c r="CD912" s="84"/>
      <c r="CE912" s="84"/>
      <c r="CF912" s="84"/>
      <c r="CG912" s="84"/>
      <c r="CH912" s="84"/>
      <c r="CI912" s="84"/>
      <c r="CJ912" s="84"/>
      <c r="CK912" s="84"/>
      <c r="CL912" s="84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220"/>
      <c r="CY912" s="220"/>
      <c r="CZ912" s="220"/>
      <c r="DA912" s="220"/>
      <c r="DB912" s="237"/>
      <c r="DC912" s="238"/>
      <c r="DD912" s="238"/>
      <c r="DE912" s="238"/>
      <c r="DF912" s="238"/>
      <c r="DG912" s="238"/>
      <c r="DH912" s="238"/>
      <c r="DI912" s="238"/>
      <c r="DJ912" s="238"/>
      <c r="DK912" s="238"/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38"/>
      <c r="DW912" s="238"/>
      <c r="DX912" s="238"/>
      <c r="DY912" s="238"/>
      <c r="DZ912" s="238"/>
      <c r="EA912" s="238"/>
      <c r="EB912" s="238"/>
      <c r="EC912" s="238"/>
      <c r="ED912" s="3"/>
      <c r="EE912" s="3"/>
      <c r="EF912" s="3"/>
      <c r="EG912" s="3"/>
      <c r="EH912" s="3"/>
    </row>
    <row r="913" spans="1:138" s="82" customFormat="1" x14ac:dyDescent="0.2">
      <c r="A913" s="3"/>
      <c r="B913" s="167"/>
      <c r="C913" s="3"/>
      <c r="D913" s="3"/>
      <c r="E913" s="31"/>
      <c r="F913" s="133"/>
      <c r="G913" s="3"/>
      <c r="H913" s="31"/>
      <c r="I913" s="31"/>
      <c r="J913" s="3"/>
      <c r="K913" s="3"/>
      <c r="L913" s="3"/>
      <c r="M913" s="3"/>
      <c r="N913" s="3"/>
      <c r="O913" s="3"/>
      <c r="P913" s="3"/>
      <c r="Q913" s="3"/>
      <c r="R913" s="32"/>
      <c r="S913" s="32"/>
      <c r="T913" s="3"/>
      <c r="U913" s="33"/>
      <c r="V913" s="33"/>
      <c r="W913" s="3"/>
      <c r="X913" s="3"/>
      <c r="Y913" s="3"/>
      <c r="Z913" s="3"/>
      <c r="AA913" s="3"/>
      <c r="AB913" s="3"/>
      <c r="AC913" s="3"/>
      <c r="AD913" s="32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4"/>
      <c r="AT913" s="3"/>
      <c r="AU913" s="3"/>
      <c r="AV913" s="3"/>
      <c r="AW913" s="3"/>
      <c r="AX913" s="4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84"/>
      <c r="BZ913" s="84"/>
      <c r="CA913" s="84"/>
      <c r="CB913" s="84"/>
      <c r="CC913" s="84"/>
      <c r="CD913" s="84"/>
      <c r="CE913" s="84"/>
      <c r="CF913" s="84"/>
      <c r="CG913" s="84"/>
      <c r="CH913" s="84"/>
      <c r="CI913" s="84"/>
      <c r="CJ913" s="84"/>
      <c r="CK913" s="84"/>
      <c r="CL913" s="84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220"/>
      <c r="CY913" s="220"/>
      <c r="CZ913" s="220"/>
      <c r="DA913" s="220"/>
      <c r="DB913" s="237"/>
      <c r="DC913" s="238"/>
      <c r="DD913" s="238"/>
      <c r="DE913" s="238"/>
      <c r="DF913" s="238"/>
      <c r="DG913" s="238"/>
      <c r="DH913" s="238"/>
      <c r="DI913" s="238"/>
      <c r="DJ913" s="238"/>
      <c r="DK913" s="238"/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38"/>
      <c r="DW913" s="238"/>
      <c r="DX913" s="238"/>
      <c r="DY913" s="238"/>
      <c r="DZ913" s="238"/>
      <c r="EA913" s="238"/>
      <c r="EB913" s="238"/>
      <c r="EC913" s="238"/>
      <c r="ED913" s="3"/>
      <c r="EE913" s="3"/>
      <c r="EF913" s="3"/>
      <c r="EG913" s="3"/>
      <c r="EH913" s="3"/>
    </row>
    <row r="914" spans="1:138" s="82" customFormat="1" x14ac:dyDescent="0.2">
      <c r="A914" s="3"/>
      <c r="B914" s="167"/>
      <c r="C914" s="3"/>
      <c r="D914" s="3"/>
      <c r="E914" s="31"/>
      <c r="F914" s="133"/>
      <c r="G914" s="3"/>
      <c r="H914" s="31"/>
      <c r="I914" s="31"/>
      <c r="J914" s="3"/>
      <c r="K914" s="3"/>
      <c r="L914" s="3"/>
      <c r="M914" s="3"/>
      <c r="N914" s="3"/>
      <c r="O914" s="3"/>
      <c r="P914" s="3"/>
      <c r="Q914" s="3"/>
      <c r="R914" s="32"/>
      <c r="S914" s="32"/>
      <c r="T914" s="3"/>
      <c r="U914" s="33"/>
      <c r="V914" s="33"/>
      <c r="W914" s="3"/>
      <c r="X914" s="3"/>
      <c r="Y914" s="3"/>
      <c r="Z914" s="3"/>
      <c r="AA914" s="3"/>
      <c r="AB914" s="3"/>
      <c r="AC914" s="3"/>
      <c r="AD914" s="32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4"/>
      <c r="AT914" s="3"/>
      <c r="AU914" s="3"/>
      <c r="AV914" s="3"/>
      <c r="AW914" s="3"/>
      <c r="AX914" s="4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84"/>
      <c r="BZ914" s="84"/>
      <c r="CA914" s="84"/>
      <c r="CB914" s="84"/>
      <c r="CC914" s="84"/>
      <c r="CD914" s="84"/>
      <c r="CE914" s="84"/>
      <c r="CF914" s="84"/>
      <c r="CG914" s="84"/>
      <c r="CH914" s="84"/>
      <c r="CI914" s="84"/>
      <c r="CJ914" s="84"/>
      <c r="CK914" s="84"/>
      <c r="CL914" s="84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220"/>
      <c r="CY914" s="220"/>
      <c r="CZ914" s="220"/>
      <c r="DA914" s="220"/>
      <c r="DB914" s="237"/>
      <c r="DC914" s="238"/>
      <c r="DD914" s="238"/>
      <c r="DE914" s="238"/>
      <c r="DF914" s="238"/>
      <c r="DG914" s="238"/>
      <c r="DH914" s="238"/>
      <c r="DI914" s="238"/>
      <c r="DJ914" s="238"/>
      <c r="DK914" s="238"/>
      <c r="DL914" s="238"/>
      <c r="DM914" s="238"/>
      <c r="DN914" s="238"/>
      <c r="DO914" s="238"/>
      <c r="DP914" s="238"/>
      <c r="DQ914" s="238"/>
      <c r="DR914" s="238"/>
      <c r="DS914" s="238"/>
      <c r="DT914" s="238"/>
      <c r="DU914" s="238"/>
      <c r="DV914" s="238"/>
      <c r="DW914" s="238"/>
      <c r="DX914" s="238"/>
      <c r="DY914" s="238"/>
      <c r="DZ914" s="238"/>
      <c r="EA914" s="238"/>
      <c r="EB914" s="238"/>
      <c r="EC914" s="238"/>
      <c r="ED914" s="3"/>
      <c r="EE914" s="3"/>
      <c r="EF914" s="3"/>
      <c r="EG914" s="3"/>
      <c r="EH914" s="3"/>
    </row>
    <row r="915" spans="1:138" s="82" customFormat="1" x14ac:dyDescent="0.2">
      <c r="A915" s="3"/>
      <c r="B915" s="167"/>
      <c r="C915" s="3"/>
      <c r="D915" s="3"/>
      <c r="E915" s="31"/>
      <c r="F915" s="133"/>
      <c r="G915" s="3"/>
      <c r="H915" s="31"/>
      <c r="I915" s="31"/>
      <c r="J915" s="3"/>
      <c r="K915" s="3"/>
      <c r="L915" s="3"/>
      <c r="M915" s="3"/>
      <c r="N915" s="3"/>
      <c r="O915" s="3"/>
      <c r="P915" s="3"/>
      <c r="Q915" s="3"/>
      <c r="R915" s="32"/>
      <c r="S915" s="32"/>
      <c r="T915" s="3"/>
      <c r="U915" s="33"/>
      <c r="V915" s="33"/>
      <c r="W915" s="3"/>
      <c r="X915" s="3"/>
      <c r="Y915" s="3"/>
      <c r="Z915" s="3"/>
      <c r="AA915" s="3"/>
      <c r="AB915" s="3"/>
      <c r="AC915" s="3"/>
      <c r="AD915" s="32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4"/>
      <c r="AT915" s="3"/>
      <c r="AU915" s="3"/>
      <c r="AV915" s="3"/>
      <c r="AW915" s="3"/>
      <c r="AX915" s="4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84"/>
      <c r="BZ915" s="84"/>
      <c r="CA915" s="84"/>
      <c r="CB915" s="84"/>
      <c r="CC915" s="84"/>
      <c r="CD915" s="84"/>
      <c r="CE915" s="84"/>
      <c r="CF915" s="84"/>
      <c r="CG915" s="84"/>
      <c r="CH915" s="84"/>
      <c r="CI915" s="84"/>
      <c r="CJ915" s="84"/>
      <c r="CK915" s="84"/>
      <c r="CL915" s="84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220"/>
      <c r="CY915" s="220"/>
      <c r="CZ915" s="220"/>
      <c r="DA915" s="220"/>
      <c r="DB915" s="237"/>
      <c r="DC915" s="238"/>
      <c r="DD915" s="238"/>
      <c r="DE915" s="238"/>
      <c r="DF915" s="238"/>
      <c r="DG915" s="238"/>
      <c r="DH915" s="238"/>
      <c r="DI915" s="238"/>
      <c r="DJ915" s="238"/>
      <c r="DK915" s="238"/>
      <c r="DL915" s="238"/>
      <c r="DM915" s="238"/>
      <c r="DN915" s="238"/>
      <c r="DO915" s="238"/>
      <c r="DP915" s="238"/>
      <c r="DQ915" s="238"/>
      <c r="DR915" s="238"/>
      <c r="DS915" s="238"/>
      <c r="DT915" s="238"/>
      <c r="DU915" s="238"/>
      <c r="DV915" s="238"/>
      <c r="DW915" s="238"/>
      <c r="DX915" s="238"/>
      <c r="DY915" s="238"/>
      <c r="DZ915" s="238"/>
      <c r="EA915" s="238"/>
      <c r="EB915" s="238"/>
      <c r="EC915" s="238"/>
      <c r="ED915" s="3"/>
      <c r="EE915" s="3"/>
      <c r="EF915" s="3"/>
      <c r="EG915" s="3"/>
      <c r="EH915" s="3"/>
    </row>
    <row r="916" spans="1:138" s="82" customFormat="1" x14ac:dyDescent="0.2">
      <c r="A916" s="3"/>
      <c r="B916" s="167"/>
      <c r="C916" s="3"/>
      <c r="D916" s="3"/>
      <c r="E916" s="31"/>
      <c r="F916" s="133"/>
      <c r="G916" s="3"/>
      <c r="H916" s="31"/>
      <c r="I916" s="31"/>
      <c r="J916" s="3"/>
      <c r="K916" s="3"/>
      <c r="L916" s="3"/>
      <c r="M916" s="3"/>
      <c r="N916" s="3"/>
      <c r="O916" s="3"/>
      <c r="P916" s="3"/>
      <c r="Q916" s="3"/>
      <c r="R916" s="32"/>
      <c r="S916" s="32"/>
      <c r="T916" s="3"/>
      <c r="U916" s="33"/>
      <c r="V916" s="33"/>
      <c r="W916" s="3"/>
      <c r="X916" s="3"/>
      <c r="Y916" s="3"/>
      <c r="Z916" s="3"/>
      <c r="AA916" s="3"/>
      <c r="AB916" s="3"/>
      <c r="AC916" s="3"/>
      <c r="AD916" s="32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4"/>
      <c r="AT916" s="3"/>
      <c r="AU916" s="3"/>
      <c r="AV916" s="3"/>
      <c r="AW916" s="3"/>
      <c r="AX916" s="4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84"/>
      <c r="BZ916" s="84"/>
      <c r="CA916" s="84"/>
      <c r="CB916" s="84"/>
      <c r="CC916" s="84"/>
      <c r="CD916" s="84"/>
      <c r="CE916" s="84"/>
      <c r="CF916" s="84"/>
      <c r="CG916" s="84"/>
      <c r="CH916" s="84"/>
      <c r="CI916" s="84"/>
      <c r="CJ916" s="84"/>
      <c r="CK916" s="84"/>
      <c r="CL916" s="84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220"/>
      <c r="CY916" s="220"/>
      <c r="CZ916" s="220"/>
      <c r="DA916" s="220"/>
      <c r="DB916" s="237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238"/>
      <c r="EC916" s="238"/>
      <c r="ED916" s="3"/>
      <c r="EE916" s="3"/>
      <c r="EF916" s="3"/>
      <c r="EG916" s="3"/>
      <c r="EH916" s="3"/>
    </row>
    <row r="917" spans="1:138" s="82" customFormat="1" x14ac:dyDescent="0.2">
      <c r="A917" s="3"/>
      <c r="B917" s="167"/>
      <c r="C917" s="3"/>
      <c r="D917" s="3"/>
      <c r="E917" s="31"/>
      <c r="F917" s="133"/>
      <c r="G917" s="3"/>
      <c r="H917" s="31"/>
      <c r="I917" s="31"/>
      <c r="J917" s="3"/>
      <c r="K917" s="3"/>
      <c r="L917" s="3"/>
      <c r="M917" s="3"/>
      <c r="N917" s="3"/>
      <c r="O917" s="3"/>
      <c r="P917" s="3"/>
      <c r="Q917" s="3"/>
      <c r="R917" s="32"/>
      <c r="S917" s="32"/>
      <c r="T917" s="3"/>
      <c r="U917" s="33"/>
      <c r="V917" s="33"/>
      <c r="W917" s="3"/>
      <c r="X917" s="3"/>
      <c r="Y917" s="3"/>
      <c r="Z917" s="3"/>
      <c r="AA917" s="3"/>
      <c r="AB917" s="3"/>
      <c r="AC917" s="3"/>
      <c r="AD917" s="32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4"/>
      <c r="AT917" s="3"/>
      <c r="AU917" s="3"/>
      <c r="AV917" s="3"/>
      <c r="AW917" s="3"/>
      <c r="AX917" s="4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84"/>
      <c r="BZ917" s="84"/>
      <c r="CA917" s="84"/>
      <c r="CB917" s="84"/>
      <c r="CC917" s="84"/>
      <c r="CD917" s="84"/>
      <c r="CE917" s="84"/>
      <c r="CF917" s="84"/>
      <c r="CG917" s="84"/>
      <c r="CH917" s="84"/>
      <c r="CI917" s="84"/>
      <c r="CJ917" s="84"/>
      <c r="CK917" s="84"/>
      <c r="CL917" s="84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220"/>
      <c r="CY917" s="220"/>
      <c r="CZ917" s="220"/>
      <c r="DA917" s="220"/>
      <c r="DB917" s="237"/>
      <c r="DC917" s="238"/>
      <c r="DD917" s="238"/>
      <c r="DE917" s="238"/>
      <c r="DF917" s="238"/>
      <c r="DG917" s="238"/>
      <c r="DH917" s="238"/>
      <c r="DI917" s="238"/>
      <c r="DJ917" s="238"/>
      <c r="DK917" s="238"/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38"/>
      <c r="DW917" s="238"/>
      <c r="DX917" s="238"/>
      <c r="DY917" s="238"/>
      <c r="DZ917" s="238"/>
      <c r="EA917" s="238"/>
      <c r="EB917" s="238"/>
      <c r="EC917" s="238"/>
      <c r="ED917" s="3"/>
      <c r="EE917" s="3"/>
      <c r="EF917" s="3"/>
      <c r="EG917" s="3"/>
      <c r="EH917" s="3"/>
    </row>
    <row r="918" spans="1:138" s="82" customFormat="1" x14ac:dyDescent="0.2">
      <c r="A918" s="3"/>
      <c r="B918" s="167"/>
      <c r="C918" s="3"/>
      <c r="D918" s="3"/>
      <c r="E918" s="31"/>
      <c r="F918" s="133"/>
      <c r="G918" s="3"/>
      <c r="H918" s="31"/>
      <c r="I918" s="31"/>
      <c r="J918" s="3"/>
      <c r="K918" s="3"/>
      <c r="L918" s="3"/>
      <c r="M918" s="3"/>
      <c r="N918" s="3"/>
      <c r="O918" s="3"/>
      <c r="P918" s="3"/>
      <c r="Q918" s="3"/>
      <c r="R918" s="32"/>
      <c r="S918" s="32"/>
      <c r="T918" s="3"/>
      <c r="U918" s="33"/>
      <c r="V918" s="33"/>
      <c r="W918" s="3"/>
      <c r="X918" s="3"/>
      <c r="Y918" s="3"/>
      <c r="Z918" s="3"/>
      <c r="AA918" s="3"/>
      <c r="AB918" s="3"/>
      <c r="AC918" s="3"/>
      <c r="AD918" s="32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4"/>
      <c r="AT918" s="3"/>
      <c r="AU918" s="3"/>
      <c r="AV918" s="3"/>
      <c r="AW918" s="3"/>
      <c r="AX918" s="4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84"/>
      <c r="BZ918" s="84"/>
      <c r="CA918" s="84"/>
      <c r="CB918" s="84"/>
      <c r="CC918" s="84"/>
      <c r="CD918" s="84"/>
      <c r="CE918" s="84"/>
      <c r="CF918" s="84"/>
      <c r="CG918" s="84"/>
      <c r="CH918" s="84"/>
      <c r="CI918" s="84"/>
      <c r="CJ918" s="84"/>
      <c r="CK918" s="84"/>
      <c r="CL918" s="84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220"/>
      <c r="CY918" s="220"/>
      <c r="CZ918" s="220"/>
      <c r="DA918" s="220"/>
      <c r="DB918" s="237"/>
      <c r="DC918" s="238"/>
      <c r="DD918" s="238"/>
      <c r="DE918" s="238"/>
      <c r="DF918" s="238"/>
      <c r="DG918" s="238"/>
      <c r="DH918" s="238"/>
      <c r="DI918" s="238"/>
      <c r="DJ918" s="238"/>
      <c r="DK918" s="238"/>
      <c r="DL918" s="238"/>
      <c r="DM918" s="238"/>
      <c r="DN918" s="238"/>
      <c r="DO918" s="238"/>
      <c r="DP918" s="238"/>
      <c r="DQ918" s="238"/>
      <c r="DR918" s="238"/>
      <c r="DS918" s="238"/>
      <c r="DT918" s="238"/>
      <c r="DU918" s="238"/>
      <c r="DV918" s="238"/>
      <c r="DW918" s="238"/>
      <c r="DX918" s="238"/>
      <c r="DY918" s="238"/>
      <c r="DZ918" s="238"/>
      <c r="EA918" s="238"/>
      <c r="EB918" s="238"/>
      <c r="EC918" s="238"/>
      <c r="ED918" s="3"/>
      <c r="EE918" s="3"/>
      <c r="EF918" s="3"/>
      <c r="EG918" s="3"/>
      <c r="EH918" s="3"/>
    </row>
    <row r="919" spans="1:138" s="82" customFormat="1" x14ac:dyDescent="0.2">
      <c r="A919" s="3"/>
      <c r="B919" s="167"/>
      <c r="C919" s="3"/>
      <c r="D919" s="3"/>
      <c r="E919" s="31"/>
      <c r="F919" s="133"/>
      <c r="G919" s="3"/>
      <c r="H919" s="31"/>
      <c r="I919" s="31"/>
      <c r="J919" s="3"/>
      <c r="K919" s="3"/>
      <c r="L919" s="3"/>
      <c r="M919" s="3"/>
      <c r="N919" s="3"/>
      <c r="O919" s="3"/>
      <c r="P919" s="3"/>
      <c r="Q919" s="3"/>
      <c r="R919" s="32"/>
      <c r="S919" s="32"/>
      <c r="T919" s="3"/>
      <c r="U919" s="33"/>
      <c r="V919" s="33"/>
      <c r="W919" s="3"/>
      <c r="X919" s="3"/>
      <c r="Y919" s="3"/>
      <c r="Z919" s="3"/>
      <c r="AA919" s="3"/>
      <c r="AB919" s="3"/>
      <c r="AC919" s="3"/>
      <c r="AD919" s="32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4"/>
      <c r="AT919" s="3"/>
      <c r="AU919" s="3"/>
      <c r="AV919" s="3"/>
      <c r="AW919" s="3"/>
      <c r="AX919" s="4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84"/>
      <c r="BZ919" s="84"/>
      <c r="CA919" s="84"/>
      <c r="CB919" s="84"/>
      <c r="CC919" s="84"/>
      <c r="CD919" s="84"/>
      <c r="CE919" s="84"/>
      <c r="CF919" s="84"/>
      <c r="CG919" s="84"/>
      <c r="CH919" s="84"/>
      <c r="CI919" s="84"/>
      <c r="CJ919" s="84"/>
      <c r="CK919" s="84"/>
      <c r="CL919" s="84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220"/>
      <c r="CY919" s="220"/>
      <c r="CZ919" s="220"/>
      <c r="DA919" s="220"/>
      <c r="DB919" s="237"/>
      <c r="DC919" s="238"/>
      <c r="DD919" s="238"/>
      <c r="DE919" s="238"/>
      <c r="DF919" s="238"/>
      <c r="DG919" s="238"/>
      <c r="DH919" s="238"/>
      <c r="DI919" s="238"/>
      <c r="DJ919" s="238"/>
      <c r="DK919" s="238"/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38"/>
      <c r="DW919" s="238"/>
      <c r="DX919" s="238"/>
      <c r="DY919" s="238"/>
      <c r="DZ919" s="238"/>
      <c r="EA919" s="238"/>
      <c r="EB919" s="238"/>
      <c r="EC919" s="238"/>
      <c r="ED919" s="3"/>
      <c r="EE919" s="3"/>
      <c r="EF919" s="3"/>
      <c r="EG919" s="3"/>
      <c r="EH919" s="3"/>
    </row>
    <row r="920" spans="1:138" s="82" customFormat="1" x14ac:dyDescent="0.2">
      <c r="A920" s="3"/>
      <c r="B920" s="167"/>
      <c r="C920" s="3"/>
      <c r="D920" s="3"/>
      <c r="E920" s="31"/>
      <c r="F920" s="133"/>
      <c r="G920" s="3"/>
      <c r="H920" s="31"/>
      <c r="I920" s="31"/>
      <c r="J920" s="3"/>
      <c r="K920" s="3"/>
      <c r="L920" s="3"/>
      <c r="M920" s="3"/>
      <c r="N920" s="3"/>
      <c r="O920" s="3"/>
      <c r="P920" s="3"/>
      <c r="Q920" s="3"/>
      <c r="R920" s="32"/>
      <c r="S920" s="32"/>
      <c r="T920" s="3"/>
      <c r="U920" s="33"/>
      <c r="V920" s="33"/>
      <c r="W920" s="3"/>
      <c r="X920" s="3"/>
      <c r="Y920" s="3"/>
      <c r="Z920" s="3"/>
      <c r="AA920" s="3"/>
      <c r="AB920" s="3"/>
      <c r="AC920" s="3"/>
      <c r="AD920" s="32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4"/>
      <c r="AT920" s="3"/>
      <c r="AU920" s="3"/>
      <c r="AV920" s="3"/>
      <c r="AW920" s="3"/>
      <c r="AX920" s="4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84"/>
      <c r="BZ920" s="84"/>
      <c r="CA920" s="84"/>
      <c r="CB920" s="84"/>
      <c r="CC920" s="84"/>
      <c r="CD920" s="84"/>
      <c r="CE920" s="84"/>
      <c r="CF920" s="84"/>
      <c r="CG920" s="84"/>
      <c r="CH920" s="84"/>
      <c r="CI920" s="84"/>
      <c r="CJ920" s="84"/>
      <c r="CK920" s="84"/>
      <c r="CL920" s="84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220"/>
      <c r="CY920" s="220"/>
      <c r="CZ920" s="220"/>
      <c r="DA920" s="220"/>
      <c r="DB920" s="237"/>
      <c r="DC920" s="238"/>
      <c r="DD920" s="238"/>
      <c r="DE920" s="238"/>
      <c r="DF920" s="238"/>
      <c r="DG920" s="238"/>
      <c r="DH920" s="238"/>
      <c r="DI920" s="238"/>
      <c r="DJ920" s="238"/>
      <c r="DK920" s="238"/>
      <c r="DL920" s="238"/>
      <c r="DM920" s="238"/>
      <c r="DN920" s="238"/>
      <c r="DO920" s="238"/>
      <c r="DP920" s="238"/>
      <c r="DQ920" s="238"/>
      <c r="DR920" s="238"/>
      <c r="DS920" s="238"/>
      <c r="DT920" s="238"/>
      <c r="DU920" s="238"/>
      <c r="DV920" s="238"/>
      <c r="DW920" s="238"/>
      <c r="DX920" s="238"/>
      <c r="DY920" s="238"/>
      <c r="DZ920" s="238"/>
      <c r="EA920" s="238"/>
      <c r="EB920" s="238"/>
      <c r="EC920" s="238"/>
      <c r="ED920" s="3"/>
      <c r="EE920" s="3"/>
      <c r="EF920" s="3"/>
      <c r="EG920" s="3"/>
      <c r="EH920" s="3"/>
    </row>
    <row r="921" spans="1:138" s="82" customFormat="1" x14ac:dyDescent="0.2">
      <c r="A921" s="3"/>
      <c r="B921" s="167"/>
      <c r="C921" s="3"/>
      <c r="D921" s="3"/>
      <c r="E921" s="31"/>
      <c r="F921" s="133"/>
      <c r="G921" s="3"/>
      <c r="H921" s="31"/>
      <c r="I921" s="31"/>
      <c r="J921" s="3"/>
      <c r="K921" s="3"/>
      <c r="L921" s="3"/>
      <c r="M921" s="3"/>
      <c r="N921" s="3"/>
      <c r="O921" s="3"/>
      <c r="P921" s="3"/>
      <c r="Q921" s="3"/>
      <c r="R921" s="32"/>
      <c r="S921" s="32"/>
      <c r="T921" s="3"/>
      <c r="U921" s="33"/>
      <c r="V921" s="33"/>
      <c r="W921" s="3"/>
      <c r="X921" s="3"/>
      <c r="Y921" s="3"/>
      <c r="Z921" s="3"/>
      <c r="AA921" s="3"/>
      <c r="AB921" s="3"/>
      <c r="AC921" s="3"/>
      <c r="AD921" s="32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4"/>
      <c r="AT921" s="3"/>
      <c r="AU921" s="3"/>
      <c r="AV921" s="3"/>
      <c r="AW921" s="3"/>
      <c r="AX921" s="4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84"/>
      <c r="BZ921" s="84"/>
      <c r="CA921" s="84"/>
      <c r="CB921" s="84"/>
      <c r="CC921" s="84"/>
      <c r="CD921" s="84"/>
      <c r="CE921" s="84"/>
      <c r="CF921" s="84"/>
      <c r="CG921" s="84"/>
      <c r="CH921" s="84"/>
      <c r="CI921" s="84"/>
      <c r="CJ921" s="84"/>
      <c r="CK921" s="84"/>
      <c r="CL921" s="84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220"/>
      <c r="CY921" s="220"/>
      <c r="CZ921" s="220"/>
      <c r="DA921" s="220"/>
      <c r="DB921" s="237"/>
      <c r="DC921" s="238"/>
      <c r="DD921" s="238"/>
      <c r="DE921" s="238"/>
      <c r="DF921" s="238"/>
      <c r="DG921" s="238"/>
      <c r="DH921" s="238"/>
      <c r="DI921" s="238"/>
      <c r="DJ921" s="238"/>
      <c r="DK921" s="238"/>
      <c r="DL921" s="238"/>
      <c r="DM921" s="238"/>
      <c r="DN921" s="238"/>
      <c r="DO921" s="238"/>
      <c r="DP921" s="238"/>
      <c r="DQ921" s="238"/>
      <c r="DR921" s="238"/>
      <c r="DS921" s="238"/>
      <c r="DT921" s="238"/>
      <c r="DU921" s="238"/>
      <c r="DV921" s="238"/>
      <c r="DW921" s="238"/>
      <c r="DX921" s="238"/>
      <c r="DY921" s="238"/>
      <c r="DZ921" s="238"/>
      <c r="EA921" s="238"/>
      <c r="EB921" s="238"/>
      <c r="EC921" s="238"/>
      <c r="ED921" s="3"/>
      <c r="EE921" s="3"/>
      <c r="EF921" s="3"/>
      <c r="EG921" s="3"/>
      <c r="EH921" s="3"/>
    </row>
    <row r="922" spans="1:138" s="82" customFormat="1" x14ac:dyDescent="0.2">
      <c r="A922" s="3"/>
      <c r="B922" s="167"/>
      <c r="C922" s="3"/>
      <c r="D922" s="3"/>
      <c r="E922" s="31"/>
      <c r="F922" s="133"/>
      <c r="G922" s="3"/>
      <c r="H922" s="31"/>
      <c r="I922" s="31"/>
      <c r="J922" s="3"/>
      <c r="K922" s="3"/>
      <c r="L922" s="3"/>
      <c r="M922" s="3"/>
      <c r="N922" s="3"/>
      <c r="O922" s="3"/>
      <c r="P922" s="3"/>
      <c r="Q922" s="3"/>
      <c r="R922" s="32"/>
      <c r="S922" s="32"/>
      <c r="T922" s="3"/>
      <c r="U922" s="33"/>
      <c r="V922" s="33"/>
      <c r="W922" s="3"/>
      <c r="X922" s="3"/>
      <c r="Y922" s="3"/>
      <c r="Z922" s="3"/>
      <c r="AA922" s="3"/>
      <c r="AB922" s="3"/>
      <c r="AC922" s="3"/>
      <c r="AD922" s="32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4"/>
      <c r="AT922" s="3"/>
      <c r="AU922" s="3"/>
      <c r="AV922" s="3"/>
      <c r="AW922" s="3"/>
      <c r="AX922" s="4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84"/>
      <c r="BZ922" s="84"/>
      <c r="CA922" s="84"/>
      <c r="CB922" s="84"/>
      <c r="CC922" s="84"/>
      <c r="CD922" s="84"/>
      <c r="CE922" s="84"/>
      <c r="CF922" s="84"/>
      <c r="CG922" s="84"/>
      <c r="CH922" s="84"/>
      <c r="CI922" s="84"/>
      <c r="CJ922" s="84"/>
      <c r="CK922" s="84"/>
      <c r="CL922" s="84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220"/>
      <c r="CY922" s="220"/>
      <c r="CZ922" s="220"/>
      <c r="DA922" s="220"/>
      <c r="DB922" s="237"/>
      <c r="DC922" s="238"/>
      <c r="DD922" s="238"/>
      <c r="DE922" s="238"/>
      <c r="DF922" s="238"/>
      <c r="DG922" s="238"/>
      <c r="DH922" s="238"/>
      <c r="DI922" s="238"/>
      <c r="DJ922" s="238"/>
      <c r="DK922" s="238"/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38"/>
      <c r="DW922" s="238"/>
      <c r="DX922" s="238"/>
      <c r="DY922" s="238"/>
      <c r="DZ922" s="238"/>
      <c r="EA922" s="238"/>
      <c r="EB922" s="238"/>
      <c r="EC922" s="238"/>
      <c r="ED922" s="3"/>
      <c r="EE922" s="3"/>
      <c r="EF922" s="3"/>
      <c r="EG922" s="3"/>
      <c r="EH922" s="3"/>
    </row>
    <row r="923" spans="1:138" s="82" customFormat="1" x14ac:dyDescent="0.2">
      <c r="A923" s="3"/>
      <c r="B923" s="167"/>
      <c r="C923" s="3"/>
      <c r="D923" s="3"/>
      <c r="E923" s="31"/>
      <c r="F923" s="133"/>
      <c r="G923" s="3"/>
      <c r="H923" s="31"/>
      <c r="I923" s="31"/>
      <c r="J923" s="3"/>
      <c r="K923" s="3"/>
      <c r="L923" s="3"/>
      <c r="M923" s="3"/>
      <c r="N923" s="3"/>
      <c r="O923" s="3"/>
      <c r="P923" s="3"/>
      <c r="Q923" s="3"/>
      <c r="R923" s="32"/>
      <c r="S923" s="32"/>
      <c r="T923" s="3"/>
      <c r="U923" s="33"/>
      <c r="V923" s="33"/>
      <c r="W923" s="3"/>
      <c r="X923" s="3"/>
      <c r="Y923" s="3"/>
      <c r="Z923" s="3"/>
      <c r="AA923" s="3"/>
      <c r="AB923" s="3"/>
      <c r="AC923" s="3"/>
      <c r="AD923" s="32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4"/>
      <c r="AT923" s="3"/>
      <c r="AU923" s="3"/>
      <c r="AV923" s="3"/>
      <c r="AW923" s="3"/>
      <c r="AX923" s="4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84"/>
      <c r="BZ923" s="84"/>
      <c r="CA923" s="84"/>
      <c r="CB923" s="84"/>
      <c r="CC923" s="84"/>
      <c r="CD923" s="84"/>
      <c r="CE923" s="84"/>
      <c r="CF923" s="84"/>
      <c r="CG923" s="84"/>
      <c r="CH923" s="84"/>
      <c r="CI923" s="84"/>
      <c r="CJ923" s="84"/>
      <c r="CK923" s="84"/>
      <c r="CL923" s="84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220"/>
      <c r="CY923" s="220"/>
      <c r="CZ923" s="220"/>
      <c r="DA923" s="220"/>
      <c r="DB923" s="237"/>
      <c r="DC923" s="238"/>
      <c r="DD923" s="238"/>
      <c r="DE923" s="238"/>
      <c r="DF923" s="238"/>
      <c r="DG923" s="238"/>
      <c r="DH923" s="238"/>
      <c r="DI923" s="238"/>
      <c r="DJ923" s="238"/>
      <c r="DK923" s="238"/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38"/>
      <c r="DW923" s="238"/>
      <c r="DX923" s="238"/>
      <c r="DY923" s="238"/>
      <c r="DZ923" s="238"/>
      <c r="EA923" s="238"/>
      <c r="EB923" s="238"/>
      <c r="EC923" s="238"/>
      <c r="ED923" s="3"/>
      <c r="EE923" s="3"/>
      <c r="EF923" s="3"/>
      <c r="EG923" s="3"/>
      <c r="EH923" s="3"/>
    </row>
    <row r="924" spans="1:138" s="82" customFormat="1" x14ac:dyDescent="0.2">
      <c r="A924" s="3"/>
      <c r="B924" s="167"/>
      <c r="C924" s="3"/>
      <c r="D924" s="3"/>
      <c r="E924" s="31"/>
      <c r="F924" s="133"/>
      <c r="G924" s="3"/>
      <c r="H924" s="31"/>
      <c r="I924" s="31"/>
      <c r="J924" s="3"/>
      <c r="K924" s="3"/>
      <c r="L924" s="3"/>
      <c r="M924" s="3"/>
      <c r="N924" s="3"/>
      <c r="O924" s="3"/>
      <c r="P924" s="3"/>
      <c r="Q924" s="3"/>
      <c r="R924" s="32"/>
      <c r="S924" s="32"/>
      <c r="T924" s="3"/>
      <c r="U924" s="33"/>
      <c r="V924" s="33"/>
      <c r="W924" s="3"/>
      <c r="X924" s="3"/>
      <c r="Y924" s="3"/>
      <c r="Z924" s="3"/>
      <c r="AA924" s="3"/>
      <c r="AB924" s="3"/>
      <c r="AC924" s="3"/>
      <c r="AD924" s="32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4"/>
      <c r="AT924" s="3"/>
      <c r="AU924" s="3"/>
      <c r="AV924" s="3"/>
      <c r="AW924" s="3"/>
      <c r="AX924" s="4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84"/>
      <c r="BZ924" s="84"/>
      <c r="CA924" s="84"/>
      <c r="CB924" s="84"/>
      <c r="CC924" s="84"/>
      <c r="CD924" s="84"/>
      <c r="CE924" s="84"/>
      <c r="CF924" s="84"/>
      <c r="CG924" s="84"/>
      <c r="CH924" s="84"/>
      <c r="CI924" s="84"/>
      <c r="CJ924" s="84"/>
      <c r="CK924" s="84"/>
      <c r="CL924" s="84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220"/>
      <c r="CY924" s="220"/>
      <c r="CZ924" s="220"/>
      <c r="DA924" s="220"/>
      <c r="DB924" s="237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238"/>
      <c r="EC924" s="238"/>
      <c r="ED924" s="3"/>
      <c r="EE924" s="3"/>
      <c r="EF924" s="3"/>
      <c r="EG924" s="3"/>
      <c r="EH924" s="3"/>
    </row>
    <row r="925" spans="1:138" s="82" customFormat="1" x14ac:dyDescent="0.2">
      <c r="A925" s="3"/>
      <c r="B925" s="167"/>
      <c r="C925" s="3"/>
      <c r="D925" s="3"/>
      <c r="E925" s="31"/>
      <c r="F925" s="133"/>
      <c r="G925" s="3"/>
      <c r="H925" s="31"/>
      <c r="I925" s="31"/>
      <c r="J925" s="3"/>
      <c r="K925" s="3"/>
      <c r="L925" s="3"/>
      <c r="M925" s="3"/>
      <c r="N925" s="3"/>
      <c r="O925" s="3"/>
      <c r="P925" s="3"/>
      <c r="Q925" s="3"/>
      <c r="R925" s="32"/>
      <c r="S925" s="32"/>
      <c r="T925" s="3"/>
      <c r="U925" s="33"/>
      <c r="V925" s="33"/>
      <c r="W925" s="3"/>
      <c r="X925" s="3"/>
      <c r="Y925" s="3"/>
      <c r="Z925" s="3"/>
      <c r="AA925" s="3"/>
      <c r="AB925" s="3"/>
      <c r="AC925" s="3"/>
      <c r="AD925" s="32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4"/>
      <c r="AT925" s="3"/>
      <c r="AU925" s="3"/>
      <c r="AV925" s="3"/>
      <c r="AW925" s="3"/>
      <c r="AX925" s="4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84"/>
      <c r="BZ925" s="84"/>
      <c r="CA925" s="84"/>
      <c r="CB925" s="84"/>
      <c r="CC925" s="84"/>
      <c r="CD925" s="84"/>
      <c r="CE925" s="84"/>
      <c r="CF925" s="84"/>
      <c r="CG925" s="84"/>
      <c r="CH925" s="84"/>
      <c r="CI925" s="84"/>
      <c r="CJ925" s="84"/>
      <c r="CK925" s="84"/>
      <c r="CL925" s="84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220"/>
      <c r="CY925" s="220"/>
      <c r="CZ925" s="220"/>
      <c r="DA925" s="220"/>
      <c r="DB925" s="237"/>
      <c r="DC925" s="238"/>
      <c r="DD925" s="238"/>
      <c r="DE925" s="238"/>
      <c r="DF925" s="238"/>
      <c r="DG925" s="238"/>
      <c r="DH925" s="238"/>
      <c r="DI925" s="238"/>
      <c r="DJ925" s="238"/>
      <c r="DK925" s="238"/>
      <c r="DL925" s="238"/>
      <c r="DM925" s="238"/>
      <c r="DN925" s="238"/>
      <c r="DO925" s="238"/>
      <c r="DP925" s="238"/>
      <c r="DQ925" s="238"/>
      <c r="DR925" s="238"/>
      <c r="DS925" s="238"/>
      <c r="DT925" s="238"/>
      <c r="DU925" s="238"/>
      <c r="DV925" s="238"/>
      <c r="DW925" s="238"/>
      <c r="DX925" s="238"/>
      <c r="DY925" s="238"/>
      <c r="DZ925" s="238"/>
      <c r="EA925" s="238"/>
      <c r="EB925" s="238"/>
      <c r="EC925" s="238"/>
      <c r="ED925" s="3"/>
      <c r="EE925" s="3"/>
      <c r="EF925" s="3"/>
      <c r="EG925" s="3"/>
      <c r="EH925" s="3"/>
    </row>
    <row r="926" spans="1:138" s="82" customFormat="1" x14ac:dyDescent="0.2">
      <c r="A926" s="3"/>
      <c r="B926" s="167"/>
      <c r="C926" s="3"/>
      <c r="D926" s="3"/>
      <c r="E926" s="31"/>
      <c r="F926" s="133"/>
      <c r="G926" s="3"/>
      <c r="H926" s="31"/>
      <c r="I926" s="31"/>
      <c r="J926" s="3"/>
      <c r="K926" s="3"/>
      <c r="L926" s="3"/>
      <c r="M926" s="3"/>
      <c r="N926" s="3"/>
      <c r="O926" s="3"/>
      <c r="P926" s="3"/>
      <c r="Q926" s="3"/>
      <c r="R926" s="32"/>
      <c r="S926" s="32"/>
      <c r="T926" s="3"/>
      <c r="U926" s="33"/>
      <c r="V926" s="33"/>
      <c r="W926" s="3"/>
      <c r="X926" s="3"/>
      <c r="Y926" s="3"/>
      <c r="Z926" s="3"/>
      <c r="AA926" s="3"/>
      <c r="AB926" s="3"/>
      <c r="AC926" s="3"/>
      <c r="AD926" s="32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4"/>
      <c r="AT926" s="3"/>
      <c r="AU926" s="3"/>
      <c r="AV926" s="3"/>
      <c r="AW926" s="3"/>
      <c r="AX926" s="4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84"/>
      <c r="BZ926" s="84"/>
      <c r="CA926" s="84"/>
      <c r="CB926" s="84"/>
      <c r="CC926" s="84"/>
      <c r="CD926" s="84"/>
      <c r="CE926" s="84"/>
      <c r="CF926" s="84"/>
      <c r="CG926" s="84"/>
      <c r="CH926" s="84"/>
      <c r="CI926" s="84"/>
      <c r="CJ926" s="84"/>
      <c r="CK926" s="84"/>
      <c r="CL926" s="84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220"/>
      <c r="CY926" s="220"/>
      <c r="CZ926" s="220"/>
      <c r="DA926" s="220"/>
      <c r="DB926" s="237"/>
      <c r="DC926" s="238"/>
      <c r="DD926" s="238"/>
      <c r="DE926" s="238"/>
      <c r="DF926" s="238"/>
      <c r="DG926" s="238"/>
      <c r="DH926" s="238"/>
      <c r="DI926" s="238"/>
      <c r="DJ926" s="238"/>
      <c r="DK926" s="238"/>
      <c r="DL926" s="238"/>
      <c r="DM926" s="238"/>
      <c r="DN926" s="238"/>
      <c r="DO926" s="238"/>
      <c r="DP926" s="238"/>
      <c r="DQ926" s="238"/>
      <c r="DR926" s="238"/>
      <c r="DS926" s="238"/>
      <c r="DT926" s="238"/>
      <c r="DU926" s="238"/>
      <c r="DV926" s="238"/>
      <c r="DW926" s="238"/>
      <c r="DX926" s="238"/>
      <c r="DY926" s="238"/>
      <c r="DZ926" s="238"/>
      <c r="EA926" s="238"/>
      <c r="EB926" s="238"/>
      <c r="EC926" s="238"/>
      <c r="ED926" s="3"/>
      <c r="EE926" s="3"/>
      <c r="EF926" s="3"/>
      <c r="EG926" s="3"/>
      <c r="EH926" s="3"/>
    </row>
    <row r="927" spans="1:138" s="82" customFormat="1" x14ac:dyDescent="0.2">
      <c r="A927" s="3"/>
      <c r="B927" s="167"/>
      <c r="C927" s="3"/>
      <c r="D927" s="3"/>
      <c r="E927" s="31"/>
      <c r="F927" s="133"/>
      <c r="G927" s="3"/>
      <c r="H927" s="31"/>
      <c r="I927" s="31"/>
      <c r="J927" s="3"/>
      <c r="K927" s="3"/>
      <c r="L927" s="3"/>
      <c r="M927" s="3"/>
      <c r="N927" s="3"/>
      <c r="O927" s="3"/>
      <c r="P927" s="3"/>
      <c r="Q927" s="3"/>
      <c r="R927" s="32"/>
      <c r="S927" s="32"/>
      <c r="T927" s="3"/>
      <c r="U927" s="33"/>
      <c r="V927" s="33"/>
      <c r="W927" s="3"/>
      <c r="X927" s="3"/>
      <c r="Y927" s="3"/>
      <c r="Z927" s="3"/>
      <c r="AA927" s="3"/>
      <c r="AB927" s="3"/>
      <c r="AC927" s="3"/>
      <c r="AD927" s="32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4"/>
      <c r="AT927" s="3"/>
      <c r="AU927" s="3"/>
      <c r="AV927" s="3"/>
      <c r="AW927" s="3"/>
      <c r="AX927" s="4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84"/>
      <c r="BZ927" s="84"/>
      <c r="CA927" s="84"/>
      <c r="CB927" s="84"/>
      <c r="CC927" s="84"/>
      <c r="CD927" s="84"/>
      <c r="CE927" s="84"/>
      <c r="CF927" s="84"/>
      <c r="CG927" s="84"/>
      <c r="CH927" s="84"/>
      <c r="CI927" s="84"/>
      <c r="CJ927" s="84"/>
      <c r="CK927" s="84"/>
      <c r="CL927" s="84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220"/>
      <c r="CY927" s="220"/>
      <c r="CZ927" s="220"/>
      <c r="DA927" s="220"/>
      <c r="DB927" s="237"/>
      <c r="DC927" s="238"/>
      <c r="DD927" s="238"/>
      <c r="DE927" s="238"/>
      <c r="DF927" s="238"/>
      <c r="DG927" s="238"/>
      <c r="DH927" s="238"/>
      <c r="DI927" s="238"/>
      <c r="DJ927" s="238"/>
      <c r="DK927" s="238"/>
      <c r="DL927" s="238"/>
      <c r="DM927" s="238"/>
      <c r="DN927" s="238"/>
      <c r="DO927" s="238"/>
      <c r="DP927" s="238"/>
      <c r="DQ927" s="238"/>
      <c r="DR927" s="238"/>
      <c r="DS927" s="238"/>
      <c r="DT927" s="238"/>
      <c r="DU927" s="238"/>
      <c r="DV927" s="238"/>
      <c r="DW927" s="238"/>
      <c r="DX927" s="238"/>
      <c r="DY927" s="238"/>
      <c r="DZ927" s="238"/>
      <c r="EA927" s="238"/>
      <c r="EB927" s="238"/>
      <c r="EC927" s="238"/>
      <c r="ED927" s="3"/>
      <c r="EE927" s="3"/>
      <c r="EF927" s="3"/>
      <c r="EG927" s="3"/>
      <c r="EH927" s="3"/>
    </row>
    <row r="928" spans="1:138" s="82" customFormat="1" x14ac:dyDescent="0.2">
      <c r="A928" s="3"/>
      <c r="B928" s="167"/>
      <c r="C928" s="3"/>
      <c r="D928" s="3"/>
      <c r="E928" s="31"/>
      <c r="F928" s="133"/>
      <c r="G928" s="3"/>
      <c r="H928" s="31"/>
      <c r="I928" s="31"/>
      <c r="J928" s="3"/>
      <c r="K928" s="3"/>
      <c r="L928" s="3"/>
      <c r="M928" s="3"/>
      <c r="N928" s="3"/>
      <c r="O928" s="3"/>
      <c r="P928" s="3"/>
      <c r="Q928" s="3"/>
      <c r="R928" s="32"/>
      <c r="S928" s="32"/>
      <c r="T928" s="3"/>
      <c r="U928" s="33"/>
      <c r="V928" s="33"/>
      <c r="W928" s="3"/>
      <c r="X928" s="3"/>
      <c r="Y928" s="3"/>
      <c r="Z928" s="3"/>
      <c r="AA928" s="3"/>
      <c r="AB928" s="3"/>
      <c r="AC928" s="3"/>
      <c r="AD928" s="32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4"/>
      <c r="AT928" s="3"/>
      <c r="AU928" s="3"/>
      <c r="AV928" s="3"/>
      <c r="AW928" s="3"/>
      <c r="AX928" s="4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84"/>
      <c r="BZ928" s="84"/>
      <c r="CA928" s="84"/>
      <c r="CB928" s="84"/>
      <c r="CC928" s="84"/>
      <c r="CD928" s="84"/>
      <c r="CE928" s="84"/>
      <c r="CF928" s="84"/>
      <c r="CG928" s="84"/>
      <c r="CH928" s="84"/>
      <c r="CI928" s="84"/>
      <c r="CJ928" s="84"/>
      <c r="CK928" s="84"/>
      <c r="CL928" s="84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220"/>
      <c r="CY928" s="220"/>
      <c r="CZ928" s="220"/>
      <c r="DA928" s="220"/>
      <c r="DB928" s="237"/>
      <c r="DC928" s="238"/>
      <c r="DD928" s="238"/>
      <c r="DE928" s="238"/>
      <c r="DF928" s="238"/>
      <c r="DG928" s="238"/>
      <c r="DH928" s="238"/>
      <c r="DI928" s="238"/>
      <c r="DJ928" s="238"/>
      <c r="DK928" s="238"/>
      <c r="DL928" s="238"/>
      <c r="DM928" s="238"/>
      <c r="DN928" s="238"/>
      <c r="DO928" s="238"/>
      <c r="DP928" s="238"/>
      <c r="DQ928" s="238"/>
      <c r="DR928" s="238"/>
      <c r="DS928" s="238"/>
      <c r="DT928" s="238"/>
      <c r="DU928" s="238"/>
      <c r="DV928" s="238"/>
      <c r="DW928" s="238"/>
      <c r="DX928" s="238"/>
      <c r="DY928" s="238"/>
      <c r="DZ928" s="238"/>
      <c r="EA928" s="238"/>
      <c r="EB928" s="238"/>
      <c r="EC928" s="238"/>
      <c r="ED928" s="3"/>
      <c r="EE928" s="3"/>
      <c r="EF928" s="3"/>
      <c r="EG928" s="3"/>
      <c r="EH928" s="3"/>
    </row>
    <row r="929" spans="5:40" x14ac:dyDescent="0.2">
      <c r="E929" s="31"/>
      <c r="F929" s="133"/>
      <c r="H929" s="31"/>
      <c r="I929" s="31"/>
      <c r="R929" s="32"/>
      <c r="S929" s="32"/>
      <c r="U929" s="33"/>
      <c r="V929" s="33"/>
      <c r="AD929" s="32"/>
    </row>
    <row r="930" spans="5:40" x14ac:dyDescent="0.2">
      <c r="E930" s="31"/>
      <c r="F930" s="133"/>
      <c r="H930" s="31"/>
      <c r="I930" s="31"/>
      <c r="R930" s="32"/>
      <c r="S930" s="32"/>
      <c r="U930" s="33"/>
      <c r="V930" s="33"/>
      <c r="AD930" s="32"/>
    </row>
    <row r="931" spans="5:40" x14ac:dyDescent="0.2">
      <c r="E931" s="31"/>
      <c r="F931" s="133"/>
      <c r="H931" s="31"/>
      <c r="I931" s="31"/>
      <c r="R931" s="32"/>
      <c r="S931" s="32"/>
      <c r="U931" s="33"/>
      <c r="V931" s="33"/>
      <c r="AD931" s="32"/>
    </row>
    <row r="932" spans="5:40" x14ac:dyDescent="0.2">
      <c r="E932" s="31"/>
      <c r="F932" s="133"/>
      <c r="H932" s="31"/>
      <c r="I932" s="31"/>
      <c r="R932" s="32"/>
      <c r="S932" s="32"/>
      <c r="U932" s="33"/>
      <c r="V932" s="33"/>
      <c r="AD932" s="32"/>
    </row>
    <row r="933" spans="5:40" x14ac:dyDescent="0.2">
      <c r="E933" s="31"/>
      <c r="F933" s="133"/>
      <c r="H933" s="31"/>
      <c r="I933" s="31"/>
      <c r="R933" s="32"/>
      <c r="S933" s="32"/>
      <c r="U933" s="33"/>
      <c r="V933" s="33"/>
      <c r="AD933" s="32"/>
    </row>
    <row r="934" spans="5:40" x14ac:dyDescent="0.2">
      <c r="E934" s="31"/>
      <c r="F934" s="133"/>
      <c r="H934" s="31"/>
      <c r="I934" s="31"/>
      <c r="R934" s="32"/>
      <c r="S934" s="32"/>
      <c r="U934" s="33"/>
      <c r="V934" s="33"/>
      <c r="AD934" s="32"/>
    </row>
    <row r="935" spans="5:40" x14ac:dyDescent="0.2">
      <c r="E935" s="31"/>
      <c r="F935" s="133"/>
      <c r="H935" s="31"/>
      <c r="I935" s="31"/>
      <c r="R935" s="32"/>
      <c r="S935" s="32"/>
      <c r="U935" s="33"/>
      <c r="V935" s="33"/>
      <c r="AD935" s="32"/>
    </row>
    <row r="936" spans="5:40" x14ac:dyDescent="0.2">
      <c r="E936" s="31"/>
      <c r="F936" s="133"/>
      <c r="H936" s="31"/>
      <c r="I936" s="31"/>
      <c r="R936" s="32"/>
      <c r="S936" s="32"/>
      <c r="U936" s="33"/>
      <c r="V936" s="33"/>
      <c r="AD936" s="32"/>
    </row>
    <row r="937" spans="5:40" x14ac:dyDescent="0.2">
      <c r="E937" s="31"/>
      <c r="F937" s="133"/>
      <c r="H937" s="31"/>
      <c r="I937" s="31"/>
      <c r="R937" s="32"/>
      <c r="S937" s="32"/>
      <c r="U937" s="33"/>
      <c r="V937" s="33"/>
      <c r="AD937" s="32"/>
    </row>
    <row r="938" spans="5:40" x14ac:dyDescent="0.2">
      <c r="E938" s="31"/>
      <c r="F938" s="133"/>
      <c r="H938" s="31"/>
      <c r="I938" s="31"/>
      <c r="R938" s="32"/>
      <c r="S938" s="32"/>
      <c r="U938" s="33"/>
      <c r="V938" s="33"/>
      <c r="AD938" s="32"/>
    </row>
    <row r="939" spans="5:40" x14ac:dyDescent="0.2">
      <c r="E939" s="31"/>
      <c r="F939" s="133"/>
      <c r="H939" s="31"/>
      <c r="I939" s="31"/>
      <c r="R939" s="32"/>
      <c r="S939" s="32"/>
      <c r="U939" s="33"/>
      <c r="V939" s="33"/>
      <c r="AD939" s="32"/>
    </row>
    <row r="940" spans="5:40" x14ac:dyDescent="0.2">
      <c r="E940" s="31"/>
      <c r="F940" s="133"/>
      <c r="H940" s="31"/>
      <c r="I940" s="31"/>
      <c r="R940" s="32"/>
      <c r="S940" s="32"/>
      <c r="U940" s="33"/>
      <c r="V940" s="33"/>
      <c r="AD940" s="32"/>
    </row>
    <row r="941" spans="5:40" x14ac:dyDescent="0.2">
      <c r="E941" s="31"/>
      <c r="F941" s="133"/>
      <c r="H941" s="31"/>
      <c r="I941" s="31"/>
      <c r="R941" s="32"/>
      <c r="S941" s="32"/>
      <c r="U941" s="33"/>
      <c r="V941" s="33"/>
      <c r="AD941" s="32"/>
    </row>
    <row r="942" spans="5:40" x14ac:dyDescent="0.2">
      <c r="E942" s="31"/>
      <c r="F942" s="133"/>
      <c r="H942" s="31"/>
      <c r="I942" s="31"/>
      <c r="R942" s="32"/>
      <c r="S942" s="32"/>
      <c r="U942" s="33"/>
      <c r="V942" s="33"/>
      <c r="AD942" s="32"/>
    </row>
    <row r="943" spans="5:40" x14ac:dyDescent="0.2">
      <c r="E943" s="31"/>
      <c r="F943" s="133"/>
      <c r="H943" s="31"/>
      <c r="I943" s="31"/>
      <c r="R943" s="32"/>
      <c r="S943" s="32"/>
      <c r="U943" s="33"/>
      <c r="V943" s="33"/>
      <c r="AD943" s="32"/>
    </row>
    <row r="944" spans="5:40" x14ac:dyDescent="0.2">
      <c r="E944" s="31"/>
      <c r="F944" s="133"/>
      <c r="G944" s="32"/>
      <c r="H944" s="31"/>
      <c r="I944" s="31"/>
      <c r="J944" s="32"/>
      <c r="K944" s="32"/>
      <c r="N944" s="32"/>
      <c r="O944" s="32"/>
      <c r="P944" s="32"/>
      <c r="Q944" s="32"/>
      <c r="R944" s="32"/>
      <c r="S944" s="32"/>
      <c r="T944" s="32"/>
      <c r="U944" s="32"/>
      <c r="V944" s="32"/>
      <c r="AD944" s="32"/>
      <c r="AE944" s="119"/>
      <c r="AF944" s="32"/>
      <c r="AG944" s="32"/>
      <c r="AH944" s="32"/>
      <c r="AJ944" s="32"/>
      <c r="AK944" s="32"/>
      <c r="AL944" s="32"/>
      <c r="AM944" s="32"/>
      <c r="AN944" s="32"/>
    </row>
    <row r="945" spans="1:138" s="82" customFormat="1" x14ac:dyDescent="0.2">
      <c r="A945" s="3"/>
      <c r="B945" s="167"/>
      <c r="C945" s="3"/>
      <c r="D945" s="3"/>
      <c r="E945" s="31"/>
      <c r="F945" s="133"/>
      <c r="G945" s="3"/>
      <c r="H945" s="31"/>
      <c r="I945" s="31"/>
      <c r="J945" s="3"/>
      <c r="K945" s="3"/>
      <c r="L945" s="3"/>
      <c r="M945" s="3"/>
      <c r="N945" s="3"/>
      <c r="O945" s="3"/>
      <c r="P945" s="3"/>
      <c r="Q945" s="3"/>
      <c r="R945" s="32"/>
      <c r="S945" s="32"/>
      <c r="T945" s="3"/>
      <c r="U945" s="33"/>
      <c r="V945" s="33"/>
      <c r="W945" s="3"/>
      <c r="X945" s="3"/>
      <c r="Y945" s="3"/>
      <c r="Z945" s="3"/>
      <c r="AA945" s="3"/>
      <c r="AB945" s="3"/>
      <c r="AC945" s="3"/>
      <c r="AD945" s="32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4"/>
      <c r="AT945" s="3"/>
      <c r="AU945" s="3"/>
      <c r="AV945" s="3"/>
      <c r="AW945" s="3"/>
      <c r="AX945" s="4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84"/>
      <c r="BZ945" s="84"/>
      <c r="CA945" s="84"/>
      <c r="CB945" s="84"/>
      <c r="CC945" s="84"/>
      <c r="CD945" s="84"/>
      <c r="CE945" s="84"/>
      <c r="CF945" s="84"/>
      <c r="CG945" s="84"/>
      <c r="CH945" s="84"/>
      <c r="CI945" s="84"/>
      <c r="CJ945" s="84"/>
      <c r="CK945" s="84"/>
      <c r="CL945" s="84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220"/>
      <c r="CY945" s="220"/>
      <c r="CZ945" s="220"/>
      <c r="DA945" s="220"/>
      <c r="DB945" s="237"/>
      <c r="DC945" s="238"/>
      <c r="DD945" s="238"/>
      <c r="DE945" s="238"/>
      <c r="DF945" s="238"/>
      <c r="DG945" s="238"/>
      <c r="DH945" s="238"/>
      <c r="DI945" s="238"/>
      <c r="DJ945" s="238"/>
      <c r="DK945" s="238"/>
      <c r="DL945" s="238"/>
      <c r="DM945" s="238"/>
      <c r="DN945" s="238"/>
      <c r="DO945" s="238"/>
      <c r="DP945" s="238"/>
      <c r="DQ945" s="238"/>
      <c r="DR945" s="238"/>
      <c r="DS945" s="238"/>
      <c r="DT945" s="238"/>
      <c r="DU945" s="238"/>
      <c r="DV945" s="238"/>
      <c r="DW945" s="238"/>
      <c r="DX945" s="238"/>
      <c r="DY945" s="238"/>
      <c r="DZ945" s="238"/>
      <c r="EA945" s="238"/>
      <c r="EB945" s="238"/>
      <c r="EC945" s="238"/>
      <c r="ED945" s="3"/>
      <c r="EE945" s="3"/>
      <c r="EF945" s="3"/>
      <c r="EG945" s="3"/>
      <c r="EH945" s="3"/>
    </row>
    <row r="946" spans="1:138" s="82" customFormat="1" x14ac:dyDescent="0.2">
      <c r="A946" s="3"/>
      <c r="B946" s="167"/>
      <c r="C946" s="3"/>
      <c r="D946" s="3"/>
      <c r="E946" s="31"/>
      <c r="F946" s="133"/>
      <c r="G946" s="3"/>
      <c r="H946" s="31"/>
      <c r="I946" s="31"/>
      <c r="J946" s="3"/>
      <c r="K946" s="3"/>
      <c r="L946" s="3"/>
      <c r="M946" s="3"/>
      <c r="N946" s="3"/>
      <c r="O946" s="3"/>
      <c r="P946" s="3"/>
      <c r="Q946" s="3"/>
      <c r="R946" s="32"/>
      <c r="S946" s="32"/>
      <c r="T946" s="3"/>
      <c r="U946" s="33"/>
      <c r="V946" s="33"/>
      <c r="W946" s="3"/>
      <c r="X946" s="3"/>
      <c r="Y946" s="3"/>
      <c r="Z946" s="3"/>
      <c r="AA946" s="3"/>
      <c r="AB946" s="3"/>
      <c r="AC946" s="3"/>
      <c r="AD946" s="32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4"/>
      <c r="AT946" s="3"/>
      <c r="AU946" s="3"/>
      <c r="AV946" s="3"/>
      <c r="AW946" s="3"/>
      <c r="AX946" s="4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84"/>
      <c r="BZ946" s="84"/>
      <c r="CA946" s="84"/>
      <c r="CB946" s="84"/>
      <c r="CC946" s="84"/>
      <c r="CD946" s="84"/>
      <c r="CE946" s="84"/>
      <c r="CF946" s="84"/>
      <c r="CG946" s="84"/>
      <c r="CH946" s="84"/>
      <c r="CI946" s="84"/>
      <c r="CJ946" s="84"/>
      <c r="CK946" s="84"/>
      <c r="CL946" s="84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220"/>
      <c r="CY946" s="220"/>
      <c r="CZ946" s="220"/>
      <c r="DA946" s="220"/>
      <c r="DB946" s="237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38"/>
      <c r="DW946" s="238"/>
      <c r="DX946" s="238"/>
      <c r="DY946" s="238"/>
      <c r="DZ946" s="238"/>
      <c r="EA946" s="238"/>
      <c r="EB946" s="238"/>
      <c r="EC946" s="238"/>
      <c r="ED946" s="3"/>
      <c r="EE946" s="3"/>
      <c r="EF946" s="3"/>
      <c r="EG946" s="3"/>
      <c r="EH946" s="3"/>
    </row>
    <row r="947" spans="1:138" s="82" customFormat="1" x14ac:dyDescent="0.2">
      <c r="A947" s="3"/>
      <c r="B947" s="167"/>
      <c r="C947" s="3"/>
      <c r="D947" s="3"/>
      <c r="E947" s="31"/>
      <c r="F947" s="133"/>
      <c r="G947" s="3"/>
      <c r="H947" s="31"/>
      <c r="I947" s="31"/>
      <c r="J947" s="3"/>
      <c r="K947" s="3"/>
      <c r="L947" s="3"/>
      <c r="M947" s="3"/>
      <c r="N947" s="3"/>
      <c r="O947" s="3"/>
      <c r="P947" s="3"/>
      <c r="Q947" s="3"/>
      <c r="R947" s="32"/>
      <c r="S947" s="32"/>
      <c r="T947" s="3"/>
      <c r="U947" s="33"/>
      <c r="V947" s="33"/>
      <c r="W947" s="3"/>
      <c r="X947" s="3"/>
      <c r="Y947" s="3"/>
      <c r="Z947" s="3"/>
      <c r="AA947" s="3"/>
      <c r="AB947" s="3"/>
      <c r="AC947" s="3"/>
      <c r="AD947" s="32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4"/>
      <c r="AT947" s="3"/>
      <c r="AU947" s="3"/>
      <c r="AV947" s="3"/>
      <c r="AW947" s="3"/>
      <c r="AX947" s="4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84"/>
      <c r="BZ947" s="84"/>
      <c r="CA947" s="84"/>
      <c r="CB947" s="84"/>
      <c r="CC947" s="84"/>
      <c r="CD947" s="84"/>
      <c r="CE947" s="84"/>
      <c r="CF947" s="84"/>
      <c r="CG947" s="84"/>
      <c r="CH947" s="84"/>
      <c r="CI947" s="84"/>
      <c r="CJ947" s="84"/>
      <c r="CK947" s="84"/>
      <c r="CL947" s="84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220"/>
      <c r="CY947" s="220"/>
      <c r="CZ947" s="220"/>
      <c r="DA947" s="220"/>
      <c r="DB947" s="237"/>
      <c r="DC947" s="238"/>
      <c r="DD947" s="238"/>
      <c r="DE947" s="238"/>
      <c r="DF947" s="238"/>
      <c r="DG947" s="238"/>
      <c r="DH947" s="238"/>
      <c r="DI947" s="238"/>
      <c r="DJ947" s="238"/>
      <c r="DK947" s="238"/>
      <c r="DL947" s="238"/>
      <c r="DM947" s="238"/>
      <c r="DN947" s="238"/>
      <c r="DO947" s="238"/>
      <c r="DP947" s="238"/>
      <c r="DQ947" s="238"/>
      <c r="DR947" s="238"/>
      <c r="DS947" s="238"/>
      <c r="DT947" s="238"/>
      <c r="DU947" s="238"/>
      <c r="DV947" s="238"/>
      <c r="DW947" s="238"/>
      <c r="DX947" s="238"/>
      <c r="DY947" s="238"/>
      <c r="DZ947" s="238"/>
      <c r="EA947" s="238"/>
      <c r="EB947" s="238"/>
      <c r="EC947" s="238"/>
      <c r="ED947" s="3"/>
      <c r="EE947" s="3"/>
      <c r="EF947" s="3"/>
      <c r="EG947" s="3"/>
      <c r="EH947" s="3"/>
    </row>
    <row r="948" spans="1:138" s="82" customFormat="1" x14ac:dyDescent="0.2">
      <c r="A948" s="3"/>
      <c r="B948" s="167"/>
      <c r="C948" s="3"/>
      <c r="D948" s="3"/>
      <c r="E948" s="31"/>
      <c r="F948" s="133"/>
      <c r="G948" s="3"/>
      <c r="H948" s="31"/>
      <c r="I948" s="31"/>
      <c r="J948" s="3"/>
      <c r="K948" s="3"/>
      <c r="L948" s="3"/>
      <c r="M948" s="3"/>
      <c r="N948" s="3"/>
      <c r="O948" s="3"/>
      <c r="P948" s="3"/>
      <c r="Q948" s="3"/>
      <c r="R948" s="32"/>
      <c r="S948" s="32"/>
      <c r="T948" s="3"/>
      <c r="U948" s="33"/>
      <c r="V948" s="33"/>
      <c r="W948" s="3"/>
      <c r="X948" s="3"/>
      <c r="Y948" s="3"/>
      <c r="Z948" s="3"/>
      <c r="AA948" s="3"/>
      <c r="AB948" s="3"/>
      <c r="AC948" s="3"/>
      <c r="AD948" s="32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4"/>
      <c r="AT948" s="3"/>
      <c r="AU948" s="3"/>
      <c r="AV948" s="3"/>
      <c r="AW948" s="3"/>
      <c r="AX948" s="4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84"/>
      <c r="BZ948" s="84"/>
      <c r="CA948" s="84"/>
      <c r="CB948" s="84"/>
      <c r="CC948" s="84"/>
      <c r="CD948" s="84"/>
      <c r="CE948" s="84"/>
      <c r="CF948" s="84"/>
      <c r="CG948" s="84"/>
      <c r="CH948" s="84"/>
      <c r="CI948" s="84"/>
      <c r="CJ948" s="84"/>
      <c r="CK948" s="84"/>
      <c r="CL948" s="84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220"/>
      <c r="CY948" s="220"/>
      <c r="CZ948" s="220"/>
      <c r="DA948" s="220"/>
      <c r="DB948" s="237"/>
      <c r="DC948" s="238"/>
      <c r="DD948" s="238"/>
      <c r="DE948" s="238"/>
      <c r="DF948" s="238"/>
      <c r="DG948" s="238"/>
      <c r="DH948" s="238"/>
      <c r="DI948" s="238"/>
      <c r="DJ948" s="238"/>
      <c r="DK948" s="238"/>
      <c r="DL948" s="238"/>
      <c r="DM948" s="238"/>
      <c r="DN948" s="238"/>
      <c r="DO948" s="238"/>
      <c r="DP948" s="238"/>
      <c r="DQ948" s="238"/>
      <c r="DR948" s="238"/>
      <c r="DS948" s="238"/>
      <c r="DT948" s="238"/>
      <c r="DU948" s="238"/>
      <c r="DV948" s="238"/>
      <c r="DW948" s="238"/>
      <c r="DX948" s="238"/>
      <c r="DY948" s="238"/>
      <c r="DZ948" s="238"/>
      <c r="EA948" s="238"/>
      <c r="EB948" s="238"/>
      <c r="EC948" s="238"/>
      <c r="ED948" s="3"/>
      <c r="EE948" s="3"/>
      <c r="EF948" s="3"/>
      <c r="EG948" s="3"/>
      <c r="EH948" s="3"/>
    </row>
    <row r="949" spans="1:138" s="82" customFormat="1" x14ac:dyDescent="0.2">
      <c r="A949" s="3"/>
      <c r="B949" s="167"/>
      <c r="C949" s="3"/>
      <c r="D949" s="3"/>
      <c r="E949" s="31"/>
      <c r="F949" s="133"/>
      <c r="G949" s="3"/>
      <c r="H949" s="31"/>
      <c r="I949" s="31"/>
      <c r="J949" s="3"/>
      <c r="K949" s="3"/>
      <c r="L949" s="3"/>
      <c r="M949" s="3"/>
      <c r="N949" s="3"/>
      <c r="O949" s="3"/>
      <c r="P949" s="3"/>
      <c r="Q949" s="3"/>
      <c r="R949" s="32"/>
      <c r="S949" s="32"/>
      <c r="T949" s="3"/>
      <c r="U949" s="33"/>
      <c r="V949" s="33"/>
      <c r="W949" s="3"/>
      <c r="X949" s="3"/>
      <c r="Y949" s="3"/>
      <c r="Z949" s="3"/>
      <c r="AA949" s="3"/>
      <c r="AB949" s="3"/>
      <c r="AC949" s="3"/>
      <c r="AD949" s="32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4"/>
      <c r="AT949" s="3"/>
      <c r="AU949" s="3"/>
      <c r="AV949" s="3"/>
      <c r="AW949" s="3"/>
      <c r="AX949" s="4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84"/>
      <c r="BZ949" s="84"/>
      <c r="CA949" s="84"/>
      <c r="CB949" s="84"/>
      <c r="CC949" s="84"/>
      <c r="CD949" s="84"/>
      <c r="CE949" s="84"/>
      <c r="CF949" s="84"/>
      <c r="CG949" s="84"/>
      <c r="CH949" s="84"/>
      <c r="CI949" s="84"/>
      <c r="CJ949" s="84"/>
      <c r="CK949" s="84"/>
      <c r="CL949" s="84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220"/>
      <c r="CY949" s="220"/>
      <c r="CZ949" s="220"/>
      <c r="DA949" s="220"/>
      <c r="DB949" s="237"/>
      <c r="DC949" s="238"/>
      <c r="DD949" s="238"/>
      <c r="DE949" s="238"/>
      <c r="DF949" s="238"/>
      <c r="DG949" s="238"/>
      <c r="DH949" s="238"/>
      <c r="DI949" s="238"/>
      <c r="DJ949" s="238"/>
      <c r="DK949" s="238"/>
      <c r="DL949" s="238"/>
      <c r="DM949" s="238"/>
      <c r="DN949" s="238"/>
      <c r="DO949" s="238"/>
      <c r="DP949" s="238"/>
      <c r="DQ949" s="238"/>
      <c r="DR949" s="238"/>
      <c r="DS949" s="238"/>
      <c r="DT949" s="238"/>
      <c r="DU949" s="238"/>
      <c r="DV949" s="238"/>
      <c r="DW949" s="238"/>
      <c r="DX949" s="238"/>
      <c r="DY949" s="238"/>
      <c r="DZ949" s="238"/>
      <c r="EA949" s="238"/>
      <c r="EB949" s="238"/>
      <c r="EC949" s="238"/>
      <c r="ED949" s="3"/>
      <c r="EE949" s="3"/>
      <c r="EF949" s="3"/>
      <c r="EG949" s="3"/>
      <c r="EH949" s="3"/>
    </row>
    <row r="950" spans="1:138" s="82" customFormat="1" x14ac:dyDescent="0.2">
      <c r="A950" s="3"/>
      <c r="B950" s="167"/>
      <c r="C950" s="3"/>
      <c r="D950" s="3"/>
      <c r="E950" s="31"/>
      <c r="F950" s="133"/>
      <c r="G950" s="3"/>
      <c r="H950" s="31"/>
      <c r="I950" s="31"/>
      <c r="J950" s="3"/>
      <c r="K950" s="3"/>
      <c r="L950" s="3"/>
      <c r="M950" s="3"/>
      <c r="N950" s="3"/>
      <c r="O950" s="3"/>
      <c r="P950" s="3"/>
      <c r="Q950" s="3"/>
      <c r="R950" s="32"/>
      <c r="S950" s="32"/>
      <c r="T950" s="3"/>
      <c r="U950" s="33"/>
      <c r="V950" s="33"/>
      <c r="W950" s="3"/>
      <c r="X950" s="3"/>
      <c r="Y950" s="3"/>
      <c r="Z950" s="3"/>
      <c r="AA950" s="3"/>
      <c r="AB950" s="3"/>
      <c r="AC950" s="3"/>
      <c r="AD950" s="32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4"/>
      <c r="AT950" s="3"/>
      <c r="AU950" s="3"/>
      <c r="AV950" s="3"/>
      <c r="AW950" s="3"/>
      <c r="AX950" s="4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84"/>
      <c r="BZ950" s="84"/>
      <c r="CA950" s="84"/>
      <c r="CB950" s="84"/>
      <c r="CC950" s="84"/>
      <c r="CD950" s="84"/>
      <c r="CE950" s="84"/>
      <c r="CF950" s="84"/>
      <c r="CG950" s="84"/>
      <c r="CH950" s="84"/>
      <c r="CI950" s="84"/>
      <c r="CJ950" s="84"/>
      <c r="CK950" s="84"/>
      <c r="CL950" s="84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220"/>
      <c r="CY950" s="220"/>
      <c r="CZ950" s="220"/>
      <c r="DA950" s="220"/>
      <c r="DB950" s="237"/>
      <c r="DC950" s="238"/>
      <c r="DD950" s="238"/>
      <c r="DE950" s="238"/>
      <c r="DF950" s="238"/>
      <c r="DG950" s="238"/>
      <c r="DH950" s="238"/>
      <c r="DI950" s="238"/>
      <c r="DJ950" s="238"/>
      <c r="DK950" s="238"/>
      <c r="DL950" s="238"/>
      <c r="DM950" s="238"/>
      <c r="DN950" s="238"/>
      <c r="DO950" s="238"/>
      <c r="DP950" s="238"/>
      <c r="DQ950" s="238"/>
      <c r="DR950" s="238"/>
      <c r="DS950" s="238"/>
      <c r="DT950" s="238"/>
      <c r="DU950" s="238"/>
      <c r="DV950" s="238"/>
      <c r="DW950" s="238"/>
      <c r="DX950" s="238"/>
      <c r="DY950" s="238"/>
      <c r="DZ950" s="238"/>
      <c r="EA950" s="238"/>
      <c r="EB950" s="238"/>
      <c r="EC950" s="238"/>
      <c r="ED950" s="3"/>
      <c r="EE950" s="3"/>
      <c r="EF950" s="3"/>
      <c r="EG950" s="3"/>
      <c r="EH950" s="3"/>
    </row>
    <row r="951" spans="1:138" s="82" customFormat="1" x14ac:dyDescent="0.2">
      <c r="A951" s="3"/>
      <c r="B951" s="167"/>
      <c r="C951" s="3"/>
      <c r="D951" s="3"/>
      <c r="E951" s="31"/>
      <c r="F951" s="133"/>
      <c r="G951" s="3"/>
      <c r="H951" s="31"/>
      <c r="I951" s="31"/>
      <c r="J951" s="3"/>
      <c r="K951" s="3"/>
      <c r="L951" s="3"/>
      <c r="M951" s="3"/>
      <c r="N951" s="3"/>
      <c r="O951" s="3"/>
      <c r="P951" s="3"/>
      <c r="Q951" s="3"/>
      <c r="R951" s="32"/>
      <c r="S951" s="32"/>
      <c r="T951" s="3"/>
      <c r="U951" s="33"/>
      <c r="V951" s="33"/>
      <c r="W951" s="3"/>
      <c r="X951" s="3"/>
      <c r="Y951" s="3"/>
      <c r="Z951" s="3"/>
      <c r="AA951" s="3"/>
      <c r="AB951" s="3"/>
      <c r="AC951" s="3"/>
      <c r="AD951" s="32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4"/>
      <c r="AT951" s="3"/>
      <c r="AU951" s="3"/>
      <c r="AV951" s="3"/>
      <c r="AW951" s="3"/>
      <c r="AX951" s="4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84"/>
      <c r="BZ951" s="84"/>
      <c r="CA951" s="84"/>
      <c r="CB951" s="84"/>
      <c r="CC951" s="84"/>
      <c r="CD951" s="84"/>
      <c r="CE951" s="84"/>
      <c r="CF951" s="84"/>
      <c r="CG951" s="84"/>
      <c r="CH951" s="84"/>
      <c r="CI951" s="84"/>
      <c r="CJ951" s="84"/>
      <c r="CK951" s="84"/>
      <c r="CL951" s="84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220"/>
      <c r="CY951" s="220"/>
      <c r="CZ951" s="220"/>
      <c r="DA951" s="220"/>
      <c r="DB951" s="237"/>
      <c r="DC951" s="238"/>
      <c r="DD951" s="238"/>
      <c r="DE951" s="238"/>
      <c r="DF951" s="238"/>
      <c r="DG951" s="238"/>
      <c r="DH951" s="238"/>
      <c r="DI951" s="238"/>
      <c r="DJ951" s="238"/>
      <c r="DK951" s="238"/>
      <c r="DL951" s="238"/>
      <c r="DM951" s="238"/>
      <c r="DN951" s="238"/>
      <c r="DO951" s="238"/>
      <c r="DP951" s="238"/>
      <c r="DQ951" s="238"/>
      <c r="DR951" s="238"/>
      <c r="DS951" s="238"/>
      <c r="DT951" s="238"/>
      <c r="DU951" s="238"/>
      <c r="DV951" s="238"/>
      <c r="DW951" s="238"/>
      <c r="DX951" s="238"/>
      <c r="DY951" s="238"/>
      <c r="DZ951" s="238"/>
      <c r="EA951" s="238"/>
      <c r="EB951" s="238"/>
      <c r="EC951" s="238"/>
      <c r="ED951" s="3"/>
      <c r="EE951" s="3"/>
      <c r="EF951" s="3"/>
      <c r="EG951" s="3"/>
      <c r="EH951" s="3"/>
    </row>
    <row r="952" spans="1:138" s="82" customFormat="1" x14ac:dyDescent="0.2">
      <c r="A952" s="3"/>
      <c r="B952" s="167"/>
      <c r="C952" s="3"/>
      <c r="D952" s="3"/>
      <c r="E952" s="31"/>
      <c r="F952" s="133"/>
      <c r="G952" s="3"/>
      <c r="H952" s="31"/>
      <c r="I952" s="31"/>
      <c r="J952" s="3"/>
      <c r="K952" s="3"/>
      <c r="L952" s="3"/>
      <c r="M952" s="3"/>
      <c r="N952" s="3"/>
      <c r="O952" s="3"/>
      <c r="P952" s="3"/>
      <c r="Q952" s="3"/>
      <c r="R952" s="32"/>
      <c r="S952" s="32"/>
      <c r="T952" s="3"/>
      <c r="U952" s="33"/>
      <c r="V952" s="33"/>
      <c r="W952" s="3"/>
      <c r="X952" s="3"/>
      <c r="Y952" s="3"/>
      <c r="Z952" s="3"/>
      <c r="AA952" s="3"/>
      <c r="AB952" s="3"/>
      <c r="AC952" s="3"/>
      <c r="AD952" s="32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4"/>
      <c r="AT952" s="3"/>
      <c r="AU952" s="3"/>
      <c r="AV952" s="3"/>
      <c r="AW952" s="3"/>
      <c r="AX952" s="4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84"/>
      <c r="BZ952" s="84"/>
      <c r="CA952" s="84"/>
      <c r="CB952" s="84"/>
      <c r="CC952" s="84"/>
      <c r="CD952" s="84"/>
      <c r="CE952" s="84"/>
      <c r="CF952" s="84"/>
      <c r="CG952" s="84"/>
      <c r="CH952" s="84"/>
      <c r="CI952" s="84"/>
      <c r="CJ952" s="84"/>
      <c r="CK952" s="84"/>
      <c r="CL952" s="84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220"/>
      <c r="CY952" s="220"/>
      <c r="CZ952" s="220"/>
      <c r="DA952" s="220"/>
      <c r="DB952" s="237"/>
      <c r="DC952" s="238"/>
      <c r="DD952" s="238"/>
      <c r="DE952" s="238"/>
      <c r="DF952" s="238"/>
      <c r="DG952" s="238"/>
      <c r="DH952" s="238"/>
      <c r="DI952" s="238"/>
      <c r="DJ952" s="238"/>
      <c r="DK952" s="238"/>
      <c r="DL952" s="238"/>
      <c r="DM952" s="238"/>
      <c r="DN952" s="238"/>
      <c r="DO952" s="238"/>
      <c r="DP952" s="238"/>
      <c r="DQ952" s="238"/>
      <c r="DR952" s="238"/>
      <c r="DS952" s="238"/>
      <c r="DT952" s="238"/>
      <c r="DU952" s="238"/>
      <c r="DV952" s="238"/>
      <c r="DW952" s="238"/>
      <c r="DX952" s="238"/>
      <c r="DY952" s="238"/>
      <c r="DZ952" s="238"/>
      <c r="EA952" s="238"/>
      <c r="EB952" s="238"/>
      <c r="EC952" s="238"/>
      <c r="ED952" s="3"/>
      <c r="EE952" s="3"/>
      <c r="EF952" s="3"/>
      <c r="EG952" s="3"/>
      <c r="EH952" s="3"/>
    </row>
    <row r="953" spans="1:138" s="82" customFormat="1" x14ac:dyDescent="0.2">
      <c r="A953" s="3"/>
      <c r="B953" s="167"/>
      <c r="C953" s="3"/>
      <c r="D953" s="3"/>
      <c r="E953" s="31"/>
      <c r="F953" s="133"/>
      <c r="G953" s="3"/>
      <c r="H953" s="31"/>
      <c r="I953" s="31"/>
      <c r="J953" s="3"/>
      <c r="K953" s="3"/>
      <c r="L953" s="3"/>
      <c r="M953" s="3"/>
      <c r="N953" s="3"/>
      <c r="O953" s="3"/>
      <c r="P953" s="3"/>
      <c r="Q953" s="3"/>
      <c r="R953" s="32"/>
      <c r="S953" s="32"/>
      <c r="T953" s="3"/>
      <c r="U953" s="33"/>
      <c r="V953" s="33"/>
      <c r="W953" s="3"/>
      <c r="X953" s="3"/>
      <c r="Y953" s="3"/>
      <c r="Z953" s="3"/>
      <c r="AA953" s="3"/>
      <c r="AB953" s="3"/>
      <c r="AC953" s="3"/>
      <c r="AD953" s="32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4"/>
      <c r="AT953" s="3"/>
      <c r="AU953" s="3"/>
      <c r="AV953" s="3"/>
      <c r="AW953" s="3"/>
      <c r="AX953" s="4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84"/>
      <c r="BZ953" s="84"/>
      <c r="CA953" s="84"/>
      <c r="CB953" s="84"/>
      <c r="CC953" s="84"/>
      <c r="CD953" s="84"/>
      <c r="CE953" s="84"/>
      <c r="CF953" s="84"/>
      <c r="CG953" s="84"/>
      <c r="CH953" s="84"/>
      <c r="CI953" s="84"/>
      <c r="CJ953" s="84"/>
      <c r="CK953" s="84"/>
      <c r="CL953" s="84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220"/>
      <c r="CY953" s="220"/>
      <c r="CZ953" s="220"/>
      <c r="DA953" s="220"/>
      <c r="DB953" s="237"/>
      <c r="DC953" s="238"/>
      <c r="DD953" s="238"/>
      <c r="DE953" s="238"/>
      <c r="DF953" s="238"/>
      <c r="DG953" s="238"/>
      <c r="DH953" s="238"/>
      <c r="DI953" s="238"/>
      <c r="DJ953" s="238"/>
      <c r="DK953" s="238"/>
      <c r="DL953" s="238"/>
      <c r="DM953" s="238"/>
      <c r="DN953" s="238"/>
      <c r="DO953" s="238"/>
      <c r="DP953" s="238"/>
      <c r="DQ953" s="238"/>
      <c r="DR953" s="238"/>
      <c r="DS953" s="238"/>
      <c r="DT953" s="238"/>
      <c r="DU953" s="238"/>
      <c r="DV953" s="238"/>
      <c r="DW953" s="238"/>
      <c r="DX953" s="238"/>
      <c r="DY953" s="238"/>
      <c r="DZ953" s="238"/>
      <c r="EA953" s="238"/>
      <c r="EB953" s="238"/>
      <c r="EC953" s="238"/>
      <c r="ED953" s="3"/>
      <c r="EE953" s="3"/>
      <c r="EF953" s="3"/>
      <c r="EG953" s="3"/>
      <c r="EH953" s="3"/>
    </row>
    <row r="954" spans="1:138" s="82" customFormat="1" x14ac:dyDescent="0.2">
      <c r="A954" s="3"/>
      <c r="B954" s="167"/>
      <c r="C954" s="3"/>
      <c r="D954" s="3"/>
      <c r="E954" s="31"/>
      <c r="F954" s="133"/>
      <c r="G954" s="3"/>
      <c r="H954" s="31"/>
      <c r="I954" s="31"/>
      <c r="J954" s="3"/>
      <c r="K954" s="3"/>
      <c r="L954" s="3"/>
      <c r="M954" s="3"/>
      <c r="N954" s="3"/>
      <c r="O954" s="3"/>
      <c r="P954" s="3"/>
      <c r="Q954" s="3"/>
      <c r="R954" s="32"/>
      <c r="S954" s="32"/>
      <c r="T954" s="3"/>
      <c r="U954" s="33"/>
      <c r="V954" s="33"/>
      <c r="W954" s="3"/>
      <c r="X954" s="3"/>
      <c r="Y954" s="3"/>
      <c r="Z954" s="3"/>
      <c r="AA954" s="3"/>
      <c r="AB954" s="3"/>
      <c r="AC954" s="3"/>
      <c r="AD954" s="32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4"/>
      <c r="AT954" s="3"/>
      <c r="AU954" s="3"/>
      <c r="AV954" s="3"/>
      <c r="AW954" s="3"/>
      <c r="AX954" s="4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84"/>
      <c r="BZ954" s="84"/>
      <c r="CA954" s="84"/>
      <c r="CB954" s="84"/>
      <c r="CC954" s="84"/>
      <c r="CD954" s="84"/>
      <c r="CE954" s="84"/>
      <c r="CF954" s="84"/>
      <c r="CG954" s="84"/>
      <c r="CH954" s="84"/>
      <c r="CI954" s="84"/>
      <c r="CJ954" s="84"/>
      <c r="CK954" s="84"/>
      <c r="CL954" s="84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220"/>
      <c r="CY954" s="220"/>
      <c r="CZ954" s="220"/>
      <c r="DA954" s="220"/>
      <c r="DB954" s="237"/>
      <c r="DC954" s="238"/>
      <c r="DD954" s="238"/>
      <c r="DE954" s="238"/>
      <c r="DF954" s="238"/>
      <c r="DG954" s="238"/>
      <c r="DH954" s="238"/>
      <c r="DI954" s="238"/>
      <c r="DJ954" s="238"/>
      <c r="DK954" s="238"/>
      <c r="DL954" s="238"/>
      <c r="DM954" s="238"/>
      <c r="DN954" s="238"/>
      <c r="DO954" s="238"/>
      <c r="DP954" s="238"/>
      <c r="DQ954" s="238"/>
      <c r="DR954" s="238"/>
      <c r="DS954" s="238"/>
      <c r="DT954" s="238"/>
      <c r="DU954" s="238"/>
      <c r="DV954" s="238"/>
      <c r="DW954" s="238"/>
      <c r="DX954" s="238"/>
      <c r="DY954" s="238"/>
      <c r="DZ954" s="238"/>
      <c r="EA954" s="238"/>
      <c r="EB954" s="238"/>
      <c r="EC954" s="238"/>
      <c r="ED954" s="3"/>
      <c r="EE954" s="3"/>
      <c r="EF954" s="3"/>
      <c r="EG954" s="3"/>
      <c r="EH954" s="3"/>
    </row>
    <row r="955" spans="1:138" s="82" customFormat="1" x14ac:dyDescent="0.2">
      <c r="A955" s="3"/>
      <c r="B955" s="167"/>
      <c r="C955" s="3"/>
      <c r="D955" s="3"/>
      <c r="E955" s="31"/>
      <c r="F955" s="133"/>
      <c r="G955" s="3"/>
      <c r="H955" s="31"/>
      <c r="I955" s="31"/>
      <c r="J955" s="3"/>
      <c r="K955" s="3"/>
      <c r="L955" s="3"/>
      <c r="M955" s="3"/>
      <c r="N955" s="3"/>
      <c r="O955" s="3"/>
      <c r="P955" s="3"/>
      <c r="Q955" s="3"/>
      <c r="R955" s="32"/>
      <c r="S955" s="32"/>
      <c r="T955" s="3"/>
      <c r="U955" s="33"/>
      <c r="V955" s="33"/>
      <c r="W955" s="3"/>
      <c r="X955" s="3"/>
      <c r="Y955" s="3"/>
      <c r="Z955" s="3"/>
      <c r="AA955" s="3"/>
      <c r="AB955" s="3"/>
      <c r="AC955" s="3"/>
      <c r="AD955" s="32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4"/>
      <c r="AT955" s="3"/>
      <c r="AU955" s="3"/>
      <c r="AV955" s="3"/>
      <c r="AW955" s="3"/>
      <c r="AX955" s="4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84"/>
      <c r="BZ955" s="84"/>
      <c r="CA955" s="84"/>
      <c r="CB955" s="84"/>
      <c r="CC955" s="84"/>
      <c r="CD955" s="84"/>
      <c r="CE955" s="84"/>
      <c r="CF955" s="84"/>
      <c r="CG955" s="84"/>
      <c r="CH955" s="84"/>
      <c r="CI955" s="84"/>
      <c r="CJ955" s="84"/>
      <c r="CK955" s="84"/>
      <c r="CL955" s="84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220"/>
      <c r="CY955" s="220"/>
      <c r="CZ955" s="220"/>
      <c r="DA955" s="220"/>
      <c r="DB955" s="237"/>
      <c r="DC955" s="238"/>
      <c r="DD955" s="238"/>
      <c r="DE955" s="238"/>
      <c r="DF955" s="238"/>
      <c r="DG955" s="238"/>
      <c r="DH955" s="238"/>
      <c r="DI955" s="238"/>
      <c r="DJ955" s="238"/>
      <c r="DK955" s="238"/>
      <c r="DL955" s="238"/>
      <c r="DM955" s="238"/>
      <c r="DN955" s="238"/>
      <c r="DO955" s="238"/>
      <c r="DP955" s="238"/>
      <c r="DQ955" s="238"/>
      <c r="DR955" s="238"/>
      <c r="DS955" s="238"/>
      <c r="DT955" s="238"/>
      <c r="DU955" s="238"/>
      <c r="DV955" s="238"/>
      <c r="DW955" s="238"/>
      <c r="DX955" s="238"/>
      <c r="DY955" s="238"/>
      <c r="DZ955" s="238"/>
      <c r="EA955" s="238"/>
      <c r="EB955" s="238"/>
      <c r="EC955" s="238"/>
      <c r="ED955" s="3"/>
      <c r="EE955" s="3"/>
      <c r="EF955" s="3"/>
      <c r="EG955" s="3"/>
      <c r="EH955" s="3"/>
    </row>
    <row r="956" spans="1:138" s="82" customFormat="1" x14ac:dyDescent="0.2">
      <c r="A956" s="3"/>
      <c r="B956" s="167"/>
      <c r="C956" s="3"/>
      <c r="D956" s="3"/>
      <c r="E956" s="31"/>
      <c r="F956" s="133"/>
      <c r="G956" s="3"/>
      <c r="H956" s="31"/>
      <c r="I956" s="31"/>
      <c r="J956" s="3"/>
      <c r="K956" s="3"/>
      <c r="L956" s="3"/>
      <c r="M956" s="3"/>
      <c r="N956" s="3"/>
      <c r="O956" s="3"/>
      <c r="P956" s="3"/>
      <c r="Q956" s="3"/>
      <c r="R956" s="32"/>
      <c r="S956" s="32"/>
      <c r="T956" s="3"/>
      <c r="U956" s="33"/>
      <c r="V956" s="33"/>
      <c r="W956" s="3"/>
      <c r="X956" s="3"/>
      <c r="Y956" s="3"/>
      <c r="Z956" s="3"/>
      <c r="AA956" s="3"/>
      <c r="AB956" s="3"/>
      <c r="AC956" s="3"/>
      <c r="AD956" s="32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4"/>
      <c r="AT956" s="3"/>
      <c r="AU956" s="3"/>
      <c r="AV956" s="3"/>
      <c r="AW956" s="3"/>
      <c r="AX956" s="4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84"/>
      <c r="BZ956" s="84"/>
      <c r="CA956" s="84"/>
      <c r="CB956" s="84"/>
      <c r="CC956" s="84"/>
      <c r="CD956" s="84"/>
      <c r="CE956" s="84"/>
      <c r="CF956" s="84"/>
      <c r="CG956" s="84"/>
      <c r="CH956" s="84"/>
      <c r="CI956" s="84"/>
      <c r="CJ956" s="84"/>
      <c r="CK956" s="84"/>
      <c r="CL956" s="84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220"/>
      <c r="CY956" s="220"/>
      <c r="CZ956" s="220"/>
      <c r="DA956" s="220"/>
      <c r="DB956" s="237"/>
      <c r="DC956" s="238"/>
      <c r="DD956" s="238"/>
      <c r="DE956" s="238"/>
      <c r="DF956" s="238"/>
      <c r="DG956" s="238"/>
      <c r="DH956" s="238"/>
      <c r="DI956" s="238"/>
      <c r="DJ956" s="238"/>
      <c r="DK956" s="238"/>
      <c r="DL956" s="238"/>
      <c r="DM956" s="238"/>
      <c r="DN956" s="238"/>
      <c r="DO956" s="238"/>
      <c r="DP956" s="238"/>
      <c r="DQ956" s="238"/>
      <c r="DR956" s="238"/>
      <c r="DS956" s="238"/>
      <c r="DT956" s="238"/>
      <c r="DU956" s="238"/>
      <c r="DV956" s="238"/>
      <c r="DW956" s="238"/>
      <c r="DX956" s="238"/>
      <c r="DY956" s="238"/>
      <c r="DZ956" s="238"/>
      <c r="EA956" s="238"/>
      <c r="EB956" s="238"/>
      <c r="EC956" s="238"/>
      <c r="ED956" s="3"/>
      <c r="EE956" s="3"/>
      <c r="EF956" s="3"/>
      <c r="EG956" s="3"/>
      <c r="EH956" s="3"/>
    </row>
    <row r="957" spans="1:138" s="82" customFormat="1" x14ac:dyDescent="0.2">
      <c r="A957" s="3"/>
      <c r="B957" s="167"/>
      <c r="C957" s="3"/>
      <c r="D957" s="3"/>
      <c r="E957" s="31"/>
      <c r="F957" s="133"/>
      <c r="G957" s="3"/>
      <c r="H957" s="31"/>
      <c r="I957" s="31"/>
      <c r="J957" s="3"/>
      <c r="K957" s="3"/>
      <c r="L957" s="3"/>
      <c r="M957" s="3"/>
      <c r="N957" s="3"/>
      <c r="O957" s="3"/>
      <c r="P957" s="3"/>
      <c r="Q957" s="3"/>
      <c r="R957" s="32"/>
      <c r="S957" s="32"/>
      <c r="T957" s="3"/>
      <c r="U957" s="33"/>
      <c r="V957" s="33"/>
      <c r="W957" s="3"/>
      <c r="X957" s="3"/>
      <c r="Y957" s="3"/>
      <c r="Z957" s="3"/>
      <c r="AA957" s="3"/>
      <c r="AB957" s="3"/>
      <c r="AC957" s="3"/>
      <c r="AD957" s="32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4"/>
      <c r="AT957" s="3"/>
      <c r="AU957" s="3"/>
      <c r="AV957" s="3"/>
      <c r="AW957" s="3"/>
      <c r="AX957" s="4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84"/>
      <c r="BZ957" s="84"/>
      <c r="CA957" s="84"/>
      <c r="CB957" s="84"/>
      <c r="CC957" s="84"/>
      <c r="CD957" s="84"/>
      <c r="CE957" s="84"/>
      <c r="CF957" s="84"/>
      <c r="CG957" s="84"/>
      <c r="CH957" s="84"/>
      <c r="CI957" s="84"/>
      <c r="CJ957" s="84"/>
      <c r="CK957" s="84"/>
      <c r="CL957" s="84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220"/>
      <c r="CY957" s="220"/>
      <c r="CZ957" s="220"/>
      <c r="DA957" s="220"/>
      <c r="DB957" s="237"/>
      <c r="DC957" s="238"/>
      <c r="DD957" s="238"/>
      <c r="DE957" s="238"/>
      <c r="DF957" s="238"/>
      <c r="DG957" s="238"/>
      <c r="DH957" s="238"/>
      <c r="DI957" s="238"/>
      <c r="DJ957" s="238"/>
      <c r="DK957" s="238"/>
      <c r="DL957" s="238"/>
      <c r="DM957" s="238"/>
      <c r="DN957" s="238"/>
      <c r="DO957" s="238"/>
      <c r="DP957" s="238"/>
      <c r="DQ957" s="238"/>
      <c r="DR957" s="238"/>
      <c r="DS957" s="238"/>
      <c r="DT957" s="238"/>
      <c r="DU957" s="238"/>
      <c r="DV957" s="238"/>
      <c r="DW957" s="238"/>
      <c r="DX957" s="238"/>
      <c r="DY957" s="238"/>
      <c r="DZ957" s="238"/>
      <c r="EA957" s="238"/>
      <c r="EB957" s="238"/>
      <c r="EC957" s="238"/>
      <c r="ED957" s="3"/>
      <c r="EE957" s="3"/>
      <c r="EF957" s="3"/>
      <c r="EG957" s="3"/>
      <c r="EH957" s="3"/>
    </row>
    <row r="958" spans="1:138" s="82" customFormat="1" x14ac:dyDescent="0.2">
      <c r="A958" s="3"/>
      <c r="B958" s="167"/>
      <c r="C958" s="3"/>
      <c r="D958" s="3"/>
      <c r="E958" s="31"/>
      <c r="F958" s="133"/>
      <c r="G958" s="3"/>
      <c r="H958" s="31"/>
      <c r="I958" s="31"/>
      <c r="J958" s="3"/>
      <c r="K958" s="3"/>
      <c r="L958" s="3"/>
      <c r="M958" s="3"/>
      <c r="N958" s="3"/>
      <c r="O958" s="3"/>
      <c r="P958" s="3"/>
      <c r="Q958" s="3"/>
      <c r="R958" s="32"/>
      <c r="S958" s="32"/>
      <c r="T958" s="3"/>
      <c r="U958" s="33"/>
      <c r="V958" s="33"/>
      <c r="W958" s="3"/>
      <c r="X958" s="3"/>
      <c r="Y958" s="3"/>
      <c r="Z958" s="3"/>
      <c r="AA958" s="3"/>
      <c r="AB958" s="3"/>
      <c r="AC958" s="3"/>
      <c r="AD958" s="32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4"/>
      <c r="AT958" s="3"/>
      <c r="AU958" s="3"/>
      <c r="AV958" s="3"/>
      <c r="AW958" s="3"/>
      <c r="AX958" s="4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84"/>
      <c r="BZ958" s="84"/>
      <c r="CA958" s="84"/>
      <c r="CB958" s="84"/>
      <c r="CC958" s="84"/>
      <c r="CD958" s="84"/>
      <c r="CE958" s="84"/>
      <c r="CF958" s="84"/>
      <c r="CG958" s="84"/>
      <c r="CH958" s="84"/>
      <c r="CI958" s="84"/>
      <c r="CJ958" s="84"/>
      <c r="CK958" s="84"/>
      <c r="CL958" s="84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220"/>
      <c r="CY958" s="220"/>
      <c r="CZ958" s="220"/>
      <c r="DA958" s="220"/>
      <c r="DB958" s="237"/>
      <c r="DC958" s="238"/>
      <c r="DD958" s="238"/>
      <c r="DE958" s="238"/>
      <c r="DF958" s="238"/>
      <c r="DG958" s="238"/>
      <c r="DH958" s="238"/>
      <c r="DI958" s="238"/>
      <c r="DJ958" s="238"/>
      <c r="DK958" s="238"/>
      <c r="DL958" s="238"/>
      <c r="DM958" s="238"/>
      <c r="DN958" s="238"/>
      <c r="DO958" s="238"/>
      <c r="DP958" s="238"/>
      <c r="DQ958" s="238"/>
      <c r="DR958" s="238"/>
      <c r="DS958" s="238"/>
      <c r="DT958" s="238"/>
      <c r="DU958" s="238"/>
      <c r="DV958" s="238"/>
      <c r="DW958" s="238"/>
      <c r="DX958" s="238"/>
      <c r="DY958" s="238"/>
      <c r="DZ958" s="238"/>
      <c r="EA958" s="238"/>
      <c r="EB958" s="238"/>
      <c r="EC958" s="238"/>
      <c r="ED958" s="3"/>
      <c r="EE958" s="3"/>
      <c r="EF958" s="3"/>
      <c r="EG958" s="3"/>
      <c r="EH958" s="3"/>
    </row>
    <row r="959" spans="1:138" s="82" customFormat="1" x14ac:dyDescent="0.2">
      <c r="A959" s="3"/>
      <c r="B959" s="167"/>
      <c r="C959" s="3"/>
      <c r="D959" s="3"/>
      <c r="E959" s="31"/>
      <c r="F959" s="133"/>
      <c r="G959" s="3"/>
      <c r="H959" s="31"/>
      <c r="I959" s="31"/>
      <c r="J959" s="3"/>
      <c r="K959" s="3"/>
      <c r="L959" s="3"/>
      <c r="M959" s="3"/>
      <c r="N959" s="3"/>
      <c r="O959" s="3"/>
      <c r="P959" s="3"/>
      <c r="Q959" s="3"/>
      <c r="R959" s="32"/>
      <c r="S959" s="32"/>
      <c r="T959" s="3"/>
      <c r="U959" s="33"/>
      <c r="V959" s="33"/>
      <c r="W959" s="3"/>
      <c r="X959" s="3"/>
      <c r="Y959" s="3"/>
      <c r="Z959" s="3"/>
      <c r="AA959" s="3"/>
      <c r="AB959" s="3"/>
      <c r="AC959" s="3"/>
      <c r="AD959" s="32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4"/>
      <c r="AT959" s="3"/>
      <c r="AU959" s="3"/>
      <c r="AV959" s="3"/>
      <c r="AW959" s="3"/>
      <c r="AX959" s="4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84"/>
      <c r="BZ959" s="84"/>
      <c r="CA959" s="84"/>
      <c r="CB959" s="84"/>
      <c r="CC959" s="84"/>
      <c r="CD959" s="84"/>
      <c r="CE959" s="84"/>
      <c r="CF959" s="84"/>
      <c r="CG959" s="84"/>
      <c r="CH959" s="84"/>
      <c r="CI959" s="84"/>
      <c r="CJ959" s="84"/>
      <c r="CK959" s="84"/>
      <c r="CL959" s="84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220"/>
      <c r="CY959" s="220"/>
      <c r="CZ959" s="220"/>
      <c r="DA959" s="220"/>
      <c r="DB959" s="237"/>
      <c r="DC959" s="238"/>
      <c r="DD959" s="238"/>
      <c r="DE959" s="238"/>
      <c r="DF959" s="238"/>
      <c r="DG959" s="238"/>
      <c r="DH959" s="238"/>
      <c r="DI959" s="238"/>
      <c r="DJ959" s="238"/>
      <c r="DK959" s="238"/>
      <c r="DL959" s="238"/>
      <c r="DM959" s="238"/>
      <c r="DN959" s="238"/>
      <c r="DO959" s="238"/>
      <c r="DP959" s="238"/>
      <c r="DQ959" s="238"/>
      <c r="DR959" s="238"/>
      <c r="DS959" s="238"/>
      <c r="DT959" s="238"/>
      <c r="DU959" s="238"/>
      <c r="DV959" s="238"/>
      <c r="DW959" s="238"/>
      <c r="DX959" s="238"/>
      <c r="DY959" s="238"/>
      <c r="DZ959" s="238"/>
      <c r="EA959" s="238"/>
      <c r="EB959" s="238"/>
      <c r="EC959" s="238"/>
      <c r="ED959" s="3"/>
      <c r="EE959" s="3"/>
      <c r="EF959" s="3"/>
      <c r="EG959" s="3"/>
      <c r="EH959" s="3"/>
    </row>
    <row r="960" spans="1:138" s="82" customFormat="1" x14ac:dyDescent="0.2">
      <c r="A960" s="3"/>
      <c r="B960" s="167"/>
      <c r="C960" s="3"/>
      <c r="D960" s="3"/>
      <c r="E960" s="31"/>
      <c r="F960" s="133"/>
      <c r="G960" s="3"/>
      <c r="H960" s="31"/>
      <c r="I960" s="31"/>
      <c r="J960" s="3"/>
      <c r="K960" s="3"/>
      <c r="L960" s="3"/>
      <c r="M960" s="3"/>
      <c r="N960" s="3"/>
      <c r="O960" s="3"/>
      <c r="P960" s="3"/>
      <c r="Q960" s="3"/>
      <c r="R960" s="32"/>
      <c r="S960" s="32"/>
      <c r="T960" s="3"/>
      <c r="U960" s="33"/>
      <c r="V960" s="33"/>
      <c r="W960" s="3"/>
      <c r="X960" s="3"/>
      <c r="Y960" s="3"/>
      <c r="Z960" s="3"/>
      <c r="AA960" s="3"/>
      <c r="AB960" s="3"/>
      <c r="AC960" s="3"/>
      <c r="AD960" s="32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4"/>
      <c r="AT960" s="3"/>
      <c r="AU960" s="3"/>
      <c r="AV960" s="3"/>
      <c r="AW960" s="3"/>
      <c r="AX960" s="4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84"/>
      <c r="BZ960" s="84"/>
      <c r="CA960" s="84"/>
      <c r="CB960" s="84"/>
      <c r="CC960" s="84"/>
      <c r="CD960" s="84"/>
      <c r="CE960" s="84"/>
      <c r="CF960" s="84"/>
      <c r="CG960" s="84"/>
      <c r="CH960" s="84"/>
      <c r="CI960" s="84"/>
      <c r="CJ960" s="84"/>
      <c r="CK960" s="84"/>
      <c r="CL960" s="84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220"/>
      <c r="CY960" s="220"/>
      <c r="CZ960" s="220"/>
      <c r="DA960" s="220"/>
      <c r="DB960" s="237"/>
      <c r="DC960" s="238"/>
      <c r="DD960" s="238"/>
      <c r="DE960" s="238"/>
      <c r="DF960" s="238"/>
      <c r="DG960" s="238"/>
      <c r="DH960" s="238"/>
      <c r="DI960" s="238"/>
      <c r="DJ960" s="238"/>
      <c r="DK960" s="238"/>
      <c r="DL960" s="238"/>
      <c r="DM960" s="238"/>
      <c r="DN960" s="238"/>
      <c r="DO960" s="238"/>
      <c r="DP960" s="238"/>
      <c r="DQ960" s="238"/>
      <c r="DR960" s="238"/>
      <c r="DS960" s="238"/>
      <c r="DT960" s="238"/>
      <c r="DU960" s="238"/>
      <c r="DV960" s="238"/>
      <c r="DW960" s="238"/>
      <c r="DX960" s="238"/>
      <c r="DY960" s="238"/>
      <c r="DZ960" s="238"/>
      <c r="EA960" s="238"/>
      <c r="EB960" s="238"/>
      <c r="EC960" s="238"/>
      <c r="ED960" s="3"/>
      <c r="EE960" s="3"/>
      <c r="EF960" s="3"/>
      <c r="EG960" s="3"/>
      <c r="EH960" s="3"/>
    </row>
    <row r="961" spans="1:138" s="82" customFormat="1" x14ac:dyDescent="0.2">
      <c r="A961" s="3"/>
      <c r="B961" s="167"/>
      <c r="C961" s="3"/>
      <c r="D961" s="3"/>
      <c r="E961" s="31"/>
      <c r="F961" s="133"/>
      <c r="G961" s="3"/>
      <c r="H961" s="31"/>
      <c r="I961" s="31"/>
      <c r="J961" s="3"/>
      <c r="K961" s="3"/>
      <c r="L961" s="3"/>
      <c r="M961" s="3"/>
      <c r="N961" s="3"/>
      <c r="O961" s="3"/>
      <c r="P961" s="3"/>
      <c r="Q961" s="3"/>
      <c r="R961" s="32"/>
      <c r="S961" s="32"/>
      <c r="T961" s="3"/>
      <c r="U961" s="33"/>
      <c r="V961" s="33"/>
      <c r="W961" s="3"/>
      <c r="X961" s="3"/>
      <c r="Y961" s="3"/>
      <c r="Z961" s="3"/>
      <c r="AA961" s="3"/>
      <c r="AB961" s="3"/>
      <c r="AC961" s="3"/>
      <c r="AD961" s="32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4"/>
      <c r="AT961" s="3"/>
      <c r="AU961" s="3"/>
      <c r="AV961" s="3"/>
      <c r="AW961" s="3"/>
      <c r="AX961" s="4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84"/>
      <c r="BZ961" s="84"/>
      <c r="CA961" s="84"/>
      <c r="CB961" s="84"/>
      <c r="CC961" s="84"/>
      <c r="CD961" s="84"/>
      <c r="CE961" s="84"/>
      <c r="CF961" s="84"/>
      <c r="CG961" s="84"/>
      <c r="CH961" s="84"/>
      <c r="CI961" s="84"/>
      <c r="CJ961" s="84"/>
      <c r="CK961" s="84"/>
      <c r="CL961" s="84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220"/>
      <c r="CY961" s="220"/>
      <c r="CZ961" s="220"/>
      <c r="DA961" s="220"/>
      <c r="DB961" s="237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38"/>
      <c r="DW961" s="238"/>
      <c r="DX961" s="238"/>
      <c r="DY961" s="238"/>
      <c r="DZ961" s="238"/>
      <c r="EA961" s="238"/>
      <c r="EB961" s="238"/>
      <c r="EC961" s="238"/>
      <c r="ED961" s="3"/>
      <c r="EE961" s="3"/>
      <c r="EF961" s="3"/>
      <c r="EG961" s="3"/>
      <c r="EH961" s="3"/>
    </row>
    <row r="962" spans="1:138" s="82" customFormat="1" x14ac:dyDescent="0.2">
      <c r="A962" s="3"/>
      <c r="B962" s="167"/>
      <c r="C962" s="3"/>
      <c r="D962" s="3"/>
      <c r="E962" s="31"/>
      <c r="F962" s="133"/>
      <c r="G962" s="3"/>
      <c r="H962" s="31"/>
      <c r="I962" s="31"/>
      <c r="J962" s="3"/>
      <c r="K962" s="3"/>
      <c r="L962" s="3"/>
      <c r="M962" s="3"/>
      <c r="N962" s="3"/>
      <c r="O962" s="3"/>
      <c r="P962" s="3"/>
      <c r="Q962" s="3"/>
      <c r="R962" s="32"/>
      <c r="S962" s="32"/>
      <c r="T962" s="3"/>
      <c r="U962" s="33"/>
      <c r="V962" s="33"/>
      <c r="W962" s="3"/>
      <c r="X962" s="3"/>
      <c r="Y962" s="3"/>
      <c r="Z962" s="3"/>
      <c r="AA962" s="3"/>
      <c r="AB962" s="3"/>
      <c r="AC962" s="3"/>
      <c r="AD962" s="32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4"/>
      <c r="AT962" s="3"/>
      <c r="AU962" s="3"/>
      <c r="AV962" s="3"/>
      <c r="AW962" s="3"/>
      <c r="AX962" s="4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84"/>
      <c r="BZ962" s="84"/>
      <c r="CA962" s="84"/>
      <c r="CB962" s="84"/>
      <c r="CC962" s="84"/>
      <c r="CD962" s="84"/>
      <c r="CE962" s="84"/>
      <c r="CF962" s="84"/>
      <c r="CG962" s="84"/>
      <c r="CH962" s="84"/>
      <c r="CI962" s="84"/>
      <c r="CJ962" s="84"/>
      <c r="CK962" s="84"/>
      <c r="CL962" s="84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220"/>
      <c r="CY962" s="220"/>
      <c r="CZ962" s="220"/>
      <c r="DA962" s="220"/>
      <c r="DB962" s="237"/>
      <c r="DC962" s="238"/>
      <c r="DD962" s="238"/>
      <c r="DE962" s="238"/>
      <c r="DF962" s="238"/>
      <c r="DG962" s="238"/>
      <c r="DH962" s="238"/>
      <c r="DI962" s="238"/>
      <c r="DJ962" s="238"/>
      <c r="DK962" s="238"/>
      <c r="DL962" s="238"/>
      <c r="DM962" s="238"/>
      <c r="DN962" s="238"/>
      <c r="DO962" s="238"/>
      <c r="DP962" s="238"/>
      <c r="DQ962" s="238"/>
      <c r="DR962" s="238"/>
      <c r="DS962" s="238"/>
      <c r="DT962" s="238"/>
      <c r="DU962" s="238"/>
      <c r="DV962" s="238"/>
      <c r="DW962" s="238"/>
      <c r="DX962" s="238"/>
      <c r="DY962" s="238"/>
      <c r="DZ962" s="238"/>
      <c r="EA962" s="238"/>
      <c r="EB962" s="238"/>
      <c r="EC962" s="238"/>
      <c r="ED962" s="3"/>
      <c r="EE962" s="3"/>
      <c r="EF962" s="3"/>
      <c r="EG962" s="3"/>
      <c r="EH962" s="3"/>
    </row>
    <row r="963" spans="1:138" s="82" customFormat="1" x14ac:dyDescent="0.2">
      <c r="A963" s="3"/>
      <c r="B963" s="167"/>
      <c r="C963" s="3"/>
      <c r="D963" s="3"/>
      <c r="E963" s="31"/>
      <c r="F963" s="133"/>
      <c r="G963" s="3"/>
      <c r="H963" s="31"/>
      <c r="I963" s="31"/>
      <c r="J963" s="3"/>
      <c r="K963" s="3"/>
      <c r="L963" s="3"/>
      <c r="M963" s="3"/>
      <c r="N963" s="3"/>
      <c r="O963" s="3"/>
      <c r="P963" s="3"/>
      <c r="Q963" s="3"/>
      <c r="R963" s="32"/>
      <c r="S963" s="32"/>
      <c r="T963" s="3"/>
      <c r="U963" s="33"/>
      <c r="V963" s="33"/>
      <c r="W963" s="3"/>
      <c r="X963" s="3"/>
      <c r="Y963" s="3"/>
      <c r="Z963" s="3"/>
      <c r="AA963" s="3"/>
      <c r="AB963" s="3"/>
      <c r="AC963" s="3"/>
      <c r="AD963" s="32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4"/>
      <c r="AT963" s="3"/>
      <c r="AU963" s="3"/>
      <c r="AV963" s="3"/>
      <c r="AW963" s="3"/>
      <c r="AX963" s="4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84"/>
      <c r="BZ963" s="84"/>
      <c r="CA963" s="84"/>
      <c r="CB963" s="84"/>
      <c r="CC963" s="84"/>
      <c r="CD963" s="84"/>
      <c r="CE963" s="84"/>
      <c r="CF963" s="84"/>
      <c r="CG963" s="84"/>
      <c r="CH963" s="84"/>
      <c r="CI963" s="84"/>
      <c r="CJ963" s="84"/>
      <c r="CK963" s="84"/>
      <c r="CL963" s="84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220"/>
      <c r="CY963" s="220"/>
      <c r="CZ963" s="220"/>
      <c r="DA963" s="220"/>
      <c r="DB963" s="237"/>
      <c r="DC963" s="238"/>
      <c r="DD963" s="238"/>
      <c r="DE963" s="238"/>
      <c r="DF963" s="238"/>
      <c r="DG963" s="238"/>
      <c r="DH963" s="238"/>
      <c r="DI963" s="238"/>
      <c r="DJ963" s="238"/>
      <c r="DK963" s="238"/>
      <c r="DL963" s="238"/>
      <c r="DM963" s="238"/>
      <c r="DN963" s="238"/>
      <c r="DO963" s="238"/>
      <c r="DP963" s="238"/>
      <c r="DQ963" s="238"/>
      <c r="DR963" s="238"/>
      <c r="DS963" s="238"/>
      <c r="DT963" s="238"/>
      <c r="DU963" s="238"/>
      <c r="DV963" s="238"/>
      <c r="DW963" s="238"/>
      <c r="DX963" s="238"/>
      <c r="DY963" s="238"/>
      <c r="DZ963" s="238"/>
      <c r="EA963" s="238"/>
      <c r="EB963" s="238"/>
      <c r="EC963" s="238"/>
      <c r="ED963" s="3"/>
      <c r="EE963" s="3"/>
      <c r="EF963" s="3"/>
      <c r="EG963" s="3"/>
      <c r="EH963" s="3"/>
    </row>
    <row r="964" spans="1:138" s="82" customFormat="1" x14ac:dyDescent="0.2">
      <c r="A964" s="3"/>
      <c r="B964" s="167"/>
      <c r="C964" s="3"/>
      <c r="D964" s="3"/>
      <c r="E964" s="31"/>
      <c r="F964" s="133"/>
      <c r="G964" s="3"/>
      <c r="H964" s="31"/>
      <c r="I964" s="31"/>
      <c r="J964" s="3"/>
      <c r="K964" s="3"/>
      <c r="L964" s="3"/>
      <c r="M964" s="3"/>
      <c r="N964" s="3"/>
      <c r="O964" s="3"/>
      <c r="P964" s="3"/>
      <c r="Q964" s="3"/>
      <c r="R964" s="32"/>
      <c r="S964" s="32"/>
      <c r="T964" s="3"/>
      <c r="U964" s="33"/>
      <c r="V964" s="33"/>
      <c r="W964" s="3"/>
      <c r="X964" s="3"/>
      <c r="Y964" s="3"/>
      <c r="Z964" s="3"/>
      <c r="AA964" s="3"/>
      <c r="AB964" s="3"/>
      <c r="AC964" s="3"/>
      <c r="AD964" s="32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4"/>
      <c r="AT964" s="3"/>
      <c r="AU964" s="3"/>
      <c r="AV964" s="3"/>
      <c r="AW964" s="3"/>
      <c r="AX964" s="4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84"/>
      <c r="BZ964" s="84"/>
      <c r="CA964" s="84"/>
      <c r="CB964" s="84"/>
      <c r="CC964" s="84"/>
      <c r="CD964" s="84"/>
      <c r="CE964" s="84"/>
      <c r="CF964" s="84"/>
      <c r="CG964" s="84"/>
      <c r="CH964" s="84"/>
      <c r="CI964" s="84"/>
      <c r="CJ964" s="84"/>
      <c r="CK964" s="84"/>
      <c r="CL964" s="84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220"/>
      <c r="CY964" s="220"/>
      <c r="CZ964" s="220"/>
      <c r="DA964" s="220"/>
      <c r="DB964" s="237"/>
      <c r="DC964" s="238"/>
      <c r="DD964" s="238"/>
      <c r="DE964" s="238"/>
      <c r="DF964" s="238"/>
      <c r="DG964" s="238"/>
      <c r="DH964" s="238"/>
      <c r="DI964" s="238"/>
      <c r="DJ964" s="238"/>
      <c r="DK964" s="238"/>
      <c r="DL964" s="238"/>
      <c r="DM964" s="238"/>
      <c r="DN964" s="238"/>
      <c r="DO964" s="238"/>
      <c r="DP964" s="238"/>
      <c r="DQ964" s="238"/>
      <c r="DR964" s="238"/>
      <c r="DS964" s="238"/>
      <c r="DT964" s="238"/>
      <c r="DU964" s="238"/>
      <c r="DV964" s="238"/>
      <c r="DW964" s="238"/>
      <c r="DX964" s="238"/>
      <c r="DY964" s="238"/>
      <c r="DZ964" s="238"/>
      <c r="EA964" s="238"/>
      <c r="EB964" s="238"/>
      <c r="EC964" s="238"/>
      <c r="ED964" s="3"/>
      <c r="EE964" s="3"/>
      <c r="EF964" s="3"/>
      <c r="EG964" s="3"/>
      <c r="EH964" s="3"/>
    </row>
    <row r="965" spans="1:138" s="82" customFormat="1" x14ac:dyDescent="0.2">
      <c r="A965" s="3"/>
      <c r="B965" s="167"/>
      <c r="C965" s="3"/>
      <c r="D965" s="3"/>
      <c r="E965" s="31"/>
      <c r="F965" s="133"/>
      <c r="G965" s="3"/>
      <c r="H965" s="31"/>
      <c r="I965" s="31"/>
      <c r="J965" s="3"/>
      <c r="K965" s="3"/>
      <c r="L965" s="3"/>
      <c r="M965" s="3"/>
      <c r="N965" s="3"/>
      <c r="O965" s="3"/>
      <c r="P965" s="3"/>
      <c r="Q965" s="3"/>
      <c r="R965" s="32"/>
      <c r="S965" s="32"/>
      <c r="T965" s="3"/>
      <c r="U965" s="33"/>
      <c r="V965" s="33"/>
      <c r="W965" s="3"/>
      <c r="X965" s="3"/>
      <c r="Y965" s="3"/>
      <c r="Z965" s="3"/>
      <c r="AA965" s="3"/>
      <c r="AB965" s="3"/>
      <c r="AC965" s="3"/>
      <c r="AD965" s="32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4"/>
      <c r="AT965" s="3"/>
      <c r="AU965" s="3"/>
      <c r="AV965" s="3"/>
      <c r="AW965" s="3"/>
      <c r="AX965" s="4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84"/>
      <c r="BZ965" s="84"/>
      <c r="CA965" s="84"/>
      <c r="CB965" s="84"/>
      <c r="CC965" s="84"/>
      <c r="CD965" s="84"/>
      <c r="CE965" s="84"/>
      <c r="CF965" s="84"/>
      <c r="CG965" s="84"/>
      <c r="CH965" s="84"/>
      <c r="CI965" s="84"/>
      <c r="CJ965" s="84"/>
      <c r="CK965" s="84"/>
      <c r="CL965" s="84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220"/>
      <c r="CY965" s="220"/>
      <c r="CZ965" s="220"/>
      <c r="DA965" s="220"/>
      <c r="DB965" s="237"/>
      <c r="DC965" s="238"/>
      <c r="DD965" s="238"/>
      <c r="DE965" s="238"/>
      <c r="DF965" s="238"/>
      <c r="DG965" s="238"/>
      <c r="DH965" s="238"/>
      <c r="DI965" s="238"/>
      <c r="DJ965" s="238"/>
      <c r="DK965" s="238"/>
      <c r="DL965" s="238"/>
      <c r="DM965" s="238"/>
      <c r="DN965" s="238"/>
      <c r="DO965" s="238"/>
      <c r="DP965" s="238"/>
      <c r="DQ965" s="238"/>
      <c r="DR965" s="238"/>
      <c r="DS965" s="238"/>
      <c r="DT965" s="238"/>
      <c r="DU965" s="238"/>
      <c r="DV965" s="238"/>
      <c r="DW965" s="238"/>
      <c r="DX965" s="238"/>
      <c r="DY965" s="238"/>
      <c r="DZ965" s="238"/>
      <c r="EA965" s="238"/>
      <c r="EB965" s="238"/>
      <c r="EC965" s="238"/>
      <c r="ED965" s="3"/>
      <c r="EE965" s="3"/>
      <c r="EF965" s="3"/>
      <c r="EG965" s="3"/>
      <c r="EH965" s="3"/>
    </row>
    <row r="966" spans="1:138" s="82" customFormat="1" x14ac:dyDescent="0.2">
      <c r="A966" s="3"/>
      <c r="B966" s="167"/>
      <c r="C966" s="3"/>
      <c r="D966" s="3"/>
      <c r="E966" s="31"/>
      <c r="F966" s="133"/>
      <c r="G966" s="3"/>
      <c r="H966" s="31"/>
      <c r="I966" s="31"/>
      <c r="J966" s="3"/>
      <c r="K966" s="3"/>
      <c r="L966" s="3"/>
      <c r="M966" s="3"/>
      <c r="N966" s="3"/>
      <c r="O966" s="3"/>
      <c r="P966" s="3"/>
      <c r="Q966" s="3"/>
      <c r="R966" s="32"/>
      <c r="S966" s="32"/>
      <c r="T966" s="3"/>
      <c r="U966" s="33"/>
      <c r="V966" s="33"/>
      <c r="W966" s="3"/>
      <c r="X966" s="3"/>
      <c r="Y966" s="3"/>
      <c r="Z966" s="3"/>
      <c r="AA966" s="3"/>
      <c r="AB966" s="3"/>
      <c r="AC966" s="3"/>
      <c r="AD966" s="32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4"/>
      <c r="AT966" s="3"/>
      <c r="AU966" s="3"/>
      <c r="AV966" s="3"/>
      <c r="AW966" s="3"/>
      <c r="AX966" s="4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84"/>
      <c r="BZ966" s="84"/>
      <c r="CA966" s="84"/>
      <c r="CB966" s="84"/>
      <c r="CC966" s="84"/>
      <c r="CD966" s="84"/>
      <c r="CE966" s="84"/>
      <c r="CF966" s="84"/>
      <c r="CG966" s="84"/>
      <c r="CH966" s="84"/>
      <c r="CI966" s="84"/>
      <c r="CJ966" s="84"/>
      <c r="CK966" s="84"/>
      <c r="CL966" s="84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220"/>
      <c r="CY966" s="220"/>
      <c r="CZ966" s="220"/>
      <c r="DA966" s="220"/>
      <c r="DB966" s="237"/>
      <c r="DC966" s="238"/>
      <c r="DD966" s="238"/>
      <c r="DE966" s="238"/>
      <c r="DF966" s="238"/>
      <c r="DG966" s="238"/>
      <c r="DH966" s="238"/>
      <c r="DI966" s="238"/>
      <c r="DJ966" s="238"/>
      <c r="DK966" s="238"/>
      <c r="DL966" s="238"/>
      <c r="DM966" s="238"/>
      <c r="DN966" s="238"/>
      <c r="DO966" s="238"/>
      <c r="DP966" s="238"/>
      <c r="DQ966" s="238"/>
      <c r="DR966" s="238"/>
      <c r="DS966" s="238"/>
      <c r="DT966" s="238"/>
      <c r="DU966" s="238"/>
      <c r="DV966" s="238"/>
      <c r="DW966" s="238"/>
      <c r="DX966" s="238"/>
      <c r="DY966" s="238"/>
      <c r="DZ966" s="238"/>
      <c r="EA966" s="238"/>
      <c r="EB966" s="238"/>
      <c r="EC966" s="238"/>
      <c r="ED966" s="3"/>
      <c r="EE966" s="3"/>
      <c r="EF966" s="3"/>
      <c r="EG966" s="3"/>
      <c r="EH966" s="3"/>
    </row>
    <row r="967" spans="1:138" s="82" customFormat="1" x14ac:dyDescent="0.2">
      <c r="A967" s="3"/>
      <c r="B967" s="167"/>
      <c r="C967" s="3"/>
      <c r="D967" s="3"/>
      <c r="E967" s="31"/>
      <c r="F967" s="133"/>
      <c r="G967" s="3"/>
      <c r="H967" s="31"/>
      <c r="I967" s="31"/>
      <c r="J967" s="3"/>
      <c r="K967" s="3"/>
      <c r="L967" s="3"/>
      <c r="M967" s="3"/>
      <c r="N967" s="3"/>
      <c r="O967" s="3"/>
      <c r="P967" s="3"/>
      <c r="Q967" s="3"/>
      <c r="R967" s="32"/>
      <c r="S967" s="32"/>
      <c r="T967" s="3"/>
      <c r="U967" s="33"/>
      <c r="V967" s="33"/>
      <c r="W967" s="3"/>
      <c r="X967" s="3"/>
      <c r="Y967" s="3"/>
      <c r="Z967" s="3"/>
      <c r="AA967" s="3"/>
      <c r="AB967" s="3"/>
      <c r="AC967" s="3"/>
      <c r="AD967" s="32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4"/>
      <c r="AT967" s="3"/>
      <c r="AU967" s="3"/>
      <c r="AV967" s="3"/>
      <c r="AW967" s="3"/>
      <c r="AX967" s="4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84"/>
      <c r="BZ967" s="84"/>
      <c r="CA967" s="84"/>
      <c r="CB967" s="84"/>
      <c r="CC967" s="84"/>
      <c r="CD967" s="84"/>
      <c r="CE967" s="84"/>
      <c r="CF967" s="84"/>
      <c r="CG967" s="84"/>
      <c r="CH967" s="84"/>
      <c r="CI967" s="84"/>
      <c r="CJ967" s="84"/>
      <c r="CK967" s="84"/>
      <c r="CL967" s="84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220"/>
      <c r="CY967" s="220"/>
      <c r="CZ967" s="220"/>
      <c r="DA967" s="220"/>
      <c r="DB967" s="237"/>
      <c r="DC967" s="238"/>
      <c r="DD967" s="238"/>
      <c r="DE967" s="238"/>
      <c r="DF967" s="238"/>
      <c r="DG967" s="238"/>
      <c r="DH967" s="238"/>
      <c r="DI967" s="238"/>
      <c r="DJ967" s="238"/>
      <c r="DK967" s="238"/>
      <c r="DL967" s="238"/>
      <c r="DM967" s="238"/>
      <c r="DN967" s="238"/>
      <c r="DO967" s="238"/>
      <c r="DP967" s="238"/>
      <c r="DQ967" s="238"/>
      <c r="DR967" s="238"/>
      <c r="DS967" s="238"/>
      <c r="DT967" s="238"/>
      <c r="DU967" s="238"/>
      <c r="DV967" s="238"/>
      <c r="DW967" s="238"/>
      <c r="DX967" s="238"/>
      <c r="DY967" s="238"/>
      <c r="DZ967" s="238"/>
      <c r="EA967" s="238"/>
      <c r="EB967" s="238"/>
      <c r="EC967" s="238"/>
      <c r="ED967" s="3"/>
      <c r="EE967" s="3"/>
      <c r="EF967" s="3"/>
      <c r="EG967" s="3"/>
      <c r="EH967" s="3"/>
    </row>
    <row r="968" spans="1:138" s="82" customFormat="1" x14ac:dyDescent="0.2">
      <c r="A968" s="3"/>
      <c r="B968" s="167"/>
      <c r="C968" s="3"/>
      <c r="D968" s="3"/>
      <c r="E968" s="31"/>
      <c r="F968" s="133"/>
      <c r="G968" s="3"/>
      <c r="H968" s="31"/>
      <c r="I968" s="31"/>
      <c r="J968" s="3"/>
      <c r="K968" s="3"/>
      <c r="L968" s="3"/>
      <c r="M968" s="3"/>
      <c r="N968" s="3"/>
      <c r="O968" s="3"/>
      <c r="P968" s="3"/>
      <c r="Q968" s="3"/>
      <c r="R968" s="32"/>
      <c r="S968" s="32"/>
      <c r="T968" s="3"/>
      <c r="U968" s="33"/>
      <c r="V968" s="33"/>
      <c r="W968" s="3"/>
      <c r="X968" s="3"/>
      <c r="Y968" s="3"/>
      <c r="Z968" s="3"/>
      <c r="AA968" s="3"/>
      <c r="AB968" s="3"/>
      <c r="AC968" s="3"/>
      <c r="AD968" s="32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4"/>
      <c r="AT968" s="3"/>
      <c r="AU968" s="3"/>
      <c r="AV968" s="3"/>
      <c r="AW968" s="3"/>
      <c r="AX968" s="4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84"/>
      <c r="BZ968" s="84"/>
      <c r="CA968" s="84"/>
      <c r="CB968" s="84"/>
      <c r="CC968" s="84"/>
      <c r="CD968" s="84"/>
      <c r="CE968" s="84"/>
      <c r="CF968" s="84"/>
      <c r="CG968" s="84"/>
      <c r="CH968" s="84"/>
      <c r="CI968" s="84"/>
      <c r="CJ968" s="84"/>
      <c r="CK968" s="84"/>
      <c r="CL968" s="84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220"/>
      <c r="CY968" s="220"/>
      <c r="CZ968" s="220"/>
      <c r="DA968" s="220"/>
      <c r="DB968" s="237"/>
      <c r="DC968" s="238"/>
      <c r="DD968" s="238"/>
      <c r="DE968" s="238"/>
      <c r="DF968" s="238"/>
      <c r="DG968" s="238"/>
      <c r="DH968" s="238"/>
      <c r="DI968" s="238"/>
      <c r="DJ968" s="238"/>
      <c r="DK968" s="238"/>
      <c r="DL968" s="238"/>
      <c r="DM968" s="238"/>
      <c r="DN968" s="238"/>
      <c r="DO968" s="238"/>
      <c r="DP968" s="238"/>
      <c r="DQ968" s="238"/>
      <c r="DR968" s="238"/>
      <c r="DS968" s="238"/>
      <c r="DT968" s="238"/>
      <c r="DU968" s="238"/>
      <c r="DV968" s="238"/>
      <c r="DW968" s="238"/>
      <c r="DX968" s="238"/>
      <c r="DY968" s="238"/>
      <c r="DZ968" s="238"/>
      <c r="EA968" s="238"/>
      <c r="EB968" s="238"/>
      <c r="EC968" s="238"/>
      <c r="ED968" s="3"/>
      <c r="EE968" s="3"/>
      <c r="EF968" s="3"/>
      <c r="EG968" s="3"/>
      <c r="EH968" s="3"/>
    </row>
    <row r="969" spans="1:138" s="82" customFormat="1" x14ac:dyDescent="0.2">
      <c r="A969" s="3"/>
      <c r="B969" s="167"/>
      <c r="C969" s="3"/>
      <c r="D969" s="3"/>
      <c r="E969" s="31"/>
      <c r="F969" s="133"/>
      <c r="G969" s="3"/>
      <c r="H969" s="31"/>
      <c r="I969" s="31"/>
      <c r="J969" s="3"/>
      <c r="K969" s="3"/>
      <c r="L969" s="3"/>
      <c r="M969" s="3"/>
      <c r="N969" s="3"/>
      <c r="O969" s="3"/>
      <c r="P969" s="3"/>
      <c r="Q969" s="3"/>
      <c r="R969" s="32"/>
      <c r="S969" s="32"/>
      <c r="T969" s="3"/>
      <c r="U969" s="33"/>
      <c r="V969" s="33"/>
      <c r="W969" s="3"/>
      <c r="X969" s="3"/>
      <c r="Y969" s="3"/>
      <c r="Z969" s="3"/>
      <c r="AA969" s="3"/>
      <c r="AB969" s="3"/>
      <c r="AC969" s="3"/>
      <c r="AD969" s="32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4"/>
      <c r="AT969" s="3"/>
      <c r="AU969" s="3"/>
      <c r="AV969" s="3"/>
      <c r="AW969" s="3"/>
      <c r="AX969" s="4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84"/>
      <c r="BZ969" s="84"/>
      <c r="CA969" s="84"/>
      <c r="CB969" s="84"/>
      <c r="CC969" s="84"/>
      <c r="CD969" s="84"/>
      <c r="CE969" s="84"/>
      <c r="CF969" s="84"/>
      <c r="CG969" s="84"/>
      <c r="CH969" s="84"/>
      <c r="CI969" s="84"/>
      <c r="CJ969" s="84"/>
      <c r="CK969" s="84"/>
      <c r="CL969" s="84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220"/>
      <c r="CY969" s="220"/>
      <c r="CZ969" s="220"/>
      <c r="DA969" s="220"/>
      <c r="DB969" s="237"/>
      <c r="DC969" s="238"/>
      <c r="DD969" s="238"/>
      <c r="DE969" s="238"/>
      <c r="DF969" s="238"/>
      <c r="DG969" s="238"/>
      <c r="DH969" s="238"/>
      <c r="DI969" s="238"/>
      <c r="DJ969" s="238"/>
      <c r="DK969" s="238"/>
      <c r="DL969" s="238"/>
      <c r="DM969" s="238"/>
      <c r="DN969" s="238"/>
      <c r="DO969" s="238"/>
      <c r="DP969" s="238"/>
      <c r="DQ969" s="238"/>
      <c r="DR969" s="238"/>
      <c r="DS969" s="238"/>
      <c r="DT969" s="238"/>
      <c r="DU969" s="238"/>
      <c r="DV969" s="238"/>
      <c r="DW969" s="238"/>
      <c r="DX969" s="238"/>
      <c r="DY969" s="238"/>
      <c r="DZ969" s="238"/>
      <c r="EA969" s="238"/>
      <c r="EB969" s="238"/>
      <c r="EC969" s="238"/>
      <c r="ED969" s="3"/>
      <c r="EE969" s="3"/>
      <c r="EF969" s="3"/>
      <c r="EG969" s="3"/>
      <c r="EH969" s="3"/>
    </row>
    <row r="970" spans="1:138" s="82" customFormat="1" x14ac:dyDescent="0.2">
      <c r="A970" s="3"/>
      <c r="B970" s="167"/>
      <c r="C970" s="3"/>
      <c r="D970" s="3"/>
      <c r="E970" s="31"/>
      <c r="F970" s="133"/>
      <c r="G970" s="3"/>
      <c r="H970" s="31"/>
      <c r="I970" s="31"/>
      <c r="J970" s="3"/>
      <c r="K970" s="3"/>
      <c r="L970" s="3"/>
      <c r="M970" s="3"/>
      <c r="N970" s="3"/>
      <c r="O970" s="3"/>
      <c r="P970" s="3"/>
      <c r="Q970" s="3"/>
      <c r="R970" s="32"/>
      <c r="S970" s="32"/>
      <c r="T970" s="3"/>
      <c r="U970" s="33"/>
      <c r="V970" s="33"/>
      <c r="W970" s="3"/>
      <c r="X970" s="3"/>
      <c r="Y970" s="3"/>
      <c r="Z970" s="3"/>
      <c r="AA970" s="3"/>
      <c r="AB970" s="3"/>
      <c r="AC970" s="3"/>
      <c r="AD970" s="32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4"/>
      <c r="AT970" s="3"/>
      <c r="AU970" s="3"/>
      <c r="AV970" s="3"/>
      <c r="AW970" s="3"/>
      <c r="AX970" s="4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84"/>
      <c r="BZ970" s="84"/>
      <c r="CA970" s="84"/>
      <c r="CB970" s="84"/>
      <c r="CC970" s="84"/>
      <c r="CD970" s="84"/>
      <c r="CE970" s="84"/>
      <c r="CF970" s="84"/>
      <c r="CG970" s="84"/>
      <c r="CH970" s="84"/>
      <c r="CI970" s="84"/>
      <c r="CJ970" s="84"/>
      <c r="CK970" s="84"/>
      <c r="CL970" s="84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220"/>
      <c r="CY970" s="220"/>
      <c r="CZ970" s="220"/>
      <c r="DA970" s="220"/>
      <c r="DB970" s="237"/>
      <c r="DC970" s="238"/>
      <c r="DD970" s="238"/>
      <c r="DE970" s="238"/>
      <c r="DF970" s="238"/>
      <c r="DG970" s="238"/>
      <c r="DH970" s="238"/>
      <c r="DI970" s="238"/>
      <c r="DJ970" s="238"/>
      <c r="DK970" s="238"/>
      <c r="DL970" s="238"/>
      <c r="DM970" s="238"/>
      <c r="DN970" s="238"/>
      <c r="DO970" s="238"/>
      <c r="DP970" s="238"/>
      <c r="DQ970" s="238"/>
      <c r="DR970" s="238"/>
      <c r="DS970" s="238"/>
      <c r="DT970" s="238"/>
      <c r="DU970" s="238"/>
      <c r="DV970" s="238"/>
      <c r="DW970" s="238"/>
      <c r="DX970" s="238"/>
      <c r="DY970" s="238"/>
      <c r="DZ970" s="238"/>
      <c r="EA970" s="238"/>
      <c r="EB970" s="238"/>
      <c r="EC970" s="238"/>
      <c r="ED970" s="3"/>
      <c r="EE970" s="3"/>
      <c r="EF970" s="3"/>
      <c r="EG970" s="3"/>
      <c r="EH970" s="3"/>
    </row>
    <row r="971" spans="1:138" s="82" customFormat="1" x14ac:dyDescent="0.2">
      <c r="A971" s="3"/>
      <c r="B971" s="167"/>
      <c r="C971" s="3"/>
      <c r="D971" s="3"/>
      <c r="E971" s="31"/>
      <c r="F971" s="133"/>
      <c r="G971" s="3"/>
      <c r="H971" s="31"/>
      <c r="I971" s="31"/>
      <c r="J971" s="3"/>
      <c r="K971" s="3"/>
      <c r="L971" s="3"/>
      <c r="M971" s="3"/>
      <c r="N971" s="3"/>
      <c r="O971" s="3"/>
      <c r="P971" s="3"/>
      <c r="Q971" s="3"/>
      <c r="R971" s="32"/>
      <c r="S971" s="32"/>
      <c r="T971" s="3"/>
      <c r="U971" s="33"/>
      <c r="V971" s="33"/>
      <c r="W971" s="3"/>
      <c r="X971" s="3"/>
      <c r="Y971" s="3"/>
      <c r="Z971" s="3"/>
      <c r="AA971" s="3"/>
      <c r="AB971" s="3"/>
      <c r="AC971" s="3"/>
      <c r="AD971" s="32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4"/>
      <c r="AT971" s="3"/>
      <c r="AU971" s="3"/>
      <c r="AV971" s="3"/>
      <c r="AW971" s="3"/>
      <c r="AX971" s="4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84"/>
      <c r="BZ971" s="84"/>
      <c r="CA971" s="84"/>
      <c r="CB971" s="84"/>
      <c r="CC971" s="84"/>
      <c r="CD971" s="84"/>
      <c r="CE971" s="84"/>
      <c r="CF971" s="84"/>
      <c r="CG971" s="84"/>
      <c r="CH971" s="84"/>
      <c r="CI971" s="84"/>
      <c r="CJ971" s="84"/>
      <c r="CK971" s="84"/>
      <c r="CL971" s="84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220"/>
      <c r="CY971" s="220"/>
      <c r="CZ971" s="220"/>
      <c r="DA971" s="220"/>
      <c r="DB971" s="237"/>
      <c r="DC971" s="238"/>
      <c r="DD971" s="238"/>
      <c r="DE971" s="238"/>
      <c r="DF971" s="238"/>
      <c r="DG971" s="238"/>
      <c r="DH971" s="238"/>
      <c r="DI971" s="238"/>
      <c r="DJ971" s="238"/>
      <c r="DK971" s="238"/>
      <c r="DL971" s="238"/>
      <c r="DM971" s="238"/>
      <c r="DN971" s="238"/>
      <c r="DO971" s="238"/>
      <c r="DP971" s="238"/>
      <c r="DQ971" s="238"/>
      <c r="DR971" s="238"/>
      <c r="DS971" s="238"/>
      <c r="DT971" s="238"/>
      <c r="DU971" s="238"/>
      <c r="DV971" s="238"/>
      <c r="DW971" s="238"/>
      <c r="DX971" s="238"/>
      <c r="DY971" s="238"/>
      <c r="DZ971" s="238"/>
      <c r="EA971" s="238"/>
      <c r="EB971" s="238"/>
      <c r="EC971" s="238"/>
      <c r="ED971" s="3"/>
      <c r="EE971" s="3"/>
      <c r="EF971" s="3"/>
      <c r="EG971" s="3"/>
      <c r="EH971" s="3"/>
    </row>
    <row r="972" spans="1:138" s="82" customFormat="1" x14ac:dyDescent="0.2">
      <c r="A972" s="3"/>
      <c r="B972" s="167"/>
      <c r="C972" s="3"/>
      <c r="D972" s="3"/>
      <c r="E972" s="31"/>
      <c r="F972" s="133"/>
      <c r="G972" s="3"/>
      <c r="H972" s="31"/>
      <c r="I972" s="31"/>
      <c r="J972" s="3"/>
      <c r="K972" s="3"/>
      <c r="L972" s="3"/>
      <c r="M972" s="3"/>
      <c r="N972" s="3"/>
      <c r="O972" s="3"/>
      <c r="P972" s="3"/>
      <c r="Q972" s="3"/>
      <c r="R972" s="32"/>
      <c r="S972" s="32"/>
      <c r="T972" s="3"/>
      <c r="U972" s="33"/>
      <c r="V972" s="33"/>
      <c r="W972" s="3"/>
      <c r="X972" s="3"/>
      <c r="Y972" s="3"/>
      <c r="Z972" s="3"/>
      <c r="AA972" s="3"/>
      <c r="AB972" s="3"/>
      <c r="AC972" s="3"/>
      <c r="AD972" s="32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4"/>
      <c r="AT972" s="3"/>
      <c r="AU972" s="3"/>
      <c r="AV972" s="3"/>
      <c r="AW972" s="3"/>
      <c r="AX972" s="4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84"/>
      <c r="BZ972" s="84"/>
      <c r="CA972" s="84"/>
      <c r="CB972" s="84"/>
      <c r="CC972" s="84"/>
      <c r="CD972" s="84"/>
      <c r="CE972" s="84"/>
      <c r="CF972" s="84"/>
      <c r="CG972" s="84"/>
      <c r="CH972" s="84"/>
      <c r="CI972" s="84"/>
      <c r="CJ972" s="84"/>
      <c r="CK972" s="84"/>
      <c r="CL972" s="84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220"/>
      <c r="CY972" s="220"/>
      <c r="CZ972" s="220"/>
      <c r="DA972" s="220"/>
      <c r="DB972" s="237"/>
      <c r="DC972" s="238"/>
      <c r="DD972" s="238"/>
      <c r="DE972" s="238"/>
      <c r="DF972" s="238"/>
      <c r="DG972" s="238"/>
      <c r="DH972" s="238"/>
      <c r="DI972" s="238"/>
      <c r="DJ972" s="238"/>
      <c r="DK972" s="238"/>
      <c r="DL972" s="238"/>
      <c r="DM972" s="238"/>
      <c r="DN972" s="238"/>
      <c r="DO972" s="238"/>
      <c r="DP972" s="238"/>
      <c r="DQ972" s="238"/>
      <c r="DR972" s="238"/>
      <c r="DS972" s="238"/>
      <c r="DT972" s="238"/>
      <c r="DU972" s="238"/>
      <c r="DV972" s="238"/>
      <c r="DW972" s="238"/>
      <c r="DX972" s="238"/>
      <c r="DY972" s="238"/>
      <c r="DZ972" s="238"/>
      <c r="EA972" s="238"/>
      <c r="EB972" s="238"/>
      <c r="EC972" s="238"/>
      <c r="ED972" s="3"/>
      <c r="EE972" s="3"/>
      <c r="EF972" s="3"/>
      <c r="EG972" s="3"/>
      <c r="EH972" s="3"/>
    </row>
    <row r="973" spans="1:138" s="82" customFormat="1" x14ac:dyDescent="0.2">
      <c r="A973" s="3"/>
      <c r="B973" s="167"/>
      <c r="C973" s="3"/>
      <c r="D973" s="3"/>
      <c r="E973" s="31"/>
      <c r="F973" s="133"/>
      <c r="G973" s="3"/>
      <c r="H973" s="31"/>
      <c r="I973" s="31"/>
      <c r="J973" s="3"/>
      <c r="K973" s="3"/>
      <c r="L973" s="3"/>
      <c r="M973" s="3"/>
      <c r="N973" s="3"/>
      <c r="O973" s="3"/>
      <c r="P973" s="3"/>
      <c r="Q973" s="3"/>
      <c r="R973" s="32"/>
      <c r="S973" s="32"/>
      <c r="T973" s="3"/>
      <c r="U973" s="33"/>
      <c r="V973" s="33"/>
      <c r="W973" s="3"/>
      <c r="X973" s="3"/>
      <c r="Y973" s="3"/>
      <c r="Z973" s="3"/>
      <c r="AA973" s="3"/>
      <c r="AB973" s="3"/>
      <c r="AC973" s="3"/>
      <c r="AD973" s="32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4"/>
      <c r="AT973" s="3"/>
      <c r="AU973" s="3"/>
      <c r="AV973" s="3"/>
      <c r="AW973" s="3"/>
      <c r="AX973" s="4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84"/>
      <c r="BZ973" s="84"/>
      <c r="CA973" s="84"/>
      <c r="CB973" s="84"/>
      <c r="CC973" s="84"/>
      <c r="CD973" s="84"/>
      <c r="CE973" s="84"/>
      <c r="CF973" s="84"/>
      <c r="CG973" s="84"/>
      <c r="CH973" s="84"/>
      <c r="CI973" s="84"/>
      <c r="CJ973" s="84"/>
      <c r="CK973" s="84"/>
      <c r="CL973" s="84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220"/>
      <c r="CY973" s="220"/>
      <c r="CZ973" s="220"/>
      <c r="DA973" s="220"/>
      <c r="DB973" s="237"/>
      <c r="DC973" s="238"/>
      <c r="DD973" s="238"/>
      <c r="DE973" s="238"/>
      <c r="DF973" s="238"/>
      <c r="DG973" s="238"/>
      <c r="DH973" s="238"/>
      <c r="DI973" s="238"/>
      <c r="DJ973" s="238"/>
      <c r="DK973" s="238"/>
      <c r="DL973" s="238"/>
      <c r="DM973" s="238"/>
      <c r="DN973" s="238"/>
      <c r="DO973" s="238"/>
      <c r="DP973" s="238"/>
      <c r="DQ973" s="238"/>
      <c r="DR973" s="238"/>
      <c r="DS973" s="238"/>
      <c r="DT973" s="238"/>
      <c r="DU973" s="238"/>
      <c r="DV973" s="238"/>
      <c r="DW973" s="238"/>
      <c r="DX973" s="238"/>
      <c r="DY973" s="238"/>
      <c r="DZ973" s="238"/>
      <c r="EA973" s="238"/>
      <c r="EB973" s="238"/>
      <c r="EC973" s="238"/>
      <c r="ED973" s="3"/>
      <c r="EE973" s="3"/>
      <c r="EF973" s="3"/>
      <c r="EG973" s="3"/>
      <c r="EH973" s="3"/>
    </row>
    <row r="974" spans="1:138" s="82" customFormat="1" x14ac:dyDescent="0.2">
      <c r="A974" s="3"/>
      <c r="B974" s="167"/>
      <c r="C974" s="3"/>
      <c r="D974" s="3"/>
      <c r="E974" s="31"/>
      <c r="F974" s="133"/>
      <c r="G974" s="3"/>
      <c r="H974" s="31"/>
      <c r="I974" s="31"/>
      <c r="J974" s="3"/>
      <c r="K974" s="3"/>
      <c r="L974" s="3"/>
      <c r="M974" s="3"/>
      <c r="N974" s="3"/>
      <c r="O974" s="3"/>
      <c r="P974" s="3"/>
      <c r="Q974" s="3"/>
      <c r="R974" s="32"/>
      <c r="S974" s="32"/>
      <c r="T974" s="3"/>
      <c r="U974" s="33"/>
      <c r="V974" s="33"/>
      <c r="W974" s="3"/>
      <c r="X974" s="3"/>
      <c r="Y974" s="3"/>
      <c r="Z974" s="3"/>
      <c r="AA974" s="3"/>
      <c r="AB974" s="3"/>
      <c r="AC974" s="3"/>
      <c r="AD974" s="32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4"/>
      <c r="AT974" s="3"/>
      <c r="AU974" s="3"/>
      <c r="AV974" s="3"/>
      <c r="AW974" s="3"/>
      <c r="AX974" s="4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84"/>
      <c r="BZ974" s="84"/>
      <c r="CA974" s="84"/>
      <c r="CB974" s="84"/>
      <c r="CC974" s="84"/>
      <c r="CD974" s="84"/>
      <c r="CE974" s="84"/>
      <c r="CF974" s="84"/>
      <c r="CG974" s="84"/>
      <c r="CH974" s="84"/>
      <c r="CI974" s="84"/>
      <c r="CJ974" s="84"/>
      <c r="CK974" s="84"/>
      <c r="CL974" s="84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220"/>
      <c r="CY974" s="220"/>
      <c r="CZ974" s="220"/>
      <c r="DA974" s="220"/>
      <c r="DB974" s="237"/>
      <c r="DC974" s="238"/>
      <c r="DD974" s="238"/>
      <c r="DE974" s="238"/>
      <c r="DF974" s="238"/>
      <c r="DG974" s="238"/>
      <c r="DH974" s="238"/>
      <c r="DI974" s="238"/>
      <c r="DJ974" s="238"/>
      <c r="DK974" s="238"/>
      <c r="DL974" s="238"/>
      <c r="DM974" s="238"/>
      <c r="DN974" s="238"/>
      <c r="DO974" s="238"/>
      <c r="DP974" s="238"/>
      <c r="DQ974" s="238"/>
      <c r="DR974" s="238"/>
      <c r="DS974" s="238"/>
      <c r="DT974" s="238"/>
      <c r="DU974" s="238"/>
      <c r="DV974" s="238"/>
      <c r="DW974" s="238"/>
      <c r="DX974" s="238"/>
      <c r="DY974" s="238"/>
      <c r="DZ974" s="238"/>
      <c r="EA974" s="238"/>
      <c r="EB974" s="238"/>
      <c r="EC974" s="238"/>
      <c r="ED974" s="3"/>
      <c r="EE974" s="3"/>
      <c r="EF974" s="3"/>
      <c r="EG974" s="3"/>
      <c r="EH974" s="3"/>
    </row>
    <row r="975" spans="1:138" s="82" customFormat="1" x14ac:dyDescent="0.2">
      <c r="A975" s="3"/>
      <c r="B975" s="167"/>
      <c r="C975" s="3"/>
      <c r="D975" s="3"/>
      <c r="E975" s="31"/>
      <c r="F975" s="133"/>
      <c r="G975" s="3"/>
      <c r="H975" s="31"/>
      <c r="I975" s="31"/>
      <c r="J975" s="3"/>
      <c r="K975" s="3"/>
      <c r="L975" s="3"/>
      <c r="M975" s="3"/>
      <c r="N975" s="3"/>
      <c r="O975" s="3"/>
      <c r="P975" s="3"/>
      <c r="Q975" s="3"/>
      <c r="R975" s="32"/>
      <c r="S975" s="32"/>
      <c r="T975" s="3"/>
      <c r="U975" s="33"/>
      <c r="V975" s="33"/>
      <c r="W975" s="3"/>
      <c r="X975" s="3"/>
      <c r="Y975" s="3"/>
      <c r="Z975" s="3"/>
      <c r="AA975" s="3"/>
      <c r="AB975" s="3"/>
      <c r="AC975" s="3"/>
      <c r="AD975" s="32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4"/>
      <c r="AT975" s="3"/>
      <c r="AU975" s="3"/>
      <c r="AV975" s="3"/>
      <c r="AW975" s="3"/>
      <c r="AX975" s="4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84"/>
      <c r="BZ975" s="84"/>
      <c r="CA975" s="84"/>
      <c r="CB975" s="84"/>
      <c r="CC975" s="84"/>
      <c r="CD975" s="84"/>
      <c r="CE975" s="84"/>
      <c r="CF975" s="84"/>
      <c r="CG975" s="84"/>
      <c r="CH975" s="84"/>
      <c r="CI975" s="84"/>
      <c r="CJ975" s="84"/>
      <c r="CK975" s="84"/>
      <c r="CL975" s="84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220"/>
      <c r="CY975" s="220"/>
      <c r="CZ975" s="220"/>
      <c r="DA975" s="220"/>
      <c r="DB975" s="237"/>
      <c r="DC975" s="238"/>
      <c r="DD975" s="238"/>
      <c r="DE975" s="238"/>
      <c r="DF975" s="238"/>
      <c r="DG975" s="238"/>
      <c r="DH975" s="238"/>
      <c r="DI975" s="238"/>
      <c r="DJ975" s="238"/>
      <c r="DK975" s="238"/>
      <c r="DL975" s="238"/>
      <c r="DM975" s="238"/>
      <c r="DN975" s="238"/>
      <c r="DO975" s="238"/>
      <c r="DP975" s="238"/>
      <c r="DQ975" s="238"/>
      <c r="DR975" s="238"/>
      <c r="DS975" s="238"/>
      <c r="DT975" s="238"/>
      <c r="DU975" s="238"/>
      <c r="DV975" s="238"/>
      <c r="DW975" s="238"/>
      <c r="DX975" s="238"/>
      <c r="DY975" s="238"/>
      <c r="DZ975" s="238"/>
      <c r="EA975" s="238"/>
      <c r="EB975" s="238"/>
      <c r="EC975" s="238"/>
      <c r="ED975" s="3"/>
      <c r="EE975" s="3"/>
      <c r="EF975" s="3"/>
      <c r="EG975" s="3"/>
      <c r="EH975" s="3"/>
    </row>
    <row r="976" spans="1:138" s="82" customFormat="1" x14ac:dyDescent="0.2">
      <c r="A976" s="3"/>
      <c r="B976" s="167"/>
      <c r="C976" s="3"/>
      <c r="D976" s="3"/>
      <c r="E976" s="31"/>
      <c r="F976" s="133"/>
      <c r="G976" s="3"/>
      <c r="H976" s="31"/>
      <c r="I976" s="31"/>
      <c r="J976" s="3"/>
      <c r="K976" s="3"/>
      <c r="L976" s="3"/>
      <c r="M976" s="3"/>
      <c r="N976" s="3"/>
      <c r="O976" s="3"/>
      <c r="P976" s="3"/>
      <c r="Q976" s="3"/>
      <c r="R976" s="32"/>
      <c r="S976" s="32"/>
      <c r="T976" s="3"/>
      <c r="U976" s="33"/>
      <c r="V976" s="33"/>
      <c r="W976" s="3"/>
      <c r="X976" s="3"/>
      <c r="Y976" s="3"/>
      <c r="Z976" s="3"/>
      <c r="AA976" s="3"/>
      <c r="AB976" s="3"/>
      <c r="AC976" s="3"/>
      <c r="AD976" s="32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4"/>
      <c r="AT976" s="3"/>
      <c r="AU976" s="3"/>
      <c r="AV976" s="3"/>
      <c r="AW976" s="3"/>
      <c r="AX976" s="4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84"/>
      <c r="BZ976" s="84"/>
      <c r="CA976" s="84"/>
      <c r="CB976" s="84"/>
      <c r="CC976" s="84"/>
      <c r="CD976" s="84"/>
      <c r="CE976" s="84"/>
      <c r="CF976" s="84"/>
      <c r="CG976" s="84"/>
      <c r="CH976" s="84"/>
      <c r="CI976" s="84"/>
      <c r="CJ976" s="84"/>
      <c r="CK976" s="84"/>
      <c r="CL976" s="84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220"/>
      <c r="CY976" s="220"/>
      <c r="CZ976" s="220"/>
      <c r="DA976" s="220"/>
      <c r="DB976" s="237"/>
      <c r="DC976" s="238"/>
      <c r="DD976" s="238"/>
      <c r="DE976" s="238"/>
      <c r="DF976" s="238"/>
      <c r="DG976" s="238"/>
      <c r="DH976" s="238"/>
      <c r="DI976" s="238"/>
      <c r="DJ976" s="238"/>
      <c r="DK976" s="238"/>
      <c r="DL976" s="238"/>
      <c r="DM976" s="238"/>
      <c r="DN976" s="238"/>
      <c r="DO976" s="238"/>
      <c r="DP976" s="238"/>
      <c r="DQ976" s="238"/>
      <c r="DR976" s="238"/>
      <c r="DS976" s="238"/>
      <c r="DT976" s="238"/>
      <c r="DU976" s="238"/>
      <c r="DV976" s="238"/>
      <c r="DW976" s="238"/>
      <c r="DX976" s="238"/>
      <c r="DY976" s="238"/>
      <c r="DZ976" s="238"/>
      <c r="EA976" s="238"/>
      <c r="EB976" s="238"/>
      <c r="EC976" s="238"/>
      <c r="ED976" s="3"/>
      <c r="EE976" s="3"/>
      <c r="EF976" s="3"/>
      <c r="EG976" s="3"/>
      <c r="EH976" s="3"/>
    </row>
    <row r="977" spans="1:138" s="82" customFormat="1" x14ac:dyDescent="0.2">
      <c r="A977" s="3"/>
      <c r="B977" s="167"/>
      <c r="C977" s="3"/>
      <c r="D977" s="3"/>
      <c r="E977" s="31"/>
      <c r="F977" s="133"/>
      <c r="G977" s="3"/>
      <c r="H977" s="31"/>
      <c r="I977" s="31"/>
      <c r="J977" s="3"/>
      <c r="K977" s="3"/>
      <c r="L977" s="3"/>
      <c r="M977" s="3"/>
      <c r="N977" s="3"/>
      <c r="O977" s="3"/>
      <c r="P977" s="3"/>
      <c r="Q977" s="3"/>
      <c r="R977" s="32"/>
      <c r="S977" s="32"/>
      <c r="T977" s="3"/>
      <c r="U977" s="33"/>
      <c r="V977" s="33"/>
      <c r="W977" s="3"/>
      <c r="X977" s="3"/>
      <c r="Y977" s="3"/>
      <c r="Z977" s="3"/>
      <c r="AA977" s="3"/>
      <c r="AB977" s="3"/>
      <c r="AC977" s="3"/>
      <c r="AD977" s="32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4"/>
      <c r="AT977" s="3"/>
      <c r="AU977" s="3"/>
      <c r="AV977" s="3"/>
      <c r="AW977" s="3"/>
      <c r="AX977" s="4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84"/>
      <c r="BZ977" s="84"/>
      <c r="CA977" s="84"/>
      <c r="CB977" s="84"/>
      <c r="CC977" s="84"/>
      <c r="CD977" s="84"/>
      <c r="CE977" s="84"/>
      <c r="CF977" s="84"/>
      <c r="CG977" s="84"/>
      <c r="CH977" s="84"/>
      <c r="CI977" s="84"/>
      <c r="CJ977" s="84"/>
      <c r="CK977" s="84"/>
      <c r="CL977" s="84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220"/>
      <c r="CY977" s="220"/>
      <c r="CZ977" s="220"/>
      <c r="DA977" s="220"/>
      <c r="DB977" s="237"/>
      <c r="DC977" s="238"/>
      <c r="DD977" s="238"/>
      <c r="DE977" s="238"/>
      <c r="DF977" s="238"/>
      <c r="DG977" s="238"/>
      <c r="DH977" s="238"/>
      <c r="DI977" s="238"/>
      <c r="DJ977" s="238"/>
      <c r="DK977" s="238"/>
      <c r="DL977" s="238"/>
      <c r="DM977" s="238"/>
      <c r="DN977" s="238"/>
      <c r="DO977" s="238"/>
      <c r="DP977" s="238"/>
      <c r="DQ977" s="238"/>
      <c r="DR977" s="238"/>
      <c r="DS977" s="238"/>
      <c r="DT977" s="238"/>
      <c r="DU977" s="238"/>
      <c r="DV977" s="238"/>
      <c r="DW977" s="238"/>
      <c r="DX977" s="238"/>
      <c r="DY977" s="238"/>
      <c r="DZ977" s="238"/>
      <c r="EA977" s="238"/>
      <c r="EB977" s="238"/>
      <c r="EC977" s="238"/>
      <c r="ED977" s="3"/>
      <c r="EE977" s="3"/>
      <c r="EF977" s="3"/>
      <c r="EG977" s="3"/>
      <c r="EH977" s="3"/>
    </row>
    <row r="978" spans="1:138" s="82" customFormat="1" x14ac:dyDescent="0.2">
      <c r="A978" s="3"/>
      <c r="B978" s="167"/>
      <c r="C978" s="3"/>
      <c r="D978" s="3"/>
      <c r="E978" s="31"/>
      <c r="F978" s="133"/>
      <c r="G978" s="3"/>
      <c r="H978" s="31"/>
      <c r="I978" s="31"/>
      <c r="J978" s="3"/>
      <c r="K978" s="3"/>
      <c r="L978" s="3"/>
      <c r="M978" s="3"/>
      <c r="N978" s="3"/>
      <c r="O978" s="3"/>
      <c r="P978" s="3"/>
      <c r="Q978" s="3"/>
      <c r="R978" s="32"/>
      <c r="S978" s="32"/>
      <c r="T978" s="3"/>
      <c r="U978" s="33"/>
      <c r="V978" s="33"/>
      <c r="W978" s="3"/>
      <c r="X978" s="3"/>
      <c r="Y978" s="3"/>
      <c r="Z978" s="3"/>
      <c r="AA978" s="3"/>
      <c r="AB978" s="3"/>
      <c r="AC978" s="3"/>
      <c r="AD978" s="32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4"/>
      <c r="AT978" s="3"/>
      <c r="AU978" s="3"/>
      <c r="AV978" s="3"/>
      <c r="AW978" s="3"/>
      <c r="AX978" s="4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84"/>
      <c r="BZ978" s="84"/>
      <c r="CA978" s="84"/>
      <c r="CB978" s="84"/>
      <c r="CC978" s="84"/>
      <c r="CD978" s="84"/>
      <c r="CE978" s="84"/>
      <c r="CF978" s="84"/>
      <c r="CG978" s="84"/>
      <c r="CH978" s="84"/>
      <c r="CI978" s="84"/>
      <c r="CJ978" s="84"/>
      <c r="CK978" s="84"/>
      <c r="CL978" s="84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220"/>
      <c r="CY978" s="220"/>
      <c r="CZ978" s="220"/>
      <c r="DA978" s="220"/>
      <c r="DB978" s="237"/>
      <c r="DC978" s="238"/>
      <c r="DD978" s="238"/>
      <c r="DE978" s="238"/>
      <c r="DF978" s="238"/>
      <c r="DG978" s="238"/>
      <c r="DH978" s="238"/>
      <c r="DI978" s="238"/>
      <c r="DJ978" s="238"/>
      <c r="DK978" s="238"/>
      <c r="DL978" s="238"/>
      <c r="DM978" s="238"/>
      <c r="DN978" s="238"/>
      <c r="DO978" s="238"/>
      <c r="DP978" s="238"/>
      <c r="DQ978" s="238"/>
      <c r="DR978" s="238"/>
      <c r="DS978" s="238"/>
      <c r="DT978" s="238"/>
      <c r="DU978" s="238"/>
      <c r="DV978" s="238"/>
      <c r="DW978" s="238"/>
      <c r="DX978" s="238"/>
      <c r="DY978" s="238"/>
      <c r="DZ978" s="238"/>
      <c r="EA978" s="238"/>
      <c r="EB978" s="238"/>
      <c r="EC978" s="238"/>
      <c r="ED978" s="3"/>
      <c r="EE978" s="3"/>
      <c r="EF978" s="3"/>
      <c r="EG978" s="3"/>
      <c r="EH978" s="3"/>
    </row>
    <row r="979" spans="1:138" s="82" customFormat="1" x14ac:dyDescent="0.2">
      <c r="A979" s="3"/>
      <c r="B979" s="167"/>
      <c r="C979" s="3"/>
      <c r="D979" s="3"/>
      <c r="E979" s="31"/>
      <c r="F979" s="133"/>
      <c r="G979" s="3"/>
      <c r="H979" s="31"/>
      <c r="I979" s="31"/>
      <c r="J979" s="3"/>
      <c r="K979" s="3"/>
      <c r="L979" s="3"/>
      <c r="M979" s="3"/>
      <c r="N979" s="3"/>
      <c r="O979" s="3"/>
      <c r="P979" s="3"/>
      <c r="Q979" s="3"/>
      <c r="R979" s="32"/>
      <c r="S979" s="32"/>
      <c r="T979" s="3"/>
      <c r="U979" s="33"/>
      <c r="V979" s="33"/>
      <c r="W979" s="3"/>
      <c r="X979" s="3"/>
      <c r="Y979" s="3"/>
      <c r="Z979" s="3"/>
      <c r="AA979" s="3"/>
      <c r="AB979" s="3"/>
      <c r="AC979" s="3"/>
      <c r="AD979" s="32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4"/>
      <c r="AT979" s="3"/>
      <c r="AU979" s="3"/>
      <c r="AV979" s="3"/>
      <c r="AW979" s="3"/>
      <c r="AX979" s="4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84"/>
      <c r="BZ979" s="84"/>
      <c r="CA979" s="84"/>
      <c r="CB979" s="84"/>
      <c r="CC979" s="84"/>
      <c r="CD979" s="84"/>
      <c r="CE979" s="84"/>
      <c r="CF979" s="84"/>
      <c r="CG979" s="84"/>
      <c r="CH979" s="84"/>
      <c r="CI979" s="84"/>
      <c r="CJ979" s="84"/>
      <c r="CK979" s="84"/>
      <c r="CL979" s="84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220"/>
      <c r="CY979" s="220"/>
      <c r="CZ979" s="220"/>
      <c r="DA979" s="220"/>
      <c r="DB979" s="237"/>
      <c r="DC979" s="238"/>
      <c r="DD979" s="238"/>
      <c r="DE979" s="238"/>
      <c r="DF979" s="238"/>
      <c r="DG979" s="238"/>
      <c r="DH979" s="238"/>
      <c r="DI979" s="238"/>
      <c r="DJ979" s="238"/>
      <c r="DK979" s="238"/>
      <c r="DL979" s="238"/>
      <c r="DM979" s="238"/>
      <c r="DN979" s="238"/>
      <c r="DO979" s="238"/>
      <c r="DP979" s="238"/>
      <c r="DQ979" s="238"/>
      <c r="DR979" s="238"/>
      <c r="DS979" s="238"/>
      <c r="DT979" s="238"/>
      <c r="DU979" s="238"/>
      <c r="DV979" s="238"/>
      <c r="DW979" s="238"/>
      <c r="DX979" s="238"/>
      <c r="DY979" s="238"/>
      <c r="DZ979" s="238"/>
      <c r="EA979" s="238"/>
      <c r="EB979" s="238"/>
      <c r="EC979" s="238"/>
      <c r="ED979" s="3"/>
      <c r="EE979" s="3"/>
      <c r="EF979" s="3"/>
      <c r="EG979" s="3"/>
      <c r="EH979" s="3"/>
    </row>
    <row r="980" spans="1:138" s="82" customFormat="1" x14ac:dyDescent="0.2">
      <c r="A980" s="3"/>
      <c r="B980" s="167"/>
      <c r="C980" s="3"/>
      <c r="D980" s="3"/>
      <c r="E980" s="31"/>
      <c r="F980" s="133"/>
      <c r="G980" s="3"/>
      <c r="H980" s="31"/>
      <c r="I980" s="31"/>
      <c r="J980" s="3"/>
      <c r="K980" s="3"/>
      <c r="L980" s="3"/>
      <c r="M980" s="3"/>
      <c r="N980" s="3"/>
      <c r="O980" s="3"/>
      <c r="P980" s="3"/>
      <c r="Q980" s="3"/>
      <c r="R980" s="32"/>
      <c r="S980" s="32"/>
      <c r="T980" s="3"/>
      <c r="U980" s="33"/>
      <c r="V980" s="33"/>
      <c r="W980" s="3"/>
      <c r="X980" s="3"/>
      <c r="Y980" s="3"/>
      <c r="Z980" s="3"/>
      <c r="AA980" s="3"/>
      <c r="AB980" s="3"/>
      <c r="AC980" s="3"/>
      <c r="AD980" s="32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4"/>
      <c r="AT980" s="3"/>
      <c r="AU980" s="3"/>
      <c r="AV980" s="3"/>
      <c r="AW980" s="3"/>
      <c r="AX980" s="4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84"/>
      <c r="BZ980" s="84"/>
      <c r="CA980" s="84"/>
      <c r="CB980" s="84"/>
      <c r="CC980" s="84"/>
      <c r="CD980" s="84"/>
      <c r="CE980" s="84"/>
      <c r="CF980" s="84"/>
      <c r="CG980" s="84"/>
      <c r="CH980" s="84"/>
      <c r="CI980" s="84"/>
      <c r="CJ980" s="84"/>
      <c r="CK980" s="84"/>
      <c r="CL980" s="84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220"/>
      <c r="CY980" s="220"/>
      <c r="CZ980" s="220"/>
      <c r="DA980" s="220"/>
      <c r="DB980" s="237"/>
      <c r="DC980" s="238"/>
      <c r="DD980" s="238"/>
      <c r="DE980" s="238"/>
      <c r="DF980" s="238"/>
      <c r="DG980" s="238"/>
      <c r="DH980" s="238"/>
      <c r="DI980" s="238"/>
      <c r="DJ980" s="238"/>
      <c r="DK980" s="238"/>
      <c r="DL980" s="238"/>
      <c r="DM980" s="238"/>
      <c r="DN980" s="238"/>
      <c r="DO980" s="238"/>
      <c r="DP980" s="238"/>
      <c r="DQ980" s="238"/>
      <c r="DR980" s="238"/>
      <c r="DS980" s="238"/>
      <c r="DT980" s="238"/>
      <c r="DU980" s="238"/>
      <c r="DV980" s="238"/>
      <c r="DW980" s="238"/>
      <c r="DX980" s="238"/>
      <c r="DY980" s="238"/>
      <c r="DZ980" s="238"/>
      <c r="EA980" s="238"/>
      <c r="EB980" s="238"/>
      <c r="EC980" s="238"/>
      <c r="ED980" s="3"/>
      <c r="EE980" s="3"/>
      <c r="EF980" s="3"/>
      <c r="EG980" s="3"/>
      <c r="EH980" s="3"/>
    </row>
    <row r="981" spans="1:138" s="82" customFormat="1" x14ac:dyDescent="0.2">
      <c r="A981" s="3"/>
      <c r="B981" s="167"/>
      <c r="C981" s="3"/>
      <c r="D981" s="3"/>
      <c r="E981" s="31"/>
      <c r="F981" s="133"/>
      <c r="G981" s="3"/>
      <c r="H981" s="31"/>
      <c r="I981" s="31"/>
      <c r="J981" s="3"/>
      <c r="K981" s="3"/>
      <c r="L981" s="3"/>
      <c r="M981" s="3"/>
      <c r="N981" s="3"/>
      <c r="O981" s="3"/>
      <c r="P981" s="3"/>
      <c r="Q981" s="3"/>
      <c r="R981" s="32"/>
      <c r="S981" s="32"/>
      <c r="T981" s="3"/>
      <c r="U981" s="33"/>
      <c r="V981" s="33"/>
      <c r="W981" s="3"/>
      <c r="X981" s="3"/>
      <c r="Y981" s="3"/>
      <c r="Z981" s="3"/>
      <c r="AA981" s="3"/>
      <c r="AB981" s="3"/>
      <c r="AC981" s="3"/>
      <c r="AD981" s="32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4"/>
      <c r="AT981" s="3"/>
      <c r="AU981" s="3"/>
      <c r="AV981" s="3"/>
      <c r="AW981" s="3"/>
      <c r="AX981" s="4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84"/>
      <c r="BZ981" s="84"/>
      <c r="CA981" s="84"/>
      <c r="CB981" s="84"/>
      <c r="CC981" s="84"/>
      <c r="CD981" s="84"/>
      <c r="CE981" s="84"/>
      <c r="CF981" s="84"/>
      <c r="CG981" s="84"/>
      <c r="CH981" s="84"/>
      <c r="CI981" s="84"/>
      <c r="CJ981" s="84"/>
      <c r="CK981" s="84"/>
      <c r="CL981" s="84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220"/>
      <c r="CY981" s="220"/>
      <c r="CZ981" s="220"/>
      <c r="DA981" s="220"/>
      <c r="DB981" s="237"/>
      <c r="DC981" s="238"/>
      <c r="DD981" s="238"/>
      <c r="DE981" s="238"/>
      <c r="DF981" s="238"/>
      <c r="DG981" s="238"/>
      <c r="DH981" s="238"/>
      <c r="DI981" s="238"/>
      <c r="DJ981" s="238"/>
      <c r="DK981" s="238"/>
      <c r="DL981" s="238"/>
      <c r="DM981" s="238"/>
      <c r="DN981" s="238"/>
      <c r="DO981" s="238"/>
      <c r="DP981" s="238"/>
      <c r="DQ981" s="238"/>
      <c r="DR981" s="238"/>
      <c r="DS981" s="238"/>
      <c r="DT981" s="238"/>
      <c r="DU981" s="238"/>
      <c r="DV981" s="238"/>
      <c r="DW981" s="238"/>
      <c r="DX981" s="238"/>
      <c r="DY981" s="238"/>
      <c r="DZ981" s="238"/>
      <c r="EA981" s="238"/>
      <c r="EB981" s="238"/>
      <c r="EC981" s="238"/>
      <c r="ED981" s="3"/>
      <c r="EE981" s="3"/>
      <c r="EF981" s="3"/>
      <c r="EG981" s="3"/>
      <c r="EH981" s="3"/>
    </row>
    <row r="982" spans="1:138" s="82" customFormat="1" x14ac:dyDescent="0.2">
      <c r="A982" s="3"/>
      <c r="B982" s="167"/>
      <c r="C982" s="3"/>
      <c r="D982" s="3"/>
      <c r="E982" s="31"/>
      <c r="F982" s="133"/>
      <c r="G982" s="3"/>
      <c r="H982" s="31"/>
      <c r="I982" s="31"/>
      <c r="J982" s="3"/>
      <c r="K982" s="3"/>
      <c r="L982" s="3"/>
      <c r="M982" s="3"/>
      <c r="N982" s="3"/>
      <c r="O982" s="3"/>
      <c r="P982" s="3"/>
      <c r="Q982" s="3"/>
      <c r="R982" s="32"/>
      <c r="S982" s="32"/>
      <c r="T982" s="3"/>
      <c r="U982" s="33"/>
      <c r="V982" s="33"/>
      <c r="W982" s="3"/>
      <c r="X982" s="3"/>
      <c r="Y982" s="3"/>
      <c r="Z982" s="3"/>
      <c r="AA982" s="3"/>
      <c r="AB982" s="3"/>
      <c r="AC982" s="3"/>
      <c r="AD982" s="32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4"/>
      <c r="AT982" s="3"/>
      <c r="AU982" s="3"/>
      <c r="AV982" s="3"/>
      <c r="AW982" s="3"/>
      <c r="AX982" s="4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84"/>
      <c r="BZ982" s="84"/>
      <c r="CA982" s="84"/>
      <c r="CB982" s="84"/>
      <c r="CC982" s="84"/>
      <c r="CD982" s="84"/>
      <c r="CE982" s="84"/>
      <c r="CF982" s="84"/>
      <c r="CG982" s="84"/>
      <c r="CH982" s="84"/>
      <c r="CI982" s="84"/>
      <c r="CJ982" s="84"/>
      <c r="CK982" s="84"/>
      <c r="CL982" s="84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220"/>
      <c r="CY982" s="220"/>
      <c r="CZ982" s="220"/>
      <c r="DA982" s="220"/>
      <c r="DB982" s="237"/>
      <c r="DC982" s="238"/>
      <c r="DD982" s="238"/>
      <c r="DE982" s="238"/>
      <c r="DF982" s="238"/>
      <c r="DG982" s="238"/>
      <c r="DH982" s="238"/>
      <c r="DI982" s="238"/>
      <c r="DJ982" s="238"/>
      <c r="DK982" s="238"/>
      <c r="DL982" s="238"/>
      <c r="DM982" s="238"/>
      <c r="DN982" s="238"/>
      <c r="DO982" s="238"/>
      <c r="DP982" s="238"/>
      <c r="DQ982" s="238"/>
      <c r="DR982" s="238"/>
      <c r="DS982" s="238"/>
      <c r="DT982" s="238"/>
      <c r="DU982" s="238"/>
      <c r="DV982" s="238"/>
      <c r="DW982" s="238"/>
      <c r="DX982" s="238"/>
      <c r="DY982" s="238"/>
      <c r="DZ982" s="238"/>
      <c r="EA982" s="238"/>
      <c r="EB982" s="238"/>
      <c r="EC982" s="238"/>
      <c r="ED982" s="3"/>
      <c r="EE982" s="3"/>
      <c r="EF982" s="3"/>
      <c r="EG982" s="3"/>
      <c r="EH982" s="3"/>
    </row>
    <row r="983" spans="1:138" s="82" customFormat="1" x14ac:dyDescent="0.2">
      <c r="A983" s="3"/>
      <c r="B983" s="167"/>
      <c r="C983" s="3"/>
      <c r="D983" s="3"/>
      <c r="E983" s="31"/>
      <c r="F983" s="133"/>
      <c r="G983" s="3"/>
      <c r="H983" s="31"/>
      <c r="I983" s="31"/>
      <c r="J983" s="3"/>
      <c r="K983" s="3"/>
      <c r="L983" s="3"/>
      <c r="M983" s="3"/>
      <c r="N983" s="3"/>
      <c r="O983" s="3"/>
      <c r="P983" s="3"/>
      <c r="Q983" s="3"/>
      <c r="R983" s="32"/>
      <c r="S983" s="32"/>
      <c r="T983" s="3"/>
      <c r="U983" s="33"/>
      <c r="V983" s="33"/>
      <c r="W983" s="3"/>
      <c r="X983" s="3"/>
      <c r="Y983" s="3"/>
      <c r="Z983" s="3"/>
      <c r="AA983" s="3"/>
      <c r="AB983" s="3"/>
      <c r="AC983" s="3"/>
      <c r="AD983" s="32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4"/>
      <c r="AT983" s="3"/>
      <c r="AU983" s="3"/>
      <c r="AV983" s="3"/>
      <c r="AW983" s="3"/>
      <c r="AX983" s="4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84"/>
      <c r="BZ983" s="84"/>
      <c r="CA983" s="84"/>
      <c r="CB983" s="84"/>
      <c r="CC983" s="84"/>
      <c r="CD983" s="84"/>
      <c r="CE983" s="84"/>
      <c r="CF983" s="84"/>
      <c r="CG983" s="84"/>
      <c r="CH983" s="84"/>
      <c r="CI983" s="84"/>
      <c r="CJ983" s="84"/>
      <c r="CK983" s="84"/>
      <c r="CL983" s="84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220"/>
      <c r="CY983" s="220"/>
      <c r="CZ983" s="220"/>
      <c r="DA983" s="220"/>
      <c r="DB983" s="237"/>
      <c r="DC983" s="238"/>
      <c r="DD983" s="238"/>
      <c r="DE983" s="238"/>
      <c r="DF983" s="238"/>
      <c r="DG983" s="238"/>
      <c r="DH983" s="238"/>
      <c r="DI983" s="238"/>
      <c r="DJ983" s="238"/>
      <c r="DK983" s="238"/>
      <c r="DL983" s="238"/>
      <c r="DM983" s="238"/>
      <c r="DN983" s="238"/>
      <c r="DO983" s="238"/>
      <c r="DP983" s="238"/>
      <c r="DQ983" s="238"/>
      <c r="DR983" s="238"/>
      <c r="DS983" s="238"/>
      <c r="DT983" s="238"/>
      <c r="DU983" s="238"/>
      <c r="DV983" s="238"/>
      <c r="DW983" s="238"/>
      <c r="DX983" s="238"/>
      <c r="DY983" s="238"/>
      <c r="DZ983" s="238"/>
      <c r="EA983" s="238"/>
      <c r="EB983" s="238"/>
      <c r="EC983" s="238"/>
      <c r="ED983" s="3"/>
      <c r="EE983" s="3"/>
      <c r="EF983" s="3"/>
      <c r="EG983" s="3"/>
      <c r="EH983" s="3"/>
    </row>
    <row r="984" spans="1:138" s="82" customFormat="1" x14ac:dyDescent="0.2">
      <c r="A984" s="3"/>
      <c r="B984" s="167"/>
      <c r="C984" s="3"/>
      <c r="D984" s="3"/>
      <c r="E984" s="31"/>
      <c r="F984" s="133"/>
      <c r="G984" s="3"/>
      <c r="H984" s="31"/>
      <c r="I984" s="31"/>
      <c r="J984" s="3"/>
      <c r="K984" s="3"/>
      <c r="L984" s="3"/>
      <c r="M984" s="3"/>
      <c r="N984" s="3"/>
      <c r="O984" s="3"/>
      <c r="P984" s="3"/>
      <c r="Q984" s="3"/>
      <c r="R984" s="32"/>
      <c r="S984" s="32"/>
      <c r="T984" s="3"/>
      <c r="U984" s="33"/>
      <c r="V984" s="33"/>
      <c r="W984" s="3"/>
      <c r="X984" s="3"/>
      <c r="Y984" s="3"/>
      <c r="Z984" s="3"/>
      <c r="AA984" s="3"/>
      <c r="AB984" s="3"/>
      <c r="AC984" s="3"/>
      <c r="AD984" s="32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4"/>
      <c r="AT984" s="3"/>
      <c r="AU984" s="3"/>
      <c r="AV984" s="3"/>
      <c r="AW984" s="3"/>
      <c r="AX984" s="4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84"/>
      <c r="BZ984" s="84"/>
      <c r="CA984" s="84"/>
      <c r="CB984" s="84"/>
      <c r="CC984" s="84"/>
      <c r="CD984" s="84"/>
      <c r="CE984" s="84"/>
      <c r="CF984" s="84"/>
      <c r="CG984" s="84"/>
      <c r="CH984" s="84"/>
      <c r="CI984" s="84"/>
      <c r="CJ984" s="84"/>
      <c r="CK984" s="84"/>
      <c r="CL984" s="84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220"/>
      <c r="CY984" s="220"/>
      <c r="CZ984" s="220"/>
      <c r="DA984" s="220"/>
      <c r="DB984" s="237"/>
      <c r="DC984" s="238"/>
      <c r="DD984" s="238"/>
      <c r="DE984" s="238"/>
      <c r="DF984" s="238"/>
      <c r="DG984" s="238"/>
      <c r="DH984" s="238"/>
      <c r="DI984" s="238"/>
      <c r="DJ984" s="238"/>
      <c r="DK984" s="238"/>
      <c r="DL984" s="238"/>
      <c r="DM984" s="238"/>
      <c r="DN984" s="238"/>
      <c r="DO984" s="238"/>
      <c r="DP984" s="238"/>
      <c r="DQ984" s="238"/>
      <c r="DR984" s="238"/>
      <c r="DS984" s="238"/>
      <c r="DT984" s="238"/>
      <c r="DU984" s="238"/>
      <c r="DV984" s="238"/>
      <c r="DW984" s="238"/>
      <c r="DX984" s="238"/>
      <c r="DY984" s="238"/>
      <c r="DZ984" s="238"/>
      <c r="EA984" s="238"/>
      <c r="EB984" s="238"/>
      <c r="EC984" s="238"/>
      <c r="ED984" s="3"/>
      <c r="EE984" s="3"/>
      <c r="EF984" s="3"/>
      <c r="EG984" s="3"/>
      <c r="EH984" s="3"/>
    </row>
    <row r="985" spans="1:138" s="82" customFormat="1" x14ac:dyDescent="0.2">
      <c r="A985" s="3"/>
      <c r="B985" s="167"/>
      <c r="C985" s="3"/>
      <c r="D985" s="3"/>
      <c r="E985" s="31"/>
      <c r="F985" s="133"/>
      <c r="G985" s="3"/>
      <c r="H985" s="31"/>
      <c r="I985" s="31"/>
      <c r="J985" s="3"/>
      <c r="K985" s="3"/>
      <c r="L985" s="3"/>
      <c r="M985" s="3"/>
      <c r="N985" s="3"/>
      <c r="O985" s="3"/>
      <c r="P985" s="3"/>
      <c r="Q985" s="3"/>
      <c r="R985" s="32"/>
      <c r="S985" s="32"/>
      <c r="T985" s="3"/>
      <c r="U985" s="33"/>
      <c r="V985" s="33"/>
      <c r="W985" s="3"/>
      <c r="X985" s="3"/>
      <c r="Y985" s="3"/>
      <c r="Z985" s="3"/>
      <c r="AA985" s="3"/>
      <c r="AB985" s="3"/>
      <c r="AC985" s="3"/>
      <c r="AD985" s="32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4"/>
      <c r="AT985" s="3"/>
      <c r="AU985" s="3"/>
      <c r="AV985" s="3"/>
      <c r="AW985" s="3"/>
      <c r="AX985" s="4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84"/>
      <c r="BZ985" s="84"/>
      <c r="CA985" s="84"/>
      <c r="CB985" s="84"/>
      <c r="CC985" s="84"/>
      <c r="CD985" s="84"/>
      <c r="CE985" s="84"/>
      <c r="CF985" s="84"/>
      <c r="CG985" s="84"/>
      <c r="CH985" s="84"/>
      <c r="CI985" s="84"/>
      <c r="CJ985" s="84"/>
      <c r="CK985" s="84"/>
      <c r="CL985" s="84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220"/>
      <c r="CY985" s="220"/>
      <c r="CZ985" s="220"/>
      <c r="DA985" s="220"/>
      <c r="DB985" s="237"/>
      <c r="DC985" s="238"/>
      <c r="DD985" s="238"/>
      <c r="DE985" s="238"/>
      <c r="DF985" s="238"/>
      <c r="DG985" s="238"/>
      <c r="DH985" s="238"/>
      <c r="DI985" s="238"/>
      <c r="DJ985" s="238"/>
      <c r="DK985" s="238"/>
      <c r="DL985" s="238"/>
      <c r="DM985" s="238"/>
      <c r="DN985" s="238"/>
      <c r="DO985" s="238"/>
      <c r="DP985" s="238"/>
      <c r="DQ985" s="238"/>
      <c r="DR985" s="238"/>
      <c r="DS985" s="238"/>
      <c r="DT985" s="238"/>
      <c r="DU985" s="238"/>
      <c r="DV985" s="238"/>
      <c r="DW985" s="238"/>
      <c r="DX985" s="238"/>
      <c r="DY985" s="238"/>
      <c r="DZ985" s="238"/>
      <c r="EA985" s="238"/>
      <c r="EB985" s="238"/>
      <c r="EC985" s="238"/>
      <c r="ED985" s="3"/>
      <c r="EE985" s="3"/>
      <c r="EF985" s="3"/>
      <c r="EG985" s="3"/>
      <c r="EH985" s="3"/>
    </row>
    <row r="986" spans="1:138" s="82" customFormat="1" x14ac:dyDescent="0.2">
      <c r="A986" s="3"/>
      <c r="B986" s="167"/>
      <c r="C986" s="3"/>
      <c r="D986" s="3"/>
      <c r="E986" s="31"/>
      <c r="F986" s="133"/>
      <c r="G986" s="3"/>
      <c r="H986" s="31"/>
      <c r="I986" s="31"/>
      <c r="J986" s="3"/>
      <c r="K986" s="3"/>
      <c r="L986" s="3"/>
      <c r="M986" s="3"/>
      <c r="N986" s="3"/>
      <c r="O986" s="3"/>
      <c r="P986" s="3"/>
      <c r="Q986" s="3"/>
      <c r="R986" s="32"/>
      <c r="S986" s="32"/>
      <c r="T986" s="3"/>
      <c r="U986" s="33"/>
      <c r="V986" s="33"/>
      <c r="W986" s="3"/>
      <c r="X986" s="3"/>
      <c r="Y986" s="3"/>
      <c r="Z986" s="3"/>
      <c r="AA986" s="3"/>
      <c r="AB986" s="3"/>
      <c r="AC986" s="3"/>
      <c r="AD986" s="32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4"/>
      <c r="AT986" s="3"/>
      <c r="AU986" s="3"/>
      <c r="AV986" s="3"/>
      <c r="AW986" s="3"/>
      <c r="AX986" s="4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84"/>
      <c r="BZ986" s="84"/>
      <c r="CA986" s="84"/>
      <c r="CB986" s="84"/>
      <c r="CC986" s="84"/>
      <c r="CD986" s="84"/>
      <c r="CE986" s="84"/>
      <c r="CF986" s="84"/>
      <c r="CG986" s="84"/>
      <c r="CH986" s="84"/>
      <c r="CI986" s="84"/>
      <c r="CJ986" s="84"/>
      <c r="CK986" s="84"/>
      <c r="CL986" s="84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220"/>
      <c r="CY986" s="220"/>
      <c r="CZ986" s="220"/>
      <c r="DA986" s="220"/>
      <c r="DB986" s="237"/>
      <c r="DC986" s="238"/>
      <c r="DD986" s="238"/>
      <c r="DE986" s="238"/>
      <c r="DF986" s="238"/>
      <c r="DG986" s="238"/>
      <c r="DH986" s="238"/>
      <c r="DI986" s="238"/>
      <c r="DJ986" s="238"/>
      <c r="DK986" s="238"/>
      <c r="DL986" s="238"/>
      <c r="DM986" s="238"/>
      <c r="DN986" s="238"/>
      <c r="DO986" s="238"/>
      <c r="DP986" s="238"/>
      <c r="DQ986" s="238"/>
      <c r="DR986" s="238"/>
      <c r="DS986" s="238"/>
      <c r="DT986" s="238"/>
      <c r="DU986" s="238"/>
      <c r="DV986" s="238"/>
      <c r="DW986" s="238"/>
      <c r="DX986" s="238"/>
      <c r="DY986" s="238"/>
      <c r="DZ986" s="238"/>
      <c r="EA986" s="238"/>
      <c r="EB986" s="238"/>
      <c r="EC986" s="238"/>
      <c r="ED986" s="3"/>
      <c r="EE986" s="3"/>
      <c r="EF986" s="3"/>
      <c r="EG986" s="3"/>
      <c r="EH986" s="3"/>
    </row>
    <row r="987" spans="1:138" s="82" customFormat="1" x14ac:dyDescent="0.2">
      <c r="A987" s="3"/>
      <c r="B987" s="167"/>
      <c r="C987" s="3"/>
      <c r="D987" s="3"/>
      <c r="E987" s="31"/>
      <c r="F987" s="133"/>
      <c r="G987" s="3"/>
      <c r="H987" s="31"/>
      <c r="I987" s="31"/>
      <c r="J987" s="3"/>
      <c r="K987" s="3"/>
      <c r="L987" s="3"/>
      <c r="M987" s="3"/>
      <c r="N987" s="3"/>
      <c r="O987" s="3"/>
      <c r="P987" s="3"/>
      <c r="Q987" s="3"/>
      <c r="R987" s="32"/>
      <c r="S987" s="32"/>
      <c r="T987" s="3"/>
      <c r="U987" s="33"/>
      <c r="V987" s="33"/>
      <c r="W987" s="3"/>
      <c r="X987" s="3"/>
      <c r="Y987" s="3"/>
      <c r="Z987" s="3"/>
      <c r="AA987" s="3"/>
      <c r="AB987" s="3"/>
      <c r="AC987" s="3"/>
      <c r="AD987" s="32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4"/>
      <c r="AT987" s="3"/>
      <c r="AU987" s="3"/>
      <c r="AV987" s="3"/>
      <c r="AW987" s="3"/>
      <c r="AX987" s="4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84"/>
      <c r="BZ987" s="84"/>
      <c r="CA987" s="84"/>
      <c r="CB987" s="84"/>
      <c r="CC987" s="84"/>
      <c r="CD987" s="84"/>
      <c r="CE987" s="84"/>
      <c r="CF987" s="84"/>
      <c r="CG987" s="84"/>
      <c r="CH987" s="84"/>
      <c r="CI987" s="84"/>
      <c r="CJ987" s="84"/>
      <c r="CK987" s="84"/>
      <c r="CL987" s="84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220"/>
      <c r="CY987" s="220"/>
      <c r="CZ987" s="220"/>
      <c r="DA987" s="220"/>
      <c r="DB987" s="237"/>
      <c r="DC987" s="238"/>
      <c r="DD987" s="238"/>
      <c r="DE987" s="238"/>
      <c r="DF987" s="238"/>
      <c r="DG987" s="238"/>
      <c r="DH987" s="238"/>
      <c r="DI987" s="238"/>
      <c r="DJ987" s="238"/>
      <c r="DK987" s="238"/>
      <c r="DL987" s="238"/>
      <c r="DM987" s="238"/>
      <c r="DN987" s="238"/>
      <c r="DO987" s="238"/>
      <c r="DP987" s="238"/>
      <c r="DQ987" s="238"/>
      <c r="DR987" s="238"/>
      <c r="DS987" s="238"/>
      <c r="DT987" s="238"/>
      <c r="DU987" s="238"/>
      <c r="DV987" s="238"/>
      <c r="DW987" s="238"/>
      <c r="DX987" s="238"/>
      <c r="DY987" s="238"/>
      <c r="DZ987" s="238"/>
      <c r="EA987" s="238"/>
      <c r="EB987" s="238"/>
      <c r="EC987" s="238"/>
      <c r="ED987" s="3"/>
      <c r="EE987" s="3"/>
      <c r="EF987" s="3"/>
      <c r="EG987" s="3"/>
      <c r="EH987" s="3"/>
    </row>
    <row r="988" spans="1:138" s="82" customFormat="1" x14ac:dyDescent="0.2">
      <c r="A988" s="3"/>
      <c r="B988" s="167"/>
      <c r="C988" s="3"/>
      <c r="D988" s="3"/>
      <c r="E988" s="31"/>
      <c r="F988" s="133"/>
      <c r="G988" s="3"/>
      <c r="H988" s="31"/>
      <c r="I988" s="31"/>
      <c r="J988" s="3"/>
      <c r="K988" s="3"/>
      <c r="L988" s="3"/>
      <c r="M988" s="3"/>
      <c r="N988" s="3"/>
      <c r="O988" s="3"/>
      <c r="P988" s="3"/>
      <c r="Q988" s="3"/>
      <c r="R988" s="32"/>
      <c r="S988" s="32"/>
      <c r="T988" s="3"/>
      <c r="U988" s="33"/>
      <c r="V988" s="33"/>
      <c r="W988" s="3"/>
      <c r="X988" s="3"/>
      <c r="Y988" s="3"/>
      <c r="Z988" s="3"/>
      <c r="AA988" s="3"/>
      <c r="AB988" s="3"/>
      <c r="AC988" s="3"/>
      <c r="AD988" s="32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4"/>
      <c r="AT988" s="3"/>
      <c r="AU988" s="3"/>
      <c r="AV988" s="3"/>
      <c r="AW988" s="3"/>
      <c r="AX988" s="4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84"/>
      <c r="BZ988" s="84"/>
      <c r="CA988" s="84"/>
      <c r="CB988" s="84"/>
      <c r="CC988" s="84"/>
      <c r="CD988" s="84"/>
      <c r="CE988" s="84"/>
      <c r="CF988" s="84"/>
      <c r="CG988" s="84"/>
      <c r="CH988" s="84"/>
      <c r="CI988" s="84"/>
      <c r="CJ988" s="84"/>
      <c r="CK988" s="84"/>
      <c r="CL988" s="84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220"/>
      <c r="CY988" s="220"/>
      <c r="CZ988" s="220"/>
      <c r="DA988" s="220"/>
      <c r="DB988" s="237"/>
      <c r="DC988" s="238"/>
      <c r="DD988" s="238"/>
      <c r="DE988" s="238"/>
      <c r="DF988" s="238"/>
      <c r="DG988" s="238"/>
      <c r="DH988" s="238"/>
      <c r="DI988" s="238"/>
      <c r="DJ988" s="238"/>
      <c r="DK988" s="238"/>
      <c r="DL988" s="238"/>
      <c r="DM988" s="238"/>
      <c r="DN988" s="238"/>
      <c r="DO988" s="238"/>
      <c r="DP988" s="238"/>
      <c r="DQ988" s="238"/>
      <c r="DR988" s="238"/>
      <c r="DS988" s="238"/>
      <c r="DT988" s="238"/>
      <c r="DU988" s="238"/>
      <c r="DV988" s="238"/>
      <c r="DW988" s="238"/>
      <c r="DX988" s="238"/>
      <c r="DY988" s="238"/>
      <c r="DZ988" s="238"/>
      <c r="EA988" s="238"/>
      <c r="EB988" s="238"/>
      <c r="EC988" s="238"/>
      <c r="ED988" s="3"/>
      <c r="EE988" s="3"/>
      <c r="EF988" s="3"/>
      <c r="EG988" s="3"/>
      <c r="EH988" s="3"/>
    </row>
    <row r="989" spans="1:138" s="82" customFormat="1" x14ac:dyDescent="0.2">
      <c r="A989" s="3"/>
      <c r="B989" s="167"/>
      <c r="C989" s="3"/>
      <c r="D989" s="3"/>
      <c r="E989" s="31"/>
      <c r="F989" s="133"/>
      <c r="G989" s="3"/>
      <c r="H989" s="31"/>
      <c r="I989" s="31"/>
      <c r="J989" s="3"/>
      <c r="K989" s="3"/>
      <c r="L989" s="3"/>
      <c r="M989" s="3"/>
      <c r="N989" s="3"/>
      <c r="O989" s="3"/>
      <c r="P989" s="3"/>
      <c r="Q989" s="3"/>
      <c r="R989" s="32"/>
      <c r="S989" s="32"/>
      <c r="T989" s="3"/>
      <c r="U989" s="33"/>
      <c r="V989" s="33"/>
      <c r="W989" s="3"/>
      <c r="X989" s="3"/>
      <c r="Y989" s="3"/>
      <c r="Z989" s="3"/>
      <c r="AA989" s="3"/>
      <c r="AB989" s="3"/>
      <c r="AC989" s="3"/>
      <c r="AD989" s="32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4"/>
      <c r="AT989" s="3"/>
      <c r="AU989" s="3"/>
      <c r="AV989" s="3"/>
      <c r="AW989" s="3"/>
      <c r="AX989" s="4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84"/>
      <c r="BZ989" s="84"/>
      <c r="CA989" s="84"/>
      <c r="CB989" s="84"/>
      <c r="CC989" s="84"/>
      <c r="CD989" s="84"/>
      <c r="CE989" s="84"/>
      <c r="CF989" s="84"/>
      <c r="CG989" s="84"/>
      <c r="CH989" s="84"/>
      <c r="CI989" s="84"/>
      <c r="CJ989" s="84"/>
      <c r="CK989" s="84"/>
      <c r="CL989" s="84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220"/>
      <c r="CY989" s="220"/>
      <c r="CZ989" s="220"/>
      <c r="DA989" s="220"/>
      <c r="DB989" s="237"/>
      <c r="DC989" s="238"/>
      <c r="DD989" s="238"/>
      <c r="DE989" s="238"/>
      <c r="DF989" s="238"/>
      <c r="DG989" s="238"/>
      <c r="DH989" s="238"/>
      <c r="DI989" s="238"/>
      <c r="DJ989" s="238"/>
      <c r="DK989" s="238"/>
      <c r="DL989" s="238"/>
      <c r="DM989" s="238"/>
      <c r="DN989" s="238"/>
      <c r="DO989" s="238"/>
      <c r="DP989" s="238"/>
      <c r="DQ989" s="238"/>
      <c r="DR989" s="238"/>
      <c r="DS989" s="238"/>
      <c r="DT989" s="238"/>
      <c r="DU989" s="238"/>
      <c r="DV989" s="238"/>
      <c r="DW989" s="238"/>
      <c r="DX989" s="238"/>
      <c r="DY989" s="238"/>
      <c r="DZ989" s="238"/>
      <c r="EA989" s="238"/>
      <c r="EB989" s="238"/>
      <c r="EC989" s="238"/>
      <c r="ED989" s="3"/>
      <c r="EE989" s="3"/>
      <c r="EF989" s="3"/>
      <c r="EG989" s="3"/>
      <c r="EH989" s="3"/>
    </row>
    <row r="990" spans="1:138" s="82" customFormat="1" x14ac:dyDescent="0.2">
      <c r="A990" s="3"/>
      <c r="B990" s="167"/>
      <c r="C990" s="3"/>
      <c r="D990" s="3"/>
      <c r="E990" s="31"/>
      <c r="F990" s="133"/>
      <c r="G990" s="3"/>
      <c r="H990" s="31"/>
      <c r="I990" s="31"/>
      <c r="J990" s="3"/>
      <c r="K990" s="3"/>
      <c r="L990" s="3"/>
      <c r="M990" s="3"/>
      <c r="N990" s="3"/>
      <c r="O990" s="3"/>
      <c r="P990" s="3"/>
      <c r="Q990" s="3"/>
      <c r="R990" s="32"/>
      <c r="S990" s="32"/>
      <c r="T990" s="3"/>
      <c r="U990" s="33"/>
      <c r="V990" s="33"/>
      <c r="W990" s="3"/>
      <c r="X990" s="3"/>
      <c r="Y990" s="3"/>
      <c r="Z990" s="3"/>
      <c r="AA990" s="3"/>
      <c r="AB990" s="3"/>
      <c r="AC990" s="3"/>
      <c r="AD990" s="32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4"/>
      <c r="AT990" s="3"/>
      <c r="AU990" s="3"/>
      <c r="AV990" s="3"/>
      <c r="AW990" s="3"/>
      <c r="AX990" s="4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84"/>
      <c r="BZ990" s="84"/>
      <c r="CA990" s="84"/>
      <c r="CB990" s="84"/>
      <c r="CC990" s="84"/>
      <c r="CD990" s="84"/>
      <c r="CE990" s="84"/>
      <c r="CF990" s="84"/>
      <c r="CG990" s="84"/>
      <c r="CH990" s="84"/>
      <c r="CI990" s="84"/>
      <c r="CJ990" s="84"/>
      <c r="CK990" s="84"/>
      <c r="CL990" s="84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220"/>
      <c r="CY990" s="220"/>
      <c r="CZ990" s="220"/>
      <c r="DA990" s="220"/>
      <c r="DB990" s="237"/>
      <c r="DC990" s="238"/>
      <c r="DD990" s="238"/>
      <c r="DE990" s="238"/>
      <c r="DF990" s="238"/>
      <c r="DG990" s="238"/>
      <c r="DH990" s="238"/>
      <c r="DI990" s="238"/>
      <c r="DJ990" s="238"/>
      <c r="DK990" s="238"/>
      <c r="DL990" s="238"/>
      <c r="DM990" s="238"/>
      <c r="DN990" s="238"/>
      <c r="DO990" s="238"/>
      <c r="DP990" s="238"/>
      <c r="DQ990" s="238"/>
      <c r="DR990" s="238"/>
      <c r="DS990" s="238"/>
      <c r="DT990" s="238"/>
      <c r="DU990" s="238"/>
      <c r="DV990" s="238"/>
      <c r="DW990" s="238"/>
      <c r="DX990" s="238"/>
      <c r="DY990" s="238"/>
      <c r="DZ990" s="238"/>
      <c r="EA990" s="238"/>
      <c r="EB990" s="238"/>
      <c r="EC990" s="238"/>
      <c r="ED990" s="3"/>
      <c r="EE990" s="3"/>
      <c r="EF990" s="3"/>
      <c r="EG990" s="3"/>
      <c r="EH990" s="3"/>
    </row>
    <row r="991" spans="1:138" s="82" customFormat="1" x14ac:dyDescent="0.2">
      <c r="A991" s="3"/>
      <c r="B991" s="167"/>
      <c r="C991" s="3"/>
      <c r="D991" s="3"/>
      <c r="E991" s="31"/>
      <c r="F991" s="133"/>
      <c r="G991" s="3"/>
      <c r="H991" s="31"/>
      <c r="I991" s="31"/>
      <c r="J991" s="3"/>
      <c r="K991" s="3"/>
      <c r="L991" s="3"/>
      <c r="M991" s="3"/>
      <c r="N991" s="3"/>
      <c r="O991" s="3"/>
      <c r="P991" s="3"/>
      <c r="Q991" s="3"/>
      <c r="R991" s="32"/>
      <c r="S991" s="32"/>
      <c r="T991" s="3"/>
      <c r="U991" s="33"/>
      <c r="V991" s="33"/>
      <c r="W991" s="3"/>
      <c r="X991" s="3"/>
      <c r="Y991" s="3"/>
      <c r="Z991" s="3"/>
      <c r="AA991" s="3"/>
      <c r="AB991" s="3"/>
      <c r="AC991" s="3"/>
      <c r="AD991" s="32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4"/>
      <c r="AT991" s="3"/>
      <c r="AU991" s="3"/>
      <c r="AV991" s="3"/>
      <c r="AW991" s="3"/>
      <c r="AX991" s="4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84"/>
      <c r="BZ991" s="84"/>
      <c r="CA991" s="84"/>
      <c r="CB991" s="84"/>
      <c r="CC991" s="84"/>
      <c r="CD991" s="84"/>
      <c r="CE991" s="84"/>
      <c r="CF991" s="84"/>
      <c r="CG991" s="84"/>
      <c r="CH991" s="84"/>
      <c r="CI991" s="84"/>
      <c r="CJ991" s="84"/>
      <c r="CK991" s="84"/>
      <c r="CL991" s="84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220"/>
      <c r="CY991" s="220"/>
      <c r="CZ991" s="220"/>
      <c r="DA991" s="220"/>
      <c r="DB991" s="237"/>
      <c r="DC991" s="238"/>
      <c r="DD991" s="238"/>
      <c r="DE991" s="238"/>
      <c r="DF991" s="238"/>
      <c r="DG991" s="238"/>
      <c r="DH991" s="238"/>
      <c r="DI991" s="238"/>
      <c r="DJ991" s="238"/>
      <c r="DK991" s="238"/>
      <c r="DL991" s="238"/>
      <c r="DM991" s="238"/>
      <c r="DN991" s="238"/>
      <c r="DO991" s="238"/>
      <c r="DP991" s="238"/>
      <c r="DQ991" s="238"/>
      <c r="DR991" s="238"/>
      <c r="DS991" s="238"/>
      <c r="DT991" s="238"/>
      <c r="DU991" s="238"/>
      <c r="DV991" s="238"/>
      <c r="DW991" s="238"/>
      <c r="DX991" s="238"/>
      <c r="DY991" s="238"/>
      <c r="DZ991" s="238"/>
      <c r="EA991" s="238"/>
      <c r="EB991" s="238"/>
      <c r="EC991" s="238"/>
      <c r="ED991" s="3"/>
      <c r="EE991" s="3"/>
      <c r="EF991" s="3"/>
      <c r="EG991" s="3"/>
      <c r="EH991" s="3"/>
    </row>
    <row r="992" spans="1:138" s="82" customFormat="1" x14ac:dyDescent="0.2">
      <c r="A992" s="3"/>
      <c r="B992" s="167"/>
      <c r="C992" s="3"/>
      <c r="D992" s="3"/>
      <c r="E992" s="31"/>
      <c r="F992" s="133"/>
      <c r="G992" s="3"/>
      <c r="H992" s="31"/>
      <c r="I992" s="31"/>
      <c r="J992" s="3"/>
      <c r="K992" s="3"/>
      <c r="L992" s="3"/>
      <c r="M992" s="3"/>
      <c r="N992" s="3"/>
      <c r="O992" s="3"/>
      <c r="P992" s="3"/>
      <c r="Q992" s="3"/>
      <c r="R992" s="32"/>
      <c r="S992" s="32"/>
      <c r="T992" s="3"/>
      <c r="U992" s="33"/>
      <c r="V992" s="33"/>
      <c r="W992" s="3"/>
      <c r="X992" s="3"/>
      <c r="Y992" s="3"/>
      <c r="Z992" s="3"/>
      <c r="AA992" s="3"/>
      <c r="AB992" s="3"/>
      <c r="AC992" s="3"/>
      <c r="AD992" s="32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4"/>
      <c r="AT992" s="3"/>
      <c r="AU992" s="3"/>
      <c r="AV992" s="3"/>
      <c r="AW992" s="3"/>
      <c r="AX992" s="4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84"/>
      <c r="BZ992" s="84"/>
      <c r="CA992" s="84"/>
      <c r="CB992" s="84"/>
      <c r="CC992" s="84"/>
      <c r="CD992" s="84"/>
      <c r="CE992" s="84"/>
      <c r="CF992" s="84"/>
      <c r="CG992" s="84"/>
      <c r="CH992" s="84"/>
      <c r="CI992" s="84"/>
      <c r="CJ992" s="84"/>
      <c r="CK992" s="84"/>
      <c r="CL992" s="84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220"/>
      <c r="CY992" s="220"/>
      <c r="CZ992" s="220"/>
      <c r="DA992" s="220"/>
      <c r="DB992" s="237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38"/>
      <c r="DW992" s="238"/>
      <c r="DX992" s="238"/>
      <c r="DY992" s="238"/>
      <c r="DZ992" s="238"/>
      <c r="EA992" s="238"/>
      <c r="EB992" s="238"/>
      <c r="EC992" s="238"/>
      <c r="ED992" s="3"/>
      <c r="EE992" s="3"/>
      <c r="EF992" s="3"/>
      <c r="EG992" s="3"/>
      <c r="EH992" s="3"/>
    </row>
    <row r="993" spans="5:40" x14ac:dyDescent="0.2">
      <c r="E993" s="31"/>
      <c r="F993" s="133"/>
      <c r="H993" s="31"/>
      <c r="I993" s="31"/>
      <c r="R993" s="32"/>
      <c r="S993" s="32"/>
      <c r="U993" s="33"/>
      <c r="V993" s="33"/>
      <c r="AD993" s="32"/>
    </row>
    <row r="994" spans="5:40" x14ac:dyDescent="0.2">
      <c r="E994" s="31"/>
      <c r="F994" s="133"/>
      <c r="H994" s="31"/>
      <c r="I994" s="31"/>
      <c r="R994" s="32"/>
      <c r="S994" s="32"/>
      <c r="U994" s="33"/>
      <c r="V994" s="33"/>
      <c r="AD994" s="32"/>
    </row>
    <row r="995" spans="5:40" x14ac:dyDescent="0.2">
      <c r="E995" s="31"/>
      <c r="F995" s="133"/>
      <c r="H995" s="31"/>
      <c r="I995" s="31"/>
      <c r="R995" s="32"/>
      <c r="S995" s="32"/>
      <c r="U995" s="33"/>
      <c r="V995" s="33"/>
      <c r="AD995" s="32"/>
    </row>
    <row r="996" spans="5:40" x14ac:dyDescent="0.2">
      <c r="E996" s="31"/>
      <c r="F996" s="133"/>
      <c r="H996" s="31"/>
      <c r="I996" s="31"/>
      <c r="R996" s="32"/>
      <c r="S996" s="32"/>
      <c r="U996" s="33"/>
      <c r="V996" s="33"/>
      <c r="AD996" s="32"/>
    </row>
    <row r="997" spans="5:40" x14ac:dyDescent="0.2">
      <c r="E997" s="31"/>
      <c r="F997" s="133"/>
      <c r="H997" s="31"/>
      <c r="I997" s="31"/>
      <c r="R997" s="32"/>
      <c r="S997" s="32"/>
      <c r="U997" s="33"/>
      <c r="V997" s="33"/>
      <c r="AD997" s="32"/>
    </row>
    <row r="998" spans="5:40" x14ac:dyDescent="0.2">
      <c r="E998" s="31"/>
      <c r="F998" s="133"/>
      <c r="H998" s="31"/>
      <c r="I998" s="31"/>
      <c r="R998" s="32"/>
      <c r="S998" s="32"/>
      <c r="U998" s="33"/>
      <c r="V998" s="33"/>
      <c r="AD998" s="32"/>
    </row>
    <row r="999" spans="5:40" x14ac:dyDescent="0.2">
      <c r="E999" s="31"/>
      <c r="F999" s="133"/>
      <c r="H999" s="31"/>
      <c r="I999" s="31"/>
      <c r="R999" s="32"/>
      <c r="S999" s="32"/>
      <c r="U999" s="33"/>
      <c r="V999" s="33"/>
      <c r="AD999" s="32"/>
    </row>
    <row r="1000" spans="5:40" x14ac:dyDescent="0.2">
      <c r="E1000" s="31"/>
      <c r="F1000" s="133"/>
      <c r="H1000" s="31"/>
      <c r="I1000" s="31"/>
      <c r="R1000" s="32"/>
      <c r="S1000" s="32"/>
      <c r="U1000" s="33"/>
      <c r="V1000" s="33"/>
      <c r="AD1000" s="32"/>
    </row>
    <row r="1001" spans="5:40" x14ac:dyDescent="0.2">
      <c r="E1001" s="31"/>
      <c r="F1001" s="133"/>
      <c r="H1001" s="31"/>
      <c r="I1001" s="31"/>
      <c r="R1001" s="32"/>
      <c r="S1001" s="32"/>
      <c r="U1001" s="33"/>
      <c r="V1001" s="33"/>
      <c r="AD1001" s="32"/>
    </row>
    <row r="1002" spans="5:40" x14ac:dyDescent="0.2">
      <c r="E1002" s="31"/>
      <c r="F1002" s="133"/>
      <c r="H1002" s="31"/>
      <c r="I1002" s="31"/>
      <c r="R1002" s="32"/>
      <c r="S1002" s="32"/>
      <c r="U1002" s="33"/>
      <c r="V1002" s="33"/>
      <c r="AD1002" s="32"/>
    </row>
    <row r="1003" spans="5:40" x14ac:dyDescent="0.2">
      <c r="E1003" s="31"/>
      <c r="F1003" s="133"/>
      <c r="H1003" s="31"/>
      <c r="I1003" s="31"/>
      <c r="R1003" s="32"/>
      <c r="S1003" s="32"/>
      <c r="U1003" s="33"/>
      <c r="V1003" s="33"/>
      <c r="AD1003" s="32"/>
    </row>
    <row r="1004" spans="5:40" x14ac:dyDescent="0.2">
      <c r="G1004" s="33"/>
      <c r="J1004" s="33"/>
      <c r="K1004" s="33"/>
      <c r="N1004" s="33"/>
      <c r="O1004" s="33"/>
      <c r="P1004" s="33"/>
      <c r="Q1004" s="33"/>
      <c r="T1004" s="33"/>
      <c r="U1004" s="33"/>
      <c r="V1004" s="33"/>
      <c r="AE1004" s="120"/>
      <c r="AF1004" s="33"/>
      <c r="AG1004" s="33"/>
      <c r="AH1004" s="33"/>
      <c r="AJ1004" s="33"/>
      <c r="AK1004" s="33"/>
      <c r="AL1004" s="33"/>
      <c r="AM1004" s="33"/>
      <c r="AN1004" s="33"/>
    </row>
    <row r="1005" spans="5:40" x14ac:dyDescent="0.2">
      <c r="E1005" s="31"/>
      <c r="F1005" s="133"/>
      <c r="H1005" s="31"/>
      <c r="I1005" s="31"/>
      <c r="R1005" s="32"/>
      <c r="S1005" s="32"/>
      <c r="U1005" s="33"/>
      <c r="V1005" s="33"/>
      <c r="AD1005" s="32"/>
    </row>
    <row r="1006" spans="5:40" x14ac:dyDescent="0.2">
      <c r="E1006" s="31"/>
      <c r="F1006" s="133"/>
      <c r="H1006" s="31"/>
      <c r="I1006" s="31"/>
      <c r="R1006" s="32"/>
      <c r="S1006" s="32"/>
      <c r="U1006" s="33"/>
      <c r="V1006" s="33"/>
      <c r="AD1006" s="32"/>
    </row>
    <row r="1007" spans="5:40" x14ac:dyDescent="0.2">
      <c r="E1007" s="31"/>
      <c r="F1007" s="133"/>
      <c r="H1007" s="31"/>
      <c r="I1007" s="31"/>
      <c r="R1007" s="32"/>
      <c r="S1007" s="32"/>
      <c r="U1007" s="33"/>
      <c r="V1007" s="33"/>
      <c r="AD1007" s="32"/>
    </row>
    <row r="1008" spans="5:40" x14ac:dyDescent="0.2">
      <c r="E1008" s="31"/>
      <c r="F1008" s="133"/>
      <c r="H1008" s="31"/>
      <c r="I1008" s="31"/>
      <c r="R1008" s="32"/>
      <c r="S1008" s="32"/>
      <c r="U1008" s="33"/>
      <c r="V1008" s="33"/>
      <c r="AD1008" s="32"/>
    </row>
    <row r="1009" spans="5:40" x14ac:dyDescent="0.2">
      <c r="E1009" s="31"/>
      <c r="F1009" s="133"/>
      <c r="H1009" s="31"/>
      <c r="I1009" s="31"/>
      <c r="R1009" s="32"/>
      <c r="S1009" s="32"/>
      <c r="U1009" s="33"/>
      <c r="V1009" s="33"/>
      <c r="AD1009" s="32"/>
    </row>
    <row r="1010" spans="5:40" x14ac:dyDescent="0.2">
      <c r="E1010" s="31"/>
      <c r="F1010" s="133"/>
      <c r="H1010" s="31"/>
      <c r="I1010" s="31"/>
      <c r="R1010" s="32"/>
      <c r="S1010" s="32"/>
      <c r="U1010" s="33"/>
      <c r="V1010" s="33"/>
      <c r="AD1010" s="32"/>
    </row>
    <row r="1011" spans="5:40" x14ac:dyDescent="0.2">
      <c r="E1011" s="31"/>
      <c r="F1011" s="133"/>
      <c r="H1011" s="31"/>
      <c r="I1011" s="31"/>
      <c r="R1011" s="32"/>
      <c r="S1011" s="32"/>
      <c r="U1011" s="33"/>
      <c r="V1011" s="33"/>
      <c r="AD1011" s="32"/>
    </row>
    <row r="1012" spans="5:40" x14ac:dyDescent="0.2">
      <c r="E1012" s="31"/>
      <c r="F1012" s="133"/>
      <c r="H1012" s="31"/>
      <c r="I1012" s="31"/>
      <c r="R1012" s="32"/>
      <c r="S1012" s="32"/>
      <c r="U1012" s="33"/>
      <c r="V1012" s="33"/>
      <c r="AD1012" s="32"/>
    </row>
    <row r="1013" spans="5:40" x14ac:dyDescent="0.2">
      <c r="E1013" s="31"/>
      <c r="F1013" s="133"/>
      <c r="H1013" s="31"/>
      <c r="I1013" s="31"/>
      <c r="R1013" s="32"/>
      <c r="S1013" s="32"/>
      <c r="U1013" s="33"/>
      <c r="V1013" s="33"/>
      <c r="AD1013" s="32"/>
    </row>
    <row r="1014" spans="5:40" x14ac:dyDescent="0.2">
      <c r="E1014" s="31"/>
      <c r="F1014" s="133"/>
      <c r="H1014" s="31"/>
      <c r="I1014" s="31"/>
      <c r="R1014" s="32"/>
      <c r="S1014" s="32"/>
      <c r="U1014" s="33"/>
      <c r="V1014" s="33"/>
      <c r="AD1014" s="32"/>
    </row>
    <row r="1015" spans="5:40" x14ac:dyDescent="0.2">
      <c r="E1015" s="31"/>
      <c r="F1015" s="133"/>
      <c r="H1015" s="31"/>
      <c r="I1015" s="31"/>
      <c r="R1015" s="32"/>
      <c r="S1015" s="32"/>
      <c r="U1015" s="33"/>
      <c r="V1015" s="33"/>
      <c r="AD1015" s="32"/>
    </row>
    <row r="1016" spans="5:40" x14ac:dyDescent="0.2">
      <c r="E1016" s="31"/>
      <c r="F1016" s="133"/>
      <c r="H1016" s="31"/>
      <c r="I1016" s="31"/>
      <c r="R1016" s="32"/>
      <c r="S1016" s="32"/>
      <c r="U1016" s="33"/>
      <c r="V1016" s="33"/>
      <c r="AD1016" s="32"/>
    </row>
    <row r="1017" spans="5:40" x14ac:dyDescent="0.2">
      <c r="E1017" s="31"/>
      <c r="F1017" s="133"/>
      <c r="H1017" s="31"/>
      <c r="I1017" s="31"/>
      <c r="R1017" s="32"/>
      <c r="S1017" s="32"/>
      <c r="U1017" s="33"/>
      <c r="V1017" s="33"/>
      <c r="AD1017" s="32"/>
    </row>
    <row r="1018" spans="5:40" x14ac:dyDescent="0.2">
      <c r="E1018" s="31"/>
      <c r="F1018" s="133"/>
      <c r="H1018" s="31"/>
      <c r="I1018" s="31"/>
      <c r="R1018" s="32"/>
      <c r="S1018" s="32"/>
      <c r="U1018" s="33"/>
      <c r="V1018" s="33"/>
      <c r="AD1018" s="32"/>
    </row>
    <row r="1019" spans="5:40" x14ac:dyDescent="0.2">
      <c r="E1019" s="31"/>
      <c r="F1019" s="133"/>
      <c r="H1019" s="31"/>
      <c r="I1019" s="31"/>
      <c r="R1019" s="32"/>
      <c r="S1019" s="32"/>
      <c r="U1019" s="33"/>
      <c r="V1019" s="33"/>
      <c r="AD1019" s="32"/>
    </row>
    <row r="1020" spans="5:40" x14ac:dyDescent="0.2">
      <c r="E1020" s="31"/>
      <c r="F1020" s="133"/>
      <c r="G1020" s="32"/>
      <c r="H1020" s="31"/>
      <c r="I1020" s="31"/>
      <c r="J1020" s="32"/>
      <c r="K1020" s="32"/>
      <c r="N1020" s="32"/>
      <c r="O1020" s="32"/>
      <c r="P1020" s="32"/>
      <c r="Q1020" s="32"/>
      <c r="R1020" s="32"/>
      <c r="S1020" s="32"/>
      <c r="T1020" s="32"/>
      <c r="U1020" s="32"/>
      <c r="V1020" s="32"/>
      <c r="AD1020" s="32"/>
      <c r="AE1020" s="119"/>
      <c r="AF1020" s="32"/>
      <c r="AG1020" s="32"/>
      <c r="AH1020" s="32"/>
      <c r="AJ1020" s="32"/>
      <c r="AK1020" s="32"/>
      <c r="AL1020" s="32"/>
      <c r="AM1020" s="32"/>
      <c r="AN1020" s="32"/>
    </row>
    <row r="1021" spans="5:40" x14ac:dyDescent="0.2">
      <c r="E1021" s="31"/>
      <c r="F1021" s="133"/>
      <c r="H1021" s="31"/>
      <c r="I1021" s="31"/>
      <c r="R1021" s="32"/>
      <c r="S1021" s="32"/>
      <c r="U1021" s="33"/>
      <c r="V1021" s="33"/>
      <c r="AD1021" s="32"/>
    </row>
    <row r="1022" spans="5:40" x14ac:dyDescent="0.2">
      <c r="E1022" s="31"/>
      <c r="F1022" s="133"/>
      <c r="H1022" s="31"/>
      <c r="I1022" s="31"/>
      <c r="R1022" s="32"/>
      <c r="S1022" s="32"/>
      <c r="U1022" s="33"/>
      <c r="V1022" s="33"/>
      <c r="AD1022" s="32"/>
    </row>
    <row r="1023" spans="5:40" x14ac:dyDescent="0.2">
      <c r="E1023" s="31"/>
      <c r="F1023" s="133"/>
      <c r="H1023" s="31"/>
      <c r="I1023" s="31"/>
      <c r="R1023" s="32"/>
      <c r="S1023" s="32"/>
      <c r="U1023" s="33"/>
      <c r="V1023" s="33"/>
      <c r="AD1023" s="32"/>
    </row>
    <row r="1024" spans="5:40" x14ac:dyDescent="0.2">
      <c r="E1024" s="31"/>
      <c r="F1024" s="133"/>
      <c r="H1024" s="31"/>
      <c r="I1024" s="31"/>
      <c r="R1024" s="32"/>
      <c r="S1024" s="32"/>
      <c r="U1024" s="33"/>
      <c r="V1024" s="33"/>
      <c r="AD1024" s="32"/>
    </row>
    <row r="1025" spans="1:138" s="82" customFormat="1" x14ac:dyDescent="0.2">
      <c r="A1025" s="3"/>
      <c r="B1025" s="167"/>
      <c r="C1025" s="3"/>
      <c r="D1025" s="3"/>
      <c r="E1025" s="31"/>
      <c r="F1025" s="133"/>
      <c r="G1025" s="3"/>
      <c r="H1025" s="31"/>
      <c r="I1025" s="31"/>
      <c r="J1025" s="3"/>
      <c r="K1025" s="3"/>
      <c r="L1025" s="3"/>
      <c r="M1025" s="3"/>
      <c r="N1025" s="3"/>
      <c r="O1025" s="3"/>
      <c r="P1025" s="3"/>
      <c r="Q1025" s="3"/>
      <c r="R1025" s="32"/>
      <c r="S1025" s="32"/>
      <c r="T1025" s="3"/>
      <c r="U1025" s="33"/>
      <c r="V1025" s="33"/>
      <c r="W1025" s="3"/>
      <c r="X1025" s="3"/>
      <c r="Y1025" s="3"/>
      <c r="Z1025" s="3"/>
      <c r="AA1025" s="3"/>
      <c r="AB1025" s="3"/>
      <c r="AC1025" s="3"/>
      <c r="AD1025" s="32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4"/>
      <c r="AT1025" s="3"/>
      <c r="AU1025" s="3"/>
      <c r="AV1025" s="3"/>
      <c r="AW1025" s="3"/>
      <c r="AX1025" s="4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84"/>
      <c r="BZ1025" s="84"/>
      <c r="CA1025" s="84"/>
      <c r="CB1025" s="84"/>
      <c r="CC1025" s="84"/>
      <c r="CD1025" s="84"/>
      <c r="CE1025" s="84"/>
      <c r="CF1025" s="84"/>
      <c r="CG1025" s="84"/>
      <c r="CH1025" s="84"/>
      <c r="CI1025" s="84"/>
      <c r="CJ1025" s="84"/>
      <c r="CK1025" s="84"/>
      <c r="CL1025" s="84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220"/>
      <c r="CY1025" s="220"/>
      <c r="CZ1025" s="220"/>
      <c r="DA1025" s="220"/>
      <c r="DB1025" s="237"/>
      <c r="DC1025" s="238"/>
      <c r="DD1025" s="238"/>
      <c r="DE1025" s="238"/>
      <c r="DF1025" s="238"/>
      <c r="DG1025" s="238"/>
      <c r="DH1025" s="238"/>
      <c r="DI1025" s="238"/>
      <c r="DJ1025" s="238"/>
      <c r="DK1025" s="238"/>
      <c r="DL1025" s="238"/>
      <c r="DM1025" s="238"/>
      <c r="DN1025" s="238"/>
      <c r="DO1025" s="238"/>
      <c r="DP1025" s="238"/>
      <c r="DQ1025" s="238"/>
      <c r="DR1025" s="238"/>
      <c r="DS1025" s="238"/>
      <c r="DT1025" s="238"/>
      <c r="DU1025" s="238"/>
      <c r="DV1025" s="238"/>
      <c r="DW1025" s="238"/>
      <c r="DX1025" s="238"/>
      <c r="DY1025" s="238"/>
      <c r="DZ1025" s="238"/>
      <c r="EA1025" s="238"/>
      <c r="EB1025" s="238"/>
      <c r="EC1025" s="238"/>
      <c r="ED1025" s="3"/>
      <c r="EE1025" s="3"/>
      <c r="EF1025" s="3"/>
      <c r="EG1025" s="3"/>
      <c r="EH1025" s="3"/>
    </row>
    <row r="1026" spans="1:138" s="82" customFormat="1" x14ac:dyDescent="0.2">
      <c r="A1026" s="3"/>
      <c r="B1026" s="167"/>
      <c r="C1026" s="3"/>
      <c r="D1026" s="3"/>
      <c r="E1026" s="31"/>
      <c r="F1026" s="133"/>
      <c r="G1026" s="3"/>
      <c r="H1026" s="31"/>
      <c r="I1026" s="31"/>
      <c r="J1026" s="3"/>
      <c r="K1026" s="3"/>
      <c r="L1026" s="3"/>
      <c r="M1026" s="3"/>
      <c r="N1026" s="3"/>
      <c r="O1026" s="3"/>
      <c r="P1026" s="3"/>
      <c r="Q1026" s="3"/>
      <c r="R1026" s="32"/>
      <c r="S1026" s="32"/>
      <c r="T1026" s="3"/>
      <c r="U1026" s="33"/>
      <c r="V1026" s="33"/>
      <c r="W1026" s="3"/>
      <c r="X1026" s="3"/>
      <c r="Y1026" s="3"/>
      <c r="Z1026" s="3"/>
      <c r="AA1026" s="3"/>
      <c r="AB1026" s="3"/>
      <c r="AC1026" s="3"/>
      <c r="AD1026" s="32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4"/>
      <c r="AT1026" s="3"/>
      <c r="AU1026" s="3"/>
      <c r="AV1026" s="3"/>
      <c r="AW1026" s="3"/>
      <c r="AX1026" s="4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84"/>
      <c r="BZ1026" s="84"/>
      <c r="CA1026" s="84"/>
      <c r="CB1026" s="84"/>
      <c r="CC1026" s="84"/>
      <c r="CD1026" s="84"/>
      <c r="CE1026" s="84"/>
      <c r="CF1026" s="84"/>
      <c r="CG1026" s="84"/>
      <c r="CH1026" s="84"/>
      <c r="CI1026" s="84"/>
      <c r="CJ1026" s="84"/>
      <c r="CK1026" s="84"/>
      <c r="CL1026" s="84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220"/>
      <c r="CY1026" s="220"/>
      <c r="CZ1026" s="220"/>
      <c r="DA1026" s="220"/>
      <c r="DB1026" s="237"/>
      <c r="DC1026" s="238"/>
      <c r="DD1026" s="238"/>
      <c r="DE1026" s="238"/>
      <c r="DF1026" s="238"/>
      <c r="DG1026" s="238"/>
      <c r="DH1026" s="238"/>
      <c r="DI1026" s="238"/>
      <c r="DJ1026" s="238"/>
      <c r="DK1026" s="238"/>
      <c r="DL1026" s="238"/>
      <c r="DM1026" s="238"/>
      <c r="DN1026" s="238"/>
      <c r="DO1026" s="238"/>
      <c r="DP1026" s="238"/>
      <c r="DQ1026" s="238"/>
      <c r="DR1026" s="238"/>
      <c r="DS1026" s="238"/>
      <c r="DT1026" s="238"/>
      <c r="DU1026" s="238"/>
      <c r="DV1026" s="238"/>
      <c r="DW1026" s="238"/>
      <c r="DX1026" s="238"/>
      <c r="DY1026" s="238"/>
      <c r="DZ1026" s="238"/>
      <c r="EA1026" s="238"/>
      <c r="EB1026" s="238"/>
      <c r="EC1026" s="238"/>
      <c r="ED1026" s="3"/>
      <c r="EE1026" s="3"/>
      <c r="EF1026" s="3"/>
      <c r="EG1026" s="3"/>
      <c r="EH1026" s="3"/>
    </row>
    <row r="1027" spans="1:138" s="82" customFormat="1" x14ac:dyDescent="0.2">
      <c r="A1027" s="3"/>
      <c r="B1027" s="167"/>
      <c r="C1027" s="3"/>
      <c r="D1027" s="3"/>
      <c r="E1027" s="31"/>
      <c r="F1027" s="133"/>
      <c r="G1027" s="3"/>
      <c r="H1027" s="31"/>
      <c r="I1027" s="31"/>
      <c r="J1027" s="3"/>
      <c r="K1027" s="3"/>
      <c r="L1027" s="3"/>
      <c r="M1027" s="3"/>
      <c r="N1027" s="3"/>
      <c r="O1027" s="3"/>
      <c r="P1027" s="3"/>
      <c r="Q1027" s="3"/>
      <c r="R1027" s="32"/>
      <c r="S1027" s="32"/>
      <c r="T1027" s="3"/>
      <c r="U1027" s="33"/>
      <c r="V1027" s="33"/>
      <c r="W1027" s="3"/>
      <c r="X1027" s="3"/>
      <c r="Y1027" s="3"/>
      <c r="Z1027" s="3"/>
      <c r="AA1027" s="3"/>
      <c r="AB1027" s="3"/>
      <c r="AC1027" s="3"/>
      <c r="AD1027" s="32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4"/>
      <c r="AT1027" s="3"/>
      <c r="AU1027" s="3"/>
      <c r="AV1027" s="3"/>
      <c r="AW1027" s="3"/>
      <c r="AX1027" s="4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84"/>
      <c r="BZ1027" s="84"/>
      <c r="CA1027" s="84"/>
      <c r="CB1027" s="84"/>
      <c r="CC1027" s="84"/>
      <c r="CD1027" s="84"/>
      <c r="CE1027" s="84"/>
      <c r="CF1027" s="84"/>
      <c r="CG1027" s="84"/>
      <c r="CH1027" s="84"/>
      <c r="CI1027" s="84"/>
      <c r="CJ1027" s="84"/>
      <c r="CK1027" s="84"/>
      <c r="CL1027" s="84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220"/>
      <c r="CY1027" s="220"/>
      <c r="CZ1027" s="220"/>
      <c r="DA1027" s="220"/>
      <c r="DB1027" s="237"/>
      <c r="DC1027" s="238"/>
      <c r="DD1027" s="238"/>
      <c r="DE1027" s="238"/>
      <c r="DF1027" s="238"/>
      <c r="DG1027" s="238"/>
      <c r="DH1027" s="238"/>
      <c r="DI1027" s="238"/>
      <c r="DJ1027" s="238"/>
      <c r="DK1027" s="238"/>
      <c r="DL1027" s="238"/>
      <c r="DM1027" s="238"/>
      <c r="DN1027" s="238"/>
      <c r="DO1027" s="238"/>
      <c r="DP1027" s="238"/>
      <c r="DQ1027" s="238"/>
      <c r="DR1027" s="238"/>
      <c r="DS1027" s="238"/>
      <c r="DT1027" s="238"/>
      <c r="DU1027" s="238"/>
      <c r="DV1027" s="238"/>
      <c r="DW1027" s="238"/>
      <c r="DX1027" s="238"/>
      <c r="DY1027" s="238"/>
      <c r="DZ1027" s="238"/>
      <c r="EA1027" s="238"/>
      <c r="EB1027" s="238"/>
      <c r="EC1027" s="238"/>
      <c r="ED1027" s="3"/>
      <c r="EE1027" s="3"/>
      <c r="EF1027" s="3"/>
      <c r="EG1027" s="3"/>
      <c r="EH1027" s="3"/>
    </row>
    <row r="1028" spans="1:138" s="82" customFormat="1" x14ac:dyDescent="0.2">
      <c r="A1028" s="3"/>
      <c r="B1028" s="167"/>
      <c r="C1028" s="3"/>
      <c r="D1028" s="3"/>
      <c r="E1028" s="31"/>
      <c r="F1028" s="133"/>
      <c r="G1028" s="3"/>
      <c r="H1028" s="31"/>
      <c r="I1028" s="31"/>
      <c r="J1028" s="3"/>
      <c r="K1028" s="3"/>
      <c r="L1028" s="3"/>
      <c r="M1028" s="3"/>
      <c r="N1028" s="3"/>
      <c r="O1028" s="3"/>
      <c r="P1028" s="3"/>
      <c r="Q1028" s="3"/>
      <c r="R1028" s="32"/>
      <c r="S1028" s="32"/>
      <c r="T1028" s="3"/>
      <c r="U1028" s="33"/>
      <c r="V1028" s="33"/>
      <c r="W1028" s="3"/>
      <c r="X1028" s="3"/>
      <c r="Y1028" s="3"/>
      <c r="Z1028" s="3"/>
      <c r="AA1028" s="3"/>
      <c r="AB1028" s="3"/>
      <c r="AC1028" s="3"/>
      <c r="AD1028" s="32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4"/>
      <c r="AT1028" s="3"/>
      <c r="AU1028" s="3"/>
      <c r="AV1028" s="3"/>
      <c r="AW1028" s="3"/>
      <c r="AX1028" s="4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84"/>
      <c r="BZ1028" s="84"/>
      <c r="CA1028" s="84"/>
      <c r="CB1028" s="84"/>
      <c r="CC1028" s="84"/>
      <c r="CD1028" s="84"/>
      <c r="CE1028" s="84"/>
      <c r="CF1028" s="84"/>
      <c r="CG1028" s="84"/>
      <c r="CH1028" s="84"/>
      <c r="CI1028" s="84"/>
      <c r="CJ1028" s="84"/>
      <c r="CK1028" s="84"/>
      <c r="CL1028" s="84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220"/>
      <c r="CY1028" s="220"/>
      <c r="CZ1028" s="220"/>
      <c r="DA1028" s="220"/>
      <c r="DB1028" s="237"/>
      <c r="DC1028" s="238"/>
      <c r="DD1028" s="238"/>
      <c r="DE1028" s="238"/>
      <c r="DF1028" s="238"/>
      <c r="DG1028" s="238"/>
      <c r="DH1028" s="238"/>
      <c r="DI1028" s="238"/>
      <c r="DJ1028" s="238"/>
      <c r="DK1028" s="238"/>
      <c r="DL1028" s="238"/>
      <c r="DM1028" s="238"/>
      <c r="DN1028" s="238"/>
      <c r="DO1028" s="238"/>
      <c r="DP1028" s="238"/>
      <c r="DQ1028" s="238"/>
      <c r="DR1028" s="238"/>
      <c r="DS1028" s="238"/>
      <c r="DT1028" s="238"/>
      <c r="DU1028" s="238"/>
      <c r="DV1028" s="238"/>
      <c r="DW1028" s="238"/>
      <c r="DX1028" s="238"/>
      <c r="DY1028" s="238"/>
      <c r="DZ1028" s="238"/>
      <c r="EA1028" s="238"/>
      <c r="EB1028" s="238"/>
      <c r="EC1028" s="238"/>
      <c r="ED1028" s="3"/>
      <c r="EE1028" s="3"/>
      <c r="EF1028" s="3"/>
      <c r="EG1028" s="3"/>
      <c r="EH1028" s="3"/>
    </row>
    <row r="1029" spans="1:138" s="82" customFormat="1" x14ac:dyDescent="0.2">
      <c r="A1029" s="3"/>
      <c r="B1029" s="167"/>
      <c r="C1029" s="3"/>
      <c r="D1029" s="3"/>
      <c r="E1029" s="31"/>
      <c r="F1029" s="133"/>
      <c r="G1029" s="3"/>
      <c r="H1029" s="31"/>
      <c r="I1029" s="31"/>
      <c r="J1029" s="3"/>
      <c r="K1029" s="3"/>
      <c r="L1029" s="3"/>
      <c r="M1029" s="3"/>
      <c r="N1029" s="3"/>
      <c r="O1029" s="3"/>
      <c r="P1029" s="3"/>
      <c r="Q1029" s="3"/>
      <c r="R1029" s="32"/>
      <c r="S1029" s="32"/>
      <c r="T1029" s="3"/>
      <c r="U1029" s="33"/>
      <c r="V1029" s="33"/>
      <c r="W1029" s="3"/>
      <c r="X1029" s="3"/>
      <c r="Y1029" s="3"/>
      <c r="Z1029" s="3"/>
      <c r="AA1029" s="3"/>
      <c r="AB1029" s="3"/>
      <c r="AC1029" s="3"/>
      <c r="AD1029" s="32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4"/>
      <c r="AT1029" s="3"/>
      <c r="AU1029" s="3"/>
      <c r="AV1029" s="3"/>
      <c r="AW1029" s="3"/>
      <c r="AX1029" s="4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84"/>
      <c r="BZ1029" s="84"/>
      <c r="CA1029" s="84"/>
      <c r="CB1029" s="84"/>
      <c r="CC1029" s="84"/>
      <c r="CD1029" s="84"/>
      <c r="CE1029" s="84"/>
      <c r="CF1029" s="84"/>
      <c r="CG1029" s="84"/>
      <c r="CH1029" s="84"/>
      <c r="CI1029" s="84"/>
      <c r="CJ1029" s="84"/>
      <c r="CK1029" s="84"/>
      <c r="CL1029" s="84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220"/>
      <c r="CY1029" s="220"/>
      <c r="CZ1029" s="220"/>
      <c r="DA1029" s="220"/>
      <c r="DB1029" s="237"/>
      <c r="DC1029" s="238"/>
      <c r="DD1029" s="238"/>
      <c r="DE1029" s="238"/>
      <c r="DF1029" s="238"/>
      <c r="DG1029" s="238"/>
      <c r="DH1029" s="238"/>
      <c r="DI1029" s="238"/>
      <c r="DJ1029" s="238"/>
      <c r="DK1029" s="238"/>
      <c r="DL1029" s="238"/>
      <c r="DM1029" s="238"/>
      <c r="DN1029" s="238"/>
      <c r="DO1029" s="238"/>
      <c r="DP1029" s="238"/>
      <c r="DQ1029" s="238"/>
      <c r="DR1029" s="238"/>
      <c r="DS1029" s="238"/>
      <c r="DT1029" s="238"/>
      <c r="DU1029" s="238"/>
      <c r="DV1029" s="238"/>
      <c r="DW1029" s="238"/>
      <c r="DX1029" s="238"/>
      <c r="DY1029" s="238"/>
      <c r="DZ1029" s="238"/>
      <c r="EA1029" s="238"/>
      <c r="EB1029" s="238"/>
      <c r="EC1029" s="238"/>
      <c r="ED1029" s="3"/>
      <c r="EE1029" s="3"/>
      <c r="EF1029" s="3"/>
      <c r="EG1029" s="3"/>
      <c r="EH1029" s="3"/>
    </row>
    <row r="1030" spans="1:138" s="82" customFormat="1" x14ac:dyDescent="0.2">
      <c r="A1030" s="3"/>
      <c r="B1030" s="167"/>
      <c r="C1030" s="3"/>
      <c r="D1030" s="3"/>
      <c r="E1030" s="31"/>
      <c r="F1030" s="133"/>
      <c r="G1030" s="3"/>
      <c r="H1030" s="31"/>
      <c r="I1030" s="31"/>
      <c r="J1030" s="3"/>
      <c r="K1030" s="3"/>
      <c r="L1030" s="3"/>
      <c r="M1030" s="3"/>
      <c r="N1030" s="3"/>
      <c r="O1030" s="3"/>
      <c r="P1030" s="3"/>
      <c r="Q1030" s="3"/>
      <c r="R1030" s="32"/>
      <c r="S1030" s="32"/>
      <c r="T1030" s="3"/>
      <c r="U1030" s="33"/>
      <c r="V1030" s="33"/>
      <c r="W1030" s="3"/>
      <c r="X1030" s="3"/>
      <c r="Y1030" s="3"/>
      <c r="Z1030" s="3"/>
      <c r="AA1030" s="3"/>
      <c r="AB1030" s="3"/>
      <c r="AC1030" s="3"/>
      <c r="AD1030" s="32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4"/>
      <c r="AT1030" s="3"/>
      <c r="AU1030" s="3"/>
      <c r="AV1030" s="3"/>
      <c r="AW1030" s="3"/>
      <c r="AX1030" s="4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84"/>
      <c r="BZ1030" s="84"/>
      <c r="CA1030" s="84"/>
      <c r="CB1030" s="84"/>
      <c r="CC1030" s="84"/>
      <c r="CD1030" s="84"/>
      <c r="CE1030" s="84"/>
      <c r="CF1030" s="84"/>
      <c r="CG1030" s="84"/>
      <c r="CH1030" s="84"/>
      <c r="CI1030" s="84"/>
      <c r="CJ1030" s="84"/>
      <c r="CK1030" s="84"/>
      <c r="CL1030" s="84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220"/>
      <c r="CY1030" s="220"/>
      <c r="CZ1030" s="220"/>
      <c r="DA1030" s="220"/>
      <c r="DB1030" s="237"/>
      <c r="DC1030" s="238"/>
      <c r="DD1030" s="238"/>
      <c r="DE1030" s="238"/>
      <c r="DF1030" s="238"/>
      <c r="DG1030" s="238"/>
      <c r="DH1030" s="238"/>
      <c r="DI1030" s="238"/>
      <c r="DJ1030" s="238"/>
      <c r="DK1030" s="238"/>
      <c r="DL1030" s="238"/>
      <c r="DM1030" s="238"/>
      <c r="DN1030" s="238"/>
      <c r="DO1030" s="238"/>
      <c r="DP1030" s="238"/>
      <c r="DQ1030" s="238"/>
      <c r="DR1030" s="238"/>
      <c r="DS1030" s="238"/>
      <c r="DT1030" s="238"/>
      <c r="DU1030" s="238"/>
      <c r="DV1030" s="238"/>
      <c r="DW1030" s="238"/>
      <c r="DX1030" s="238"/>
      <c r="DY1030" s="238"/>
      <c r="DZ1030" s="238"/>
      <c r="EA1030" s="238"/>
      <c r="EB1030" s="238"/>
      <c r="EC1030" s="238"/>
      <c r="ED1030" s="3"/>
      <c r="EE1030" s="3"/>
      <c r="EF1030" s="3"/>
      <c r="EG1030" s="3"/>
      <c r="EH1030" s="3"/>
    </row>
    <row r="1031" spans="1:138" s="82" customFormat="1" x14ac:dyDescent="0.2">
      <c r="A1031" s="3"/>
      <c r="B1031" s="167"/>
      <c r="C1031" s="3"/>
      <c r="D1031" s="3"/>
      <c r="E1031" s="31"/>
      <c r="F1031" s="133"/>
      <c r="G1031" s="3"/>
      <c r="H1031" s="31"/>
      <c r="I1031" s="31"/>
      <c r="J1031" s="3"/>
      <c r="K1031" s="3"/>
      <c r="L1031" s="3"/>
      <c r="M1031" s="3"/>
      <c r="N1031" s="3"/>
      <c r="O1031" s="3"/>
      <c r="P1031" s="3"/>
      <c r="Q1031" s="3"/>
      <c r="R1031" s="32"/>
      <c r="S1031" s="32"/>
      <c r="T1031" s="3"/>
      <c r="U1031" s="33"/>
      <c r="V1031" s="33"/>
      <c r="W1031" s="3"/>
      <c r="X1031" s="3"/>
      <c r="Y1031" s="3"/>
      <c r="Z1031" s="3"/>
      <c r="AA1031" s="3"/>
      <c r="AB1031" s="3"/>
      <c r="AC1031" s="3"/>
      <c r="AD1031" s="32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4"/>
      <c r="AT1031" s="3"/>
      <c r="AU1031" s="3"/>
      <c r="AV1031" s="3"/>
      <c r="AW1031" s="3"/>
      <c r="AX1031" s="4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84"/>
      <c r="BZ1031" s="84"/>
      <c r="CA1031" s="84"/>
      <c r="CB1031" s="84"/>
      <c r="CC1031" s="84"/>
      <c r="CD1031" s="84"/>
      <c r="CE1031" s="84"/>
      <c r="CF1031" s="84"/>
      <c r="CG1031" s="84"/>
      <c r="CH1031" s="84"/>
      <c r="CI1031" s="84"/>
      <c r="CJ1031" s="84"/>
      <c r="CK1031" s="84"/>
      <c r="CL1031" s="84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220"/>
      <c r="CY1031" s="220"/>
      <c r="CZ1031" s="220"/>
      <c r="DA1031" s="220"/>
      <c r="DB1031" s="237"/>
      <c r="DC1031" s="238"/>
      <c r="DD1031" s="238"/>
      <c r="DE1031" s="238"/>
      <c r="DF1031" s="238"/>
      <c r="DG1031" s="238"/>
      <c r="DH1031" s="238"/>
      <c r="DI1031" s="238"/>
      <c r="DJ1031" s="238"/>
      <c r="DK1031" s="238"/>
      <c r="DL1031" s="238"/>
      <c r="DM1031" s="238"/>
      <c r="DN1031" s="238"/>
      <c r="DO1031" s="238"/>
      <c r="DP1031" s="238"/>
      <c r="DQ1031" s="238"/>
      <c r="DR1031" s="238"/>
      <c r="DS1031" s="238"/>
      <c r="DT1031" s="238"/>
      <c r="DU1031" s="238"/>
      <c r="DV1031" s="238"/>
      <c r="DW1031" s="238"/>
      <c r="DX1031" s="238"/>
      <c r="DY1031" s="238"/>
      <c r="DZ1031" s="238"/>
      <c r="EA1031" s="238"/>
      <c r="EB1031" s="238"/>
      <c r="EC1031" s="238"/>
      <c r="ED1031" s="3"/>
      <c r="EE1031" s="3"/>
      <c r="EF1031" s="3"/>
      <c r="EG1031" s="3"/>
      <c r="EH1031" s="3"/>
    </row>
    <row r="1032" spans="1:138" s="82" customFormat="1" x14ac:dyDescent="0.2">
      <c r="A1032" s="3"/>
      <c r="B1032" s="167"/>
      <c r="C1032" s="3"/>
      <c r="D1032" s="3"/>
      <c r="E1032" s="31"/>
      <c r="F1032" s="133"/>
      <c r="G1032" s="3"/>
      <c r="H1032" s="31"/>
      <c r="I1032" s="31"/>
      <c r="J1032" s="3"/>
      <c r="K1032" s="3"/>
      <c r="L1032" s="3"/>
      <c r="M1032" s="3"/>
      <c r="N1032" s="3"/>
      <c r="O1032" s="3"/>
      <c r="P1032" s="3"/>
      <c r="Q1032" s="3"/>
      <c r="R1032" s="32"/>
      <c r="S1032" s="32"/>
      <c r="T1032" s="3"/>
      <c r="U1032" s="33"/>
      <c r="V1032" s="33"/>
      <c r="W1032" s="3"/>
      <c r="X1032" s="3"/>
      <c r="Y1032" s="3"/>
      <c r="Z1032" s="3"/>
      <c r="AA1032" s="3"/>
      <c r="AB1032" s="3"/>
      <c r="AC1032" s="3"/>
      <c r="AD1032" s="32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4"/>
      <c r="AT1032" s="3"/>
      <c r="AU1032" s="3"/>
      <c r="AV1032" s="3"/>
      <c r="AW1032" s="3"/>
      <c r="AX1032" s="4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84"/>
      <c r="BZ1032" s="84"/>
      <c r="CA1032" s="84"/>
      <c r="CB1032" s="84"/>
      <c r="CC1032" s="84"/>
      <c r="CD1032" s="84"/>
      <c r="CE1032" s="84"/>
      <c r="CF1032" s="84"/>
      <c r="CG1032" s="84"/>
      <c r="CH1032" s="84"/>
      <c r="CI1032" s="84"/>
      <c r="CJ1032" s="84"/>
      <c r="CK1032" s="84"/>
      <c r="CL1032" s="84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220"/>
      <c r="CY1032" s="220"/>
      <c r="CZ1032" s="220"/>
      <c r="DA1032" s="220"/>
      <c r="DB1032" s="237"/>
      <c r="DC1032" s="238"/>
      <c r="DD1032" s="238"/>
      <c r="DE1032" s="238"/>
      <c r="DF1032" s="238"/>
      <c r="DG1032" s="238"/>
      <c r="DH1032" s="238"/>
      <c r="DI1032" s="238"/>
      <c r="DJ1032" s="238"/>
      <c r="DK1032" s="238"/>
      <c r="DL1032" s="238"/>
      <c r="DM1032" s="238"/>
      <c r="DN1032" s="238"/>
      <c r="DO1032" s="238"/>
      <c r="DP1032" s="238"/>
      <c r="DQ1032" s="238"/>
      <c r="DR1032" s="238"/>
      <c r="DS1032" s="238"/>
      <c r="DT1032" s="238"/>
      <c r="DU1032" s="238"/>
      <c r="DV1032" s="238"/>
      <c r="DW1032" s="238"/>
      <c r="DX1032" s="238"/>
      <c r="DY1032" s="238"/>
      <c r="DZ1032" s="238"/>
      <c r="EA1032" s="238"/>
      <c r="EB1032" s="238"/>
      <c r="EC1032" s="238"/>
      <c r="ED1032" s="3"/>
      <c r="EE1032" s="3"/>
      <c r="EF1032" s="3"/>
      <c r="EG1032" s="3"/>
      <c r="EH1032" s="3"/>
    </row>
    <row r="1033" spans="1:138" s="82" customFormat="1" x14ac:dyDescent="0.2">
      <c r="A1033" s="3"/>
      <c r="B1033" s="167"/>
      <c r="C1033" s="3"/>
      <c r="D1033" s="3"/>
      <c r="E1033" s="31"/>
      <c r="F1033" s="133"/>
      <c r="G1033" s="3"/>
      <c r="H1033" s="31"/>
      <c r="I1033" s="31"/>
      <c r="J1033" s="3"/>
      <c r="K1033" s="3"/>
      <c r="L1033" s="3"/>
      <c r="M1033" s="3"/>
      <c r="N1033" s="3"/>
      <c r="O1033" s="3"/>
      <c r="P1033" s="3"/>
      <c r="Q1033" s="3"/>
      <c r="R1033" s="32"/>
      <c r="S1033" s="32"/>
      <c r="T1033" s="3"/>
      <c r="U1033" s="33"/>
      <c r="V1033" s="33"/>
      <c r="W1033" s="3"/>
      <c r="X1033" s="3"/>
      <c r="Y1033" s="3"/>
      <c r="Z1033" s="3"/>
      <c r="AA1033" s="3"/>
      <c r="AB1033" s="3"/>
      <c r="AC1033" s="3"/>
      <c r="AD1033" s="32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4"/>
      <c r="AT1033" s="3"/>
      <c r="AU1033" s="3"/>
      <c r="AV1033" s="3"/>
      <c r="AW1033" s="3"/>
      <c r="AX1033" s="4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84"/>
      <c r="BZ1033" s="84"/>
      <c r="CA1033" s="84"/>
      <c r="CB1033" s="84"/>
      <c r="CC1033" s="84"/>
      <c r="CD1033" s="84"/>
      <c r="CE1033" s="84"/>
      <c r="CF1033" s="84"/>
      <c r="CG1033" s="84"/>
      <c r="CH1033" s="84"/>
      <c r="CI1033" s="84"/>
      <c r="CJ1033" s="84"/>
      <c r="CK1033" s="84"/>
      <c r="CL1033" s="84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220"/>
      <c r="CY1033" s="220"/>
      <c r="CZ1033" s="220"/>
      <c r="DA1033" s="220"/>
      <c r="DB1033" s="237"/>
      <c r="DC1033" s="238"/>
      <c r="DD1033" s="238"/>
      <c r="DE1033" s="238"/>
      <c r="DF1033" s="238"/>
      <c r="DG1033" s="238"/>
      <c r="DH1033" s="238"/>
      <c r="DI1033" s="238"/>
      <c r="DJ1033" s="238"/>
      <c r="DK1033" s="238"/>
      <c r="DL1033" s="238"/>
      <c r="DM1033" s="238"/>
      <c r="DN1033" s="238"/>
      <c r="DO1033" s="238"/>
      <c r="DP1033" s="238"/>
      <c r="DQ1033" s="238"/>
      <c r="DR1033" s="238"/>
      <c r="DS1033" s="238"/>
      <c r="DT1033" s="238"/>
      <c r="DU1033" s="238"/>
      <c r="DV1033" s="238"/>
      <c r="DW1033" s="238"/>
      <c r="DX1033" s="238"/>
      <c r="DY1033" s="238"/>
      <c r="DZ1033" s="238"/>
      <c r="EA1033" s="238"/>
      <c r="EB1033" s="238"/>
      <c r="EC1033" s="238"/>
      <c r="ED1033" s="3"/>
      <c r="EE1033" s="3"/>
      <c r="EF1033" s="3"/>
      <c r="EG1033" s="3"/>
      <c r="EH1033" s="3"/>
    </row>
    <row r="1034" spans="1:138" s="82" customFormat="1" x14ac:dyDescent="0.2">
      <c r="A1034" s="3"/>
      <c r="B1034" s="167"/>
      <c r="C1034" s="3"/>
      <c r="D1034" s="3"/>
      <c r="E1034" s="31"/>
      <c r="F1034" s="133"/>
      <c r="G1034" s="3"/>
      <c r="H1034" s="31"/>
      <c r="I1034" s="31"/>
      <c r="J1034" s="3"/>
      <c r="K1034" s="3"/>
      <c r="L1034" s="3"/>
      <c r="M1034" s="3"/>
      <c r="N1034" s="3"/>
      <c r="O1034" s="3"/>
      <c r="P1034" s="3"/>
      <c r="Q1034" s="3"/>
      <c r="R1034" s="32"/>
      <c r="S1034" s="32"/>
      <c r="T1034" s="3"/>
      <c r="U1034" s="33"/>
      <c r="V1034" s="33"/>
      <c r="W1034" s="3"/>
      <c r="X1034" s="3"/>
      <c r="Y1034" s="3"/>
      <c r="Z1034" s="3"/>
      <c r="AA1034" s="3"/>
      <c r="AB1034" s="3"/>
      <c r="AC1034" s="3"/>
      <c r="AD1034" s="32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4"/>
      <c r="AT1034" s="3"/>
      <c r="AU1034" s="3"/>
      <c r="AV1034" s="3"/>
      <c r="AW1034" s="3"/>
      <c r="AX1034" s="4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84"/>
      <c r="BZ1034" s="84"/>
      <c r="CA1034" s="84"/>
      <c r="CB1034" s="84"/>
      <c r="CC1034" s="84"/>
      <c r="CD1034" s="84"/>
      <c r="CE1034" s="84"/>
      <c r="CF1034" s="84"/>
      <c r="CG1034" s="84"/>
      <c r="CH1034" s="84"/>
      <c r="CI1034" s="84"/>
      <c r="CJ1034" s="84"/>
      <c r="CK1034" s="84"/>
      <c r="CL1034" s="84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220"/>
      <c r="CY1034" s="220"/>
      <c r="CZ1034" s="220"/>
      <c r="DA1034" s="220"/>
      <c r="DB1034" s="237"/>
      <c r="DC1034" s="238"/>
      <c r="DD1034" s="238"/>
      <c r="DE1034" s="238"/>
      <c r="DF1034" s="238"/>
      <c r="DG1034" s="238"/>
      <c r="DH1034" s="238"/>
      <c r="DI1034" s="238"/>
      <c r="DJ1034" s="238"/>
      <c r="DK1034" s="238"/>
      <c r="DL1034" s="238"/>
      <c r="DM1034" s="238"/>
      <c r="DN1034" s="238"/>
      <c r="DO1034" s="238"/>
      <c r="DP1034" s="238"/>
      <c r="DQ1034" s="238"/>
      <c r="DR1034" s="238"/>
      <c r="DS1034" s="238"/>
      <c r="DT1034" s="238"/>
      <c r="DU1034" s="238"/>
      <c r="DV1034" s="238"/>
      <c r="DW1034" s="238"/>
      <c r="DX1034" s="238"/>
      <c r="DY1034" s="238"/>
      <c r="DZ1034" s="238"/>
      <c r="EA1034" s="238"/>
      <c r="EB1034" s="238"/>
      <c r="EC1034" s="238"/>
      <c r="ED1034" s="3"/>
      <c r="EE1034" s="3"/>
      <c r="EF1034" s="3"/>
      <c r="EG1034" s="3"/>
      <c r="EH1034" s="3"/>
    </row>
    <row r="1035" spans="1:138" s="82" customFormat="1" x14ac:dyDescent="0.2">
      <c r="A1035" s="3"/>
      <c r="B1035" s="167"/>
      <c r="C1035" s="3"/>
      <c r="D1035" s="3"/>
      <c r="E1035" s="31"/>
      <c r="F1035" s="133"/>
      <c r="G1035" s="3"/>
      <c r="H1035" s="31"/>
      <c r="I1035" s="31"/>
      <c r="J1035" s="3"/>
      <c r="K1035" s="3"/>
      <c r="L1035" s="3"/>
      <c r="M1035" s="3"/>
      <c r="N1035" s="3"/>
      <c r="O1035" s="3"/>
      <c r="P1035" s="3"/>
      <c r="Q1035" s="3"/>
      <c r="R1035" s="32"/>
      <c r="S1035" s="32"/>
      <c r="T1035" s="3"/>
      <c r="U1035" s="33"/>
      <c r="V1035" s="33"/>
      <c r="W1035" s="3"/>
      <c r="X1035" s="3"/>
      <c r="Y1035" s="3"/>
      <c r="Z1035" s="3"/>
      <c r="AA1035" s="3"/>
      <c r="AB1035" s="3"/>
      <c r="AC1035" s="3"/>
      <c r="AD1035" s="32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4"/>
      <c r="AT1035" s="3"/>
      <c r="AU1035" s="3"/>
      <c r="AV1035" s="3"/>
      <c r="AW1035" s="3"/>
      <c r="AX1035" s="4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84"/>
      <c r="BZ1035" s="84"/>
      <c r="CA1035" s="84"/>
      <c r="CB1035" s="84"/>
      <c r="CC1035" s="84"/>
      <c r="CD1035" s="84"/>
      <c r="CE1035" s="84"/>
      <c r="CF1035" s="84"/>
      <c r="CG1035" s="84"/>
      <c r="CH1035" s="84"/>
      <c r="CI1035" s="84"/>
      <c r="CJ1035" s="84"/>
      <c r="CK1035" s="84"/>
      <c r="CL1035" s="84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220"/>
      <c r="CY1035" s="220"/>
      <c r="CZ1035" s="220"/>
      <c r="DA1035" s="220"/>
      <c r="DB1035" s="237"/>
      <c r="DC1035" s="238"/>
      <c r="DD1035" s="238"/>
      <c r="DE1035" s="238"/>
      <c r="DF1035" s="238"/>
      <c r="DG1035" s="238"/>
      <c r="DH1035" s="238"/>
      <c r="DI1035" s="238"/>
      <c r="DJ1035" s="238"/>
      <c r="DK1035" s="238"/>
      <c r="DL1035" s="238"/>
      <c r="DM1035" s="238"/>
      <c r="DN1035" s="238"/>
      <c r="DO1035" s="238"/>
      <c r="DP1035" s="238"/>
      <c r="DQ1035" s="238"/>
      <c r="DR1035" s="238"/>
      <c r="DS1035" s="238"/>
      <c r="DT1035" s="238"/>
      <c r="DU1035" s="238"/>
      <c r="DV1035" s="238"/>
      <c r="DW1035" s="238"/>
      <c r="DX1035" s="238"/>
      <c r="DY1035" s="238"/>
      <c r="DZ1035" s="238"/>
      <c r="EA1035" s="238"/>
      <c r="EB1035" s="238"/>
      <c r="EC1035" s="238"/>
      <c r="ED1035" s="3"/>
      <c r="EE1035" s="3"/>
      <c r="EF1035" s="3"/>
      <c r="EG1035" s="3"/>
      <c r="EH1035" s="3"/>
    </row>
    <row r="1036" spans="1:138" s="82" customFormat="1" x14ac:dyDescent="0.2">
      <c r="A1036" s="3"/>
      <c r="B1036" s="167"/>
      <c r="C1036" s="3"/>
      <c r="D1036" s="3"/>
      <c r="E1036" s="31"/>
      <c r="F1036" s="133"/>
      <c r="G1036" s="3"/>
      <c r="H1036" s="31"/>
      <c r="I1036" s="31"/>
      <c r="J1036" s="3"/>
      <c r="K1036" s="3"/>
      <c r="L1036" s="3"/>
      <c r="M1036" s="3"/>
      <c r="N1036" s="3"/>
      <c r="O1036" s="3"/>
      <c r="P1036" s="3"/>
      <c r="Q1036" s="3"/>
      <c r="R1036" s="32"/>
      <c r="S1036" s="32"/>
      <c r="T1036" s="3"/>
      <c r="U1036" s="33"/>
      <c r="V1036" s="33"/>
      <c r="W1036" s="3"/>
      <c r="X1036" s="3"/>
      <c r="Y1036" s="3"/>
      <c r="Z1036" s="3"/>
      <c r="AA1036" s="3"/>
      <c r="AB1036" s="3"/>
      <c r="AC1036" s="3"/>
      <c r="AD1036" s="32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4"/>
      <c r="AT1036" s="3"/>
      <c r="AU1036" s="3"/>
      <c r="AV1036" s="3"/>
      <c r="AW1036" s="3"/>
      <c r="AX1036" s="4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84"/>
      <c r="BZ1036" s="84"/>
      <c r="CA1036" s="84"/>
      <c r="CB1036" s="84"/>
      <c r="CC1036" s="84"/>
      <c r="CD1036" s="84"/>
      <c r="CE1036" s="84"/>
      <c r="CF1036" s="84"/>
      <c r="CG1036" s="84"/>
      <c r="CH1036" s="84"/>
      <c r="CI1036" s="84"/>
      <c r="CJ1036" s="84"/>
      <c r="CK1036" s="84"/>
      <c r="CL1036" s="84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220"/>
      <c r="CY1036" s="220"/>
      <c r="CZ1036" s="220"/>
      <c r="DA1036" s="220"/>
      <c r="DB1036" s="237"/>
      <c r="DC1036" s="238"/>
      <c r="DD1036" s="238"/>
      <c r="DE1036" s="238"/>
      <c r="DF1036" s="238"/>
      <c r="DG1036" s="238"/>
      <c r="DH1036" s="238"/>
      <c r="DI1036" s="238"/>
      <c r="DJ1036" s="238"/>
      <c r="DK1036" s="238"/>
      <c r="DL1036" s="238"/>
      <c r="DM1036" s="238"/>
      <c r="DN1036" s="238"/>
      <c r="DO1036" s="238"/>
      <c r="DP1036" s="238"/>
      <c r="DQ1036" s="238"/>
      <c r="DR1036" s="238"/>
      <c r="DS1036" s="238"/>
      <c r="DT1036" s="238"/>
      <c r="DU1036" s="238"/>
      <c r="DV1036" s="238"/>
      <c r="DW1036" s="238"/>
      <c r="DX1036" s="238"/>
      <c r="DY1036" s="238"/>
      <c r="DZ1036" s="238"/>
      <c r="EA1036" s="238"/>
      <c r="EB1036" s="238"/>
      <c r="EC1036" s="238"/>
      <c r="ED1036" s="3"/>
      <c r="EE1036" s="3"/>
      <c r="EF1036" s="3"/>
      <c r="EG1036" s="3"/>
      <c r="EH1036" s="3"/>
    </row>
    <row r="1037" spans="1:138" s="82" customFormat="1" x14ac:dyDescent="0.2">
      <c r="A1037" s="3"/>
      <c r="B1037" s="167"/>
      <c r="C1037" s="3"/>
      <c r="D1037" s="3"/>
      <c r="E1037" s="31"/>
      <c r="F1037" s="133"/>
      <c r="G1037" s="3"/>
      <c r="H1037" s="31"/>
      <c r="I1037" s="31"/>
      <c r="J1037" s="3"/>
      <c r="K1037" s="3"/>
      <c r="L1037" s="3"/>
      <c r="M1037" s="3"/>
      <c r="N1037" s="3"/>
      <c r="O1037" s="3"/>
      <c r="P1037" s="3"/>
      <c r="Q1037" s="3"/>
      <c r="R1037" s="32"/>
      <c r="S1037" s="32"/>
      <c r="T1037" s="3"/>
      <c r="U1037" s="33"/>
      <c r="V1037" s="33"/>
      <c r="W1037" s="3"/>
      <c r="X1037" s="3"/>
      <c r="Y1037" s="3"/>
      <c r="Z1037" s="3"/>
      <c r="AA1037" s="3"/>
      <c r="AB1037" s="3"/>
      <c r="AC1037" s="3"/>
      <c r="AD1037" s="32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4"/>
      <c r="AT1037" s="3"/>
      <c r="AU1037" s="3"/>
      <c r="AV1037" s="3"/>
      <c r="AW1037" s="3"/>
      <c r="AX1037" s="4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84"/>
      <c r="BZ1037" s="84"/>
      <c r="CA1037" s="84"/>
      <c r="CB1037" s="84"/>
      <c r="CC1037" s="84"/>
      <c r="CD1037" s="84"/>
      <c r="CE1037" s="84"/>
      <c r="CF1037" s="84"/>
      <c r="CG1037" s="84"/>
      <c r="CH1037" s="84"/>
      <c r="CI1037" s="84"/>
      <c r="CJ1037" s="84"/>
      <c r="CK1037" s="84"/>
      <c r="CL1037" s="84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220"/>
      <c r="CY1037" s="220"/>
      <c r="CZ1037" s="220"/>
      <c r="DA1037" s="220"/>
      <c r="DB1037" s="237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38"/>
      <c r="DW1037" s="238"/>
      <c r="DX1037" s="238"/>
      <c r="DY1037" s="238"/>
      <c r="DZ1037" s="238"/>
      <c r="EA1037" s="238"/>
      <c r="EB1037" s="238"/>
      <c r="EC1037" s="238"/>
      <c r="ED1037" s="3"/>
      <c r="EE1037" s="3"/>
      <c r="EF1037" s="3"/>
      <c r="EG1037" s="3"/>
      <c r="EH1037" s="3"/>
    </row>
    <row r="1038" spans="1:138" s="82" customFormat="1" x14ac:dyDescent="0.2">
      <c r="A1038" s="3"/>
      <c r="B1038" s="167"/>
      <c r="C1038" s="3"/>
      <c r="D1038" s="3"/>
      <c r="E1038" s="31"/>
      <c r="F1038" s="133"/>
      <c r="G1038" s="3"/>
      <c r="H1038" s="31"/>
      <c r="I1038" s="31"/>
      <c r="J1038" s="3"/>
      <c r="K1038" s="3"/>
      <c r="L1038" s="3"/>
      <c r="M1038" s="3"/>
      <c r="N1038" s="3"/>
      <c r="O1038" s="3"/>
      <c r="P1038" s="3"/>
      <c r="Q1038" s="3"/>
      <c r="R1038" s="32"/>
      <c r="S1038" s="32"/>
      <c r="T1038" s="3"/>
      <c r="U1038" s="33"/>
      <c r="V1038" s="33"/>
      <c r="W1038" s="3"/>
      <c r="X1038" s="3"/>
      <c r="Y1038" s="3"/>
      <c r="Z1038" s="3"/>
      <c r="AA1038" s="3"/>
      <c r="AB1038" s="3"/>
      <c r="AC1038" s="3"/>
      <c r="AD1038" s="32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4"/>
      <c r="AT1038" s="3"/>
      <c r="AU1038" s="3"/>
      <c r="AV1038" s="3"/>
      <c r="AW1038" s="3"/>
      <c r="AX1038" s="4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84"/>
      <c r="BZ1038" s="84"/>
      <c r="CA1038" s="84"/>
      <c r="CB1038" s="84"/>
      <c r="CC1038" s="84"/>
      <c r="CD1038" s="84"/>
      <c r="CE1038" s="84"/>
      <c r="CF1038" s="84"/>
      <c r="CG1038" s="84"/>
      <c r="CH1038" s="84"/>
      <c r="CI1038" s="84"/>
      <c r="CJ1038" s="84"/>
      <c r="CK1038" s="84"/>
      <c r="CL1038" s="84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220"/>
      <c r="CY1038" s="220"/>
      <c r="CZ1038" s="220"/>
      <c r="DA1038" s="220"/>
      <c r="DB1038" s="237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38"/>
      <c r="DW1038" s="238"/>
      <c r="DX1038" s="238"/>
      <c r="DY1038" s="238"/>
      <c r="DZ1038" s="238"/>
      <c r="EA1038" s="238"/>
      <c r="EB1038" s="238"/>
      <c r="EC1038" s="238"/>
      <c r="ED1038" s="3"/>
      <c r="EE1038" s="3"/>
      <c r="EF1038" s="3"/>
      <c r="EG1038" s="3"/>
      <c r="EH1038" s="3"/>
    </row>
    <row r="1039" spans="1:138" s="82" customFormat="1" x14ac:dyDescent="0.2">
      <c r="A1039" s="3"/>
      <c r="B1039" s="167"/>
      <c r="C1039" s="3"/>
      <c r="D1039" s="3"/>
      <c r="E1039" s="31"/>
      <c r="F1039" s="133"/>
      <c r="G1039" s="3"/>
      <c r="H1039" s="31"/>
      <c r="I1039" s="31"/>
      <c r="J1039" s="3"/>
      <c r="K1039" s="3"/>
      <c r="L1039" s="3"/>
      <c r="M1039" s="3"/>
      <c r="N1039" s="3"/>
      <c r="O1039" s="3"/>
      <c r="P1039" s="3"/>
      <c r="Q1039" s="3"/>
      <c r="R1039" s="32"/>
      <c r="S1039" s="32"/>
      <c r="T1039" s="3"/>
      <c r="U1039" s="33"/>
      <c r="V1039" s="33"/>
      <c r="W1039" s="3"/>
      <c r="X1039" s="3"/>
      <c r="Y1039" s="3"/>
      <c r="Z1039" s="3"/>
      <c r="AA1039" s="3"/>
      <c r="AB1039" s="3"/>
      <c r="AC1039" s="3"/>
      <c r="AD1039" s="32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4"/>
      <c r="AT1039" s="3"/>
      <c r="AU1039" s="3"/>
      <c r="AV1039" s="3"/>
      <c r="AW1039" s="3"/>
      <c r="AX1039" s="4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84"/>
      <c r="BZ1039" s="84"/>
      <c r="CA1039" s="84"/>
      <c r="CB1039" s="84"/>
      <c r="CC1039" s="84"/>
      <c r="CD1039" s="84"/>
      <c r="CE1039" s="84"/>
      <c r="CF1039" s="84"/>
      <c r="CG1039" s="84"/>
      <c r="CH1039" s="84"/>
      <c r="CI1039" s="84"/>
      <c r="CJ1039" s="84"/>
      <c r="CK1039" s="84"/>
      <c r="CL1039" s="84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220"/>
      <c r="CY1039" s="220"/>
      <c r="CZ1039" s="220"/>
      <c r="DA1039" s="220"/>
      <c r="DB1039" s="237"/>
      <c r="DC1039" s="238"/>
      <c r="DD1039" s="238"/>
      <c r="DE1039" s="238"/>
      <c r="DF1039" s="238"/>
      <c r="DG1039" s="238"/>
      <c r="DH1039" s="238"/>
      <c r="DI1039" s="238"/>
      <c r="DJ1039" s="238"/>
      <c r="DK1039" s="238"/>
      <c r="DL1039" s="238"/>
      <c r="DM1039" s="238"/>
      <c r="DN1039" s="238"/>
      <c r="DO1039" s="238"/>
      <c r="DP1039" s="238"/>
      <c r="DQ1039" s="238"/>
      <c r="DR1039" s="238"/>
      <c r="DS1039" s="238"/>
      <c r="DT1039" s="238"/>
      <c r="DU1039" s="238"/>
      <c r="DV1039" s="238"/>
      <c r="DW1039" s="238"/>
      <c r="DX1039" s="238"/>
      <c r="DY1039" s="238"/>
      <c r="DZ1039" s="238"/>
      <c r="EA1039" s="238"/>
      <c r="EB1039" s="238"/>
      <c r="EC1039" s="238"/>
      <c r="ED1039" s="3"/>
      <c r="EE1039" s="3"/>
      <c r="EF1039" s="3"/>
      <c r="EG1039" s="3"/>
      <c r="EH1039" s="3"/>
    </row>
    <row r="1040" spans="1:138" s="82" customFormat="1" x14ac:dyDescent="0.2">
      <c r="A1040" s="3"/>
      <c r="B1040" s="167"/>
      <c r="C1040" s="3"/>
      <c r="D1040" s="3"/>
      <c r="E1040" s="31"/>
      <c r="F1040" s="133"/>
      <c r="G1040" s="3"/>
      <c r="H1040" s="31"/>
      <c r="I1040" s="31"/>
      <c r="J1040" s="3"/>
      <c r="K1040" s="3"/>
      <c r="L1040" s="3"/>
      <c r="M1040" s="3"/>
      <c r="N1040" s="3"/>
      <c r="O1040" s="3"/>
      <c r="P1040" s="3"/>
      <c r="Q1040" s="3"/>
      <c r="R1040" s="32"/>
      <c r="S1040" s="32"/>
      <c r="T1040" s="3"/>
      <c r="U1040" s="33"/>
      <c r="V1040" s="33"/>
      <c r="W1040" s="3"/>
      <c r="X1040" s="3"/>
      <c r="Y1040" s="3"/>
      <c r="Z1040" s="3"/>
      <c r="AA1040" s="3"/>
      <c r="AB1040" s="3"/>
      <c r="AC1040" s="3"/>
      <c r="AD1040" s="32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4"/>
      <c r="AT1040" s="3"/>
      <c r="AU1040" s="3"/>
      <c r="AV1040" s="3"/>
      <c r="AW1040" s="3"/>
      <c r="AX1040" s="4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84"/>
      <c r="BZ1040" s="84"/>
      <c r="CA1040" s="84"/>
      <c r="CB1040" s="84"/>
      <c r="CC1040" s="84"/>
      <c r="CD1040" s="84"/>
      <c r="CE1040" s="84"/>
      <c r="CF1040" s="84"/>
      <c r="CG1040" s="84"/>
      <c r="CH1040" s="84"/>
      <c r="CI1040" s="84"/>
      <c r="CJ1040" s="84"/>
      <c r="CK1040" s="84"/>
      <c r="CL1040" s="84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220"/>
      <c r="CY1040" s="220"/>
      <c r="CZ1040" s="220"/>
      <c r="DA1040" s="220"/>
      <c r="DB1040" s="237"/>
      <c r="DC1040" s="238"/>
      <c r="DD1040" s="238"/>
      <c r="DE1040" s="238"/>
      <c r="DF1040" s="238"/>
      <c r="DG1040" s="238"/>
      <c r="DH1040" s="238"/>
      <c r="DI1040" s="238"/>
      <c r="DJ1040" s="238"/>
      <c r="DK1040" s="238"/>
      <c r="DL1040" s="238"/>
      <c r="DM1040" s="238"/>
      <c r="DN1040" s="238"/>
      <c r="DO1040" s="238"/>
      <c r="DP1040" s="238"/>
      <c r="DQ1040" s="238"/>
      <c r="DR1040" s="238"/>
      <c r="DS1040" s="238"/>
      <c r="DT1040" s="238"/>
      <c r="DU1040" s="238"/>
      <c r="DV1040" s="238"/>
      <c r="DW1040" s="238"/>
      <c r="DX1040" s="238"/>
      <c r="DY1040" s="238"/>
      <c r="DZ1040" s="238"/>
      <c r="EA1040" s="238"/>
      <c r="EB1040" s="238"/>
      <c r="EC1040" s="238"/>
      <c r="ED1040" s="3"/>
      <c r="EE1040" s="3"/>
      <c r="EF1040" s="3"/>
      <c r="EG1040" s="3"/>
      <c r="EH1040" s="3"/>
    </row>
    <row r="1041" spans="1:138" s="82" customFormat="1" x14ac:dyDescent="0.2">
      <c r="A1041" s="3"/>
      <c r="B1041" s="167"/>
      <c r="C1041" s="3"/>
      <c r="D1041" s="3"/>
      <c r="E1041" s="31"/>
      <c r="F1041" s="133"/>
      <c r="G1041" s="3"/>
      <c r="H1041" s="31"/>
      <c r="I1041" s="31"/>
      <c r="J1041" s="3"/>
      <c r="K1041" s="3"/>
      <c r="L1041" s="3"/>
      <c r="M1041" s="3"/>
      <c r="N1041" s="3"/>
      <c r="O1041" s="3"/>
      <c r="P1041" s="3"/>
      <c r="Q1041" s="3"/>
      <c r="R1041" s="32"/>
      <c r="S1041" s="32"/>
      <c r="T1041" s="3"/>
      <c r="U1041" s="33"/>
      <c r="V1041" s="33"/>
      <c r="W1041" s="3"/>
      <c r="X1041" s="3"/>
      <c r="Y1041" s="3"/>
      <c r="Z1041" s="3"/>
      <c r="AA1041" s="3"/>
      <c r="AB1041" s="3"/>
      <c r="AC1041" s="3"/>
      <c r="AD1041" s="32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4"/>
      <c r="AT1041" s="3"/>
      <c r="AU1041" s="3"/>
      <c r="AV1041" s="3"/>
      <c r="AW1041" s="3"/>
      <c r="AX1041" s="4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84"/>
      <c r="BZ1041" s="84"/>
      <c r="CA1041" s="84"/>
      <c r="CB1041" s="84"/>
      <c r="CC1041" s="84"/>
      <c r="CD1041" s="84"/>
      <c r="CE1041" s="84"/>
      <c r="CF1041" s="84"/>
      <c r="CG1041" s="84"/>
      <c r="CH1041" s="84"/>
      <c r="CI1041" s="84"/>
      <c r="CJ1041" s="84"/>
      <c r="CK1041" s="84"/>
      <c r="CL1041" s="84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220"/>
      <c r="CY1041" s="220"/>
      <c r="CZ1041" s="220"/>
      <c r="DA1041" s="220"/>
      <c r="DB1041" s="237"/>
      <c r="DC1041" s="238"/>
      <c r="DD1041" s="238"/>
      <c r="DE1041" s="238"/>
      <c r="DF1041" s="238"/>
      <c r="DG1041" s="238"/>
      <c r="DH1041" s="238"/>
      <c r="DI1041" s="238"/>
      <c r="DJ1041" s="238"/>
      <c r="DK1041" s="238"/>
      <c r="DL1041" s="238"/>
      <c r="DM1041" s="238"/>
      <c r="DN1041" s="238"/>
      <c r="DO1041" s="238"/>
      <c r="DP1041" s="238"/>
      <c r="DQ1041" s="238"/>
      <c r="DR1041" s="238"/>
      <c r="DS1041" s="238"/>
      <c r="DT1041" s="238"/>
      <c r="DU1041" s="238"/>
      <c r="DV1041" s="238"/>
      <c r="DW1041" s="238"/>
      <c r="DX1041" s="238"/>
      <c r="DY1041" s="238"/>
      <c r="DZ1041" s="238"/>
      <c r="EA1041" s="238"/>
      <c r="EB1041" s="238"/>
      <c r="EC1041" s="238"/>
      <c r="ED1041" s="3"/>
      <c r="EE1041" s="3"/>
      <c r="EF1041" s="3"/>
      <c r="EG1041" s="3"/>
      <c r="EH1041" s="3"/>
    </row>
    <row r="1042" spans="1:138" s="82" customFormat="1" x14ac:dyDescent="0.2">
      <c r="A1042" s="3"/>
      <c r="B1042" s="167"/>
      <c r="C1042" s="3"/>
      <c r="D1042" s="3"/>
      <c r="E1042" s="31"/>
      <c r="F1042" s="133"/>
      <c r="G1042" s="3"/>
      <c r="H1042" s="31"/>
      <c r="I1042" s="31"/>
      <c r="J1042" s="3"/>
      <c r="K1042" s="3"/>
      <c r="L1042" s="3"/>
      <c r="M1042" s="3"/>
      <c r="N1042" s="3"/>
      <c r="O1042" s="3"/>
      <c r="P1042" s="3"/>
      <c r="Q1042" s="3"/>
      <c r="R1042" s="32"/>
      <c r="S1042" s="32"/>
      <c r="T1042" s="3"/>
      <c r="U1042" s="33"/>
      <c r="V1042" s="33"/>
      <c r="W1042" s="3"/>
      <c r="X1042" s="3"/>
      <c r="Y1042" s="3"/>
      <c r="Z1042" s="3"/>
      <c r="AA1042" s="3"/>
      <c r="AB1042" s="3"/>
      <c r="AC1042" s="3"/>
      <c r="AD1042" s="32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4"/>
      <c r="AT1042" s="3"/>
      <c r="AU1042" s="3"/>
      <c r="AV1042" s="3"/>
      <c r="AW1042" s="3"/>
      <c r="AX1042" s="4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84"/>
      <c r="BZ1042" s="84"/>
      <c r="CA1042" s="84"/>
      <c r="CB1042" s="84"/>
      <c r="CC1042" s="84"/>
      <c r="CD1042" s="84"/>
      <c r="CE1042" s="84"/>
      <c r="CF1042" s="84"/>
      <c r="CG1042" s="84"/>
      <c r="CH1042" s="84"/>
      <c r="CI1042" s="84"/>
      <c r="CJ1042" s="84"/>
      <c r="CK1042" s="84"/>
      <c r="CL1042" s="84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220"/>
      <c r="CY1042" s="220"/>
      <c r="CZ1042" s="220"/>
      <c r="DA1042" s="220"/>
      <c r="DB1042" s="237"/>
      <c r="DC1042" s="238"/>
      <c r="DD1042" s="238"/>
      <c r="DE1042" s="238"/>
      <c r="DF1042" s="238"/>
      <c r="DG1042" s="238"/>
      <c r="DH1042" s="238"/>
      <c r="DI1042" s="238"/>
      <c r="DJ1042" s="238"/>
      <c r="DK1042" s="238"/>
      <c r="DL1042" s="238"/>
      <c r="DM1042" s="238"/>
      <c r="DN1042" s="238"/>
      <c r="DO1042" s="238"/>
      <c r="DP1042" s="238"/>
      <c r="DQ1042" s="238"/>
      <c r="DR1042" s="238"/>
      <c r="DS1042" s="238"/>
      <c r="DT1042" s="238"/>
      <c r="DU1042" s="238"/>
      <c r="DV1042" s="238"/>
      <c r="DW1042" s="238"/>
      <c r="DX1042" s="238"/>
      <c r="DY1042" s="238"/>
      <c r="DZ1042" s="238"/>
      <c r="EA1042" s="238"/>
      <c r="EB1042" s="238"/>
      <c r="EC1042" s="238"/>
      <c r="ED1042" s="3"/>
      <c r="EE1042" s="3"/>
      <c r="EF1042" s="3"/>
      <c r="EG1042" s="3"/>
      <c r="EH1042" s="3"/>
    </row>
    <row r="1043" spans="1:138" s="82" customFormat="1" x14ac:dyDescent="0.2">
      <c r="A1043" s="3"/>
      <c r="B1043" s="167"/>
      <c r="C1043" s="3"/>
      <c r="D1043" s="3"/>
      <c r="E1043" s="31"/>
      <c r="F1043" s="133"/>
      <c r="G1043" s="3"/>
      <c r="H1043" s="31"/>
      <c r="I1043" s="31"/>
      <c r="J1043" s="3"/>
      <c r="K1043" s="3"/>
      <c r="L1043" s="3"/>
      <c r="M1043" s="3"/>
      <c r="N1043" s="3"/>
      <c r="O1043" s="3"/>
      <c r="P1043" s="3"/>
      <c r="Q1043" s="3"/>
      <c r="R1043" s="32"/>
      <c r="S1043" s="32"/>
      <c r="T1043" s="3"/>
      <c r="U1043" s="33"/>
      <c r="V1043" s="33"/>
      <c r="W1043" s="3"/>
      <c r="X1043" s="3"/>
      <c r="Y1043" s="3"/>
      <c r="Z1043" s="3"/>
      <c r="AA1043" s="3"/>
      <c r="AB1043" s="3"/>
      <c r="AC1043" s="3"/>
      <c r="AD1043" s="32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4"/>
      <c r="AT1043" s="3"/>
      <c r="AU1043" s="3"/>
      <c r="AV1043" s="3"/>
      <c r="AW1043" s="3"/>
      <c r="AX1043" s="4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84"/>
      <c r="BZ1043" s="84"/>
      <c r="CA1043" s="84"/>
      <c r="CB1043" s="84"/>
      <c r="CC1043" s="84"/>
      <c r="CD1043" s="84"/>
      <c r="CE1043" s="84"/>
      <c r="CF1043" s="84"/>
      <c r="CG1043" s="84"/>
      <c r="CH1043" s="84"/>
      <c r="CI1043" s="84"/>
      <c r="CJ1043" s="84"/>
      <c r="CK1043" s="84"/>
      <c r="CL1043" s="84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220"/>
      <c r="CY1043" s="220"/>
      <c r="CZ1043" s="220"/>
      <c r="DA1043" s="220"/>
      <c r="DB1043" s="237"/>
      <c r="DC1043" s="238"/>
      <c r="DD1043" s="238"/>
      <c r="DE1043" s="238"/>
      <c r="DF1043" s="238"/>
      <c r="DG1043" s="238"/>
      <c r="DH1043" s="238"/>
      <c r="DI1043" s="238"/>
      <c r="DJ1043" s="238"/>
      <c r="DK1043" s="238"/>
      <c r="DL1043" s="238"/>
      <c r="DM1043" s="238"/>
      <c r="DN1043" s="238"/>
      <c r="DO1043" s="238"/>
      <c r="DP1043" s="238"/>
      <c r="DQ1043" s="238"/>
      <c r="DR1043" s="238"/>
      <c r="DS1043" s="238"/>
      <c r="DT1043" s="238"/>
      <c r="DU1043" s="238"/>
      <c r="DV1043" s="238"/>
      <c r="DW1043" s="238"/>
      <c r="DX1043" s="238"/>
      <c r="DY1043" s="238"/>
      <c r="DZ1043" s="238"/>
      <c r="EA1043" s="238"/>
      <c r="EB1043" s="238"/>
      <c r="EC1043" s="238"/>
      <c r="ED1043" s="3"/>
      <c r="EE1043" s="3"/>
      <c r="EF1043" s="3"/>
      <c r="EG1043" s="3"/>
      <c r="EH1043" s="3"/>
    </row>
    <row r="1044" spans="1:138" s="82" customFormat="1" x14ac:dyDescent="0.2">
      <c r="A1044" s="3"/>
      <c r="B1044" s="167"/>
      <c r="C1044" s="3"/>
      <c r="D1044" s="3"/>
      <c r="E1044" s="31"/>
      <c r="F1044" s="133"/>
      <c r="G1044" s="3"/>
      <c r="H1044" s="31"/>
      <c r="I1044" s="31"/>
      <c r="J1044" s="3"/>
      <c r="K1044" s="3"/>
      <c r="L1044" s="3"/>
      <c r="M1044" s="3"/>
      <c r="N1044" s="3"/>
      <c r="O1044" s="3"/>
      <c r="P1044" s="3"/>
      <c r="Q1044" s="3"/>
      <c r="R1044" s="32"/>
      <c r="S1044" s="32"/>
      <c r="T1044" s="3"/>
      <c r="U1044" s="33"/>
      <c r="V1044" s="33"/>
      <c r="W1044" s="3"/>
      <c r="X1044" s="3"/>
      <c r="Y1044" s="3"/>
      <c r="Z1044" s="3"/>
      <c r="AA1044" s="3"/>
      <c r="AB1044" s="3"/>
      <c r="AC1044" s="3"/>
      <c r="AD1044" s="32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4"/>
      <c r="AT1044" s="3"/>
      <c r="AU1044" s="3"/>
      <c r="AV1044" s="3"/>
      <c r="AW1044" s="3"/>
      <c r="AX1044" s="4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84"/>
      <c r="BZ1044" s="84"/>
      <c r="CA1044" s="84"/>
      <c r="CB1044" s="84"/>
      <c r="CC1044" s="84"/>
      <c r="CD1044" s="84"/>
      <c r="CE1044" s="84"/>
      <c r="CF1044" s="84"/>
      <c r="CG1044" s="84"/>
      <c r="CH1044" s="84"/>
      <c r="CI1044" s="84"/>
      <c r="CJ1044" s="84"/>
      <c r="CK1044" s="84"/>
      <c r="CL1044" s="84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220"/>
      <c r="CY1044" s="220"/>
      <c r="CZ1044" s="220"/>
      <c r="DA1044" s="220"/>
      <c r="DB1044" s="237"/>
      <c r="DC1044" s="238"/>
      <c r="DD1044" s="238"/>
      <c r="DE1044" s="238"/>
      <c r="DF1044" s="238"/>
      <c r="DG1044" s="238"/>
      <c r="DH1044" s="238"/>
      <c r="DI1044" s="238"/>
      <c r="DJ1044" s="238"/>
      <c r="DK1044" s="238"/>
      <c r="DL1044" s="238"/>
      <c r="DM1044" s="238"/>
      <c r="DN1044" s="238"/>
      <c r="DO1044" s="238"/>
      <c r="DP1044" s="238"/>
      <c r="DQ1044" s="238"/>
      <c r="DR1044" s="238"/>
      <c r="DS1044" s="238"/>
      <c r="DT1044" s="238"/>
      <c r="DU1044" s="238"/>
      <c r="DV1044" s="238"/>
      <c r="DW1044" s="238"/>
      <c r="DX1044" s="238"/>
      <c r="DY1044" s="238"/>
      <c r="DZ1044" s="238"/>
      <c r="EA1044" s="238"/>
      <c r="EB1044" s="238"/>
      <c r="EC1044" s="238"/>
      <c r="ED1044" s="3"/>
      <c r="EE1044" s="3"/>
      <c r="EF1044" s="3"/>
      <c r="EG1044" s="3"/>
      <c r="EH1044" s="3"/>
    </row>
    <row r="1045" spans="1:138" s="82" customFormat="1" x14ac:dyDescent="0.2">
      <c r="A1045" s="3"/>
      <c r="B1045" s="167"/>
      <c r="C1045" s="3"/>
      <c r="D1045" s="3"/>
      <c r="E1045" s="31"/>
      <c r="F1045" s="133"/>
      <c r="G1045" s="3"/>
      <c r="H1045" s="31"/>
      <c r="I1045" s="31"/>
      <c r="J1045" s="3"/>
      <c r="K1045" s="3"/>
      <c r="L1045" s="3"/>
      <c r="M1045" s="3"/>
      <c r="N1045" s="3"/>
      <c r="O1045" s="3"/>
      <c r="P1045" s="3"/>
      <c r="Q1045" s="3"/>
      <c r="R1045" s="32"/>
      <c r="S1045" s="32"/>
      <c r="T1045" s="3"/>
      <c r="U1045" s="33"/>
      <c r="V1045" s="33"/>
      <c r="W1045" s="3"/>
      <c r="X1045" s="3"/>
      <c r="Y1045" s="3"/>
      <c r="Z1045" s="3"/>
      <c r="AA1045" s="3"/>
      <c r="AB1045" s="3"/>
      <c r="AC1045" s="3"/>
      <c r="AD1045" s="32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4"/>
      <c r="AT1045" s="3"/>
      <c r="AU1045" s="3"/>
      <c r="AV1045" s="3"/>
      <c r="AW1045" s="3"/>
      <c r="AX1045" s="4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84"/>
      <c r="BZ1045" s="84"/>
      <c r="CA1045" s="84"/>
      <c r="CB1045" s="84"/>
      <c r="CC1045" s="84"/>
      <c r="CD1045" s="84"/>
      <c r="CE1045" s="84"/>
      <c r="CF1045" s="84"/>
      <c r="CG1045" s="84"/>
      <c r="CH1045" s="84"/>
      <c r="CI1045" s="84"/>
      <c r="CJ1045" s="84"/>
      <c r="CK1045" s="84"/>
      <c r="CL1045" s="84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220"/>
      <c r="CY1045" s="220"/>
      <c r="CZ1045" s="220"/>
      <c r="DA1045" s="220"/>
      <c r="DB1045" s="237"/>
      <c r="DC1045" s="238"/>
      <c r="DD1045" s="238"/>
      <c r="DE1045" s="238"/>
      <c r="DF1045" s="238"/>
      <c r="DG1045" s="238"/>
      <c r="DH1045" s="238"/>
      <c r="DI1045" s="238"/>
      <c r="DJ1045" s="238"/>
      <c r="DK1045" s="238"/>
      <c r="DL1045" s="238"/>
      <c r="DM1045" s="238"/>
      <c r="DN1045" s="238"/>
      <c r="DO1045" s="238"/>
      <c r="DP1045" s="238"/>
      <c r="DQ1045" s="238"/>
      <c r="DR1045" s="238"/>
      <c r="DS1045" s="238"/>
      <c r="DT1045" s="238"/>
      <c r="DU1045" s="238"/>
      <c r="DV1045" s="238"/>
      <c r="DW1045" s="238"/>
      <c r="DX1045" s="238"/>
      <c r="DY1045" s="238"/>
      <c r="DZ1045" s="238"/>
      <c r="EA1045" s="238"/>
      <c r="EB1045" s="238"/>
      <c r="EC1045" s="238"/>
      <c r="ED1045" s="3"/>
      <c r="EE1045" s="3"/>
      <c r="EF1045" s="3"/>
      <c r="EG1045" s="3"/>
      <c r="EH1045" s="3"/>
    </row>
    <row r="1046" spans="1:138" s="82" customFormat="1" x14ac:dyDescent="0.2">
      <c r="A1046" s="3"/>
      <c r="B1046" s="167"/>
      <c r="C1046" s="3"/>
      <c r="D1046" s="3"/>
      <c r="E1046" s="31"/>
      <c r="F1046" s="133"/>
      <c r="G1046" s="3"/>
      <c r="H1046" s="31"/>
      <c r="I1046" s="31"/>
      <c r="J1046" s="3"/>
      <c r="K1046" s="3"/>
      <c r="L1046" s="3"/>
      <c r="M1046" s="3"/>
      <c r="N1046" s="3"/>
      <c r="O1046" s="3"/>
      <c r="P1046" s="3"/>
      <c r="Q1046" s="3"/>
      <c r="R1046" s="32"/>
      <c r="S1046" s="32"/>
      <c r="T1046" s="3"/>
      <c r="U1046" s="33"/>
      <c r="V1046" s="33"/>
      <c r="W1046" s="3"/>
      <c r="X1046" s="3"/>
      <c r="Y1046" s="3"/>
      <c r="Z1046" s="3"/>
      <c r="AA1046" s="3"/>
      <c r="AB1046" s="3"/>
      <c r="AC1046" s="3"/>
      <c r="AD1046" s="32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4"/>
      <c r="AT1046" s="3"/>
      <c r="AU1046" s="3"/>
      <c r="AV1046" s="3"/>
      <c r="AW1046" s="3"/>
      <c r="AX1046" s="4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84"/>
      <c r="BZ1046" s="84"/>
      <c r="CA1046" s="84"/>
      <c r="CB1046" s="84"/>
      <c r="CC1046" s="84"/>
      <c r="CD1046" s="84"/>
      <c r="CE1046" s="84"/>
      <c r="CF1046" s="84"/>
      <c r="CG1046" s="84"/>
      <c r="CH1046" s="84"/>
      <c r="CI1046" s="84"/>
      <c r="CJ1046" s="84"/>
      <c r="CK1046" s="84"/>
      <c r="CL1046" s="84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220"/>
      <c r="CY1046" s="220"/>
      <c r="CZ1046" s="220"/>
      <c r="DA1046" s="220"/>
      <c r="DB1046" s="237"/>
      <c r="DC1046" s="238"/>
      <c r="DD1046" s="238"/>
      <c r="DE1046" s="238"/>
      <c r="DF1046" s="238"/>
      <c r="DG1046" s="238"/>
      <c r="DH1046" s="238"/>
      <c r="DI1046" s="238"/>
      <c r="DJ1046" s="238"/>
      <c r="DK1046" s="238"/>
      <c r="DL1046" s="238"/>
      <c r="DM1046" s="238"/>
      <c r="DN1046" s="238"/>
      <c r="DO1046" s="238"/>
      <c r="DP1046" s="238"/>
      <c r="DQ1046" s="238"/>
      <c r="DR1046" s="238"/>
      <c r="DS1046" s="238"/>
      <c r="DT1046" s="238"/>
      <c r="DU1046" s="238"/>
      <c r="DV1046" s="238"/>
      <c r="DW1046" s="238"/>
      <c r="DX1046" s="238"/>
      <c r="DY1046" s="238"/>
      <c r="DZ1046" s="238"/>
      <c r="EA1046" s="238"/>
      <c r="EB1046" s="238"/>
      <c r="EC1046" s="238"/>
      <c r="ED1046" s="3"/>
      <c r="EE1046" s="3"/>
      <c r="EF1046" s="3"/>
      <c r="EG1046" s="3"/>
      <c r="EH1046" s="3"/>
    </row>
    <row r="1047" spans="1:138" s="82" customFormat="1" x14ac:dyDescent="0.2">
      <c r="A1047" s="3"/>
      <c r="B1047" s="167"/>
      <c r="C1047" s="3"/>
      <c r="D1047" s="3"/>
      <c r="E1047" s="31"/>
      <c r="F1047" s="133"/>
      <c r="G1047" s="3"/>
      <c r="H1047" s="31"/>
      <c r="I1047" s="31"/>
      <c r="J1047" s="3"/>
      <c r="K1047" s="3"/>
      <c r="L1047" s="3"/>
      <c r="M1047" s="3"/>
      <c r="N1047" s="3"/>
      <c r="O1047" s="3"/>
      <c r="P1047" s="3"/>
      <c r="Q1047" s="3"/>
      <c r="R1047" s="32"/>
      <c r="S1047" s="32"/>
      <c r="T1047" s="3"/>
      <c r="U1047" s="33"/>
      <c r="V1047" s="33"/>
      <c r="W1047" s="3"/>
      <c r="X1047" s="3"/>
      <c r="Y1047" s="3"/>
      <c r="Z1047" s="3"/>
      <c r="AA1047" s="3"/>
      <c r="AB1047" s="3"/>
      <c r="AC1047" s="3"/>
      <c r="AD1047" s="32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4"/>
      <c r="AT1047" s="3"/>
      <c r="AU1047" s="3"/>
      <c r="AV1047" s="3"/>
      <c r="AW1047" s="3"/>
      <c r="AX1047" s="4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84"/>
      <c r="BZ1047" s="84"/>
      <c r="CA1047" s="84"/>
      <c r="CB1047" s="84"/>
      <c r="CC1047" s="84"/>
      <c r="CD1047" s="84"/>
      <c r="CE1047" s="84"/>
      <c r="CF1047" s="84"/>
      <c r="CG1047" s="84"/>
      <c r="CH1047" s="84"/>
      <c r="CI1047" s="84"/>
      <c r="CJ1047" s="84"/>
      <c r="CK1047" s="84"/>
      <c r="CL1047" s="84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220"/>
      <c r="CY1047" s="220"/>
      <c r="CZ1047" s="220"/>
      <c r="DA1047" s="220"/>
      <c r="DB1047" s="237"/>
      <c r="DC1047" s="238"/>
      <c r="DD1047" s="238"/>
      <c r="DE1047" s="238"/>
      <c r="DF1047" s="238"/>
      <c r="DG1047" s="238"/>
      <c r="DH1047" s="238"/>
      <c r="DI1047" s="238"/>
      <c r="DJ1047" s="238"/>
      <c r="DK1047" s="238"/>
      <c r="DL1047" s="238"/>
      <c r="DM1047" s="238"/>
      <c r="DN1047" s="238"/>
      <c r="DO1047" s="238"/>
      <c r="DP1047" s="238"/>
      <c r="DQ1047" s="238"/>
      <c r="DR1047" s="238"/>
      <c r="DS1047" s="238"/>
      <c r="DT1047" s="238"/>
      <c r="DU1047" s="238"/>
      <c r="DV1047" s="238"/>
      <c r="DW1047" s="238"/>
      <c r="DX1047" s="238"/>
      <c r="DY1047" s="238"/>
      <c r="DZ1047" s="238"/>
      <c r="EA1047" s="238"/>
      <c r="EB1047" s="238"/>
      <c r="EC1047" s="238"/>
      <c r="ED1047" s="3"/>
      <c r="EE1047" s="3"/>
      <c r="EF1047" s="3"/>
      <c r="EG1047" s="3"/>
      <c r="EH1047" s="3"/>
    </row>
    <row r="1048" spans="1:138" s="82" customFormat="1" x14ac:dyDescent="0.2">
      <c r="A1048" s="3"/>
      <c r="B1048" s="167"/>
      <c r="C1048" s="3"/>
      <c r="D1048" s="3"/>
      <c r="E1048" s="31"/>
      <c r="F1048" s="133"/>
      <c r="G1048" s="3"/>
      <c r="H1048" s="31"/>
      <c r="I1048" s="31"/>
      <c r="J1048" s="3"/>
      <c r="K1048" s="3"/>
      <c r="L1048" s="3"/>
      <c r="M1048" s="3"/>
      <c r="N1048" s="3"/>
      <c r="O1048" s="3"/>
      <c r="P1048" s="3"/>
      <c r="Q1048" s="3"/>
      <c r="R1048" s="32"/>
      <c r="S1048" s="32"/>
      <c r="T1048" s="3"/>
      <c r="U1048" s="33"/>
      <c r="V1048" s="33"/>
      <c r="W1048" s="3"/>
      <c r="X1048" s="3"/>
      <c r="Y1048" s="3"/>
      <c r="Z1048" s="3"/>
      <c r="AA1048" s="3"/>
      <c r="AB1048" s="3"/>
      <c r="AC1048" s="3"/>
      <c r="AD1048" s="32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4"/>
      <c r="AT1048" s="3"/>
      <c r="AU1048" s="3"/>
      <c r="AV1048" s="3"/>
      <c r="AW1048" s="3"/>
      <c r="AX1048" s="4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84"/>
      <c r="BZ1048" s="84"/>
      <c r="CA1048" s="84"/>
      <c r="CB1048" s="84"/>
      <c r="CC1048" s="84"/>
      <c r="CD1048" s="84"/>
      <c r="CE1048" s="84"/>
      <c r="CF1048" s="84"/>
      <c r="CG1048" s="84"/>
      <c r="CH1048" s="84"/>
      <c r="CI1048" s="84"/>
      <c r="CJ1048" s="84"/>
      <c r="CK1048" s="84"/>
      <c r="CL1048" s="84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220"/>
      <c r="CY1048" s="220"/>
      <c r="CZ1048" s="220"/>
      <c r="DA1048" s="220"/>
      <c r="DB1048" s="237"/>
      <c r="DC1048" s="238"/>
      <c r="DD1048" s="238"/>
      <c r="DE1048" s="238"/>
      <c r="DF1048" s="238"/>
      <c r="DG1048" s="238"/>
      <c r="DH1048" s="238"/>
      <c r="DI1048" s="238"/>
      <c r="DJ1048" s="238"/>
      <c r="DK1048" s="238"/>
      <c r="DL1048" s="238"/>
      <c r="DM1048" s="238"/>
      <c r="DN1048" s="238"/>
      <c r="DO1048" s="238"/>
      <c r="DP1048" s="238"/>
      <c r="DQ1048" s="238"/>
      <c r="DR1048" s="238"/>
      <c r="DS1048" s="238"/>
      <c r="DT1048" s="238"/>
      <c r="DU1048" s="238"/>
      <c r="DV1048" s="238"/>
      <c r="DW1048" s="238"/>
      <c r="DX1048" s="238"/>
      <c r="DY1048" s="238"/>
      <c r="DZ1048" s="238"/>
      <c r="EA1048" s="238"/>
      <c r="EB1048" s="238"/>
      <c r="EC1048" s="238"/>
      <c r="ED1048" s="3"/>
      <c r="EE1048" s="3"/>
      <c r="EF1048" s="3"/>
      <c r="EG1048" s="3"/>
      <c r="EH1048" s="3"/>
    </row>
    <row r="1049" spans="1:138" s="82" customFormat="1" x14ac:dyDescent="0.2">
      <c r="A1049" s="3"/>
      <c r="B1049" s="167"/>
      <c r="C1049" s="3"/>
      <c r="D1049" s="3"/>
      <c r="E1049" s="31"/>
      <c r="F1049" s="133"/>
      <c r="G1049" s="3"/>
      <c r="H1049" s="31"/>
      <c r="I1049" s="31"/>
      <c r="J1049" s="3"/>
      <c r="K1049" s="3"/>
      <c r="L1049" s="3"/>
      <c r="M1049" s="3"/>
      <c r="N1049" s="3"/>
      <c r="O1049" s="3"/>
      <c r="P1049" s="3"/>
      <c r="Q1049" s="3"/>
      <c r="R1049" s="32"/>
      <c r="S1049" s="32"/>
      <c r="T1049" s="3"/>
      <c r="U1049" s="33"/>
      <c r="V1049" s="33"/>
      <c r="W1049" s="3"/>
      <c r="X1049" s="3"/>
      <c r="Y1049" s="3"/>
      <c r="Z1049" s="3"/>
      <c r="AA1049" s="3"/>
      <c r="AB1049" s="3"/>
      <c r="AC1049" s="3"/>
      <c r="AD1049" s="32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4"/>
      <c r="AT1049" s="3"/>
      <c r="AU1049" s="3"/>
      <c r="AV1049" s="3"/>
      <c r="AW1049" s="3"/>
      <c r="AX1049" s="4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84"/>
      <c r="BZ1049" s="84"/>
      <c r="CA1049" s="84"/>
      <c r="CB1049" s="84"/>
      <c r="CC1049" s="84"/>
      <c r="CD1049" s="84"/>
      <c r="CE1049" s="84"/>
      <c r="CF1049" s="84"/>
      <c r="CG1049" s="84"/>
      <c r="CH1049" s="84"/>
      <c r="CI1049" s="84"/>
      <c r="CJ1049" s="84"/>
      <c r="CK1049" s="84"/>
      <c r="CL1049" s="84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220"/>
      <c r="CY1049" s="220"/>
      <c r="CZ1049" s="220"/>
      <c r="DA1049" s="220"/>
      <c r="DB1049" s="237"/>
      <c r="DC1049" s="238"/>
      <c r="DD1049" s="238"/>
      <c r="DE1049" s="238"/>
      <c r="DF1049" s="238"/>
      <c r="DG1049" s="238"/>
      <c r="DH1049" s="238"/>
      <c r="DI1049" s="238"/>
      <c r="DJ1049" s="238"/>
      <c r="DK1049" s="238"/>
      <c r="DL1049" s="238"/>
      <c r="DM1049" s="238"/>
      <c r="DN1049" s="238"/>
      <c r="DO1049" s="238"/>
      <c r="DP1049" s="238"/>
      <c r="DQ1049" s="238"/>
      <c r="DR1049" s="238"/>
      <c r="DS1049" s="238"/>
      <c r="DT1049" s="238"/>
      <c r="DU1049" s="238"/>
      <c r="DV1049" s="238"/>
      <c r="DW1049" s="238"/>
      <c r="DX1049" s="238"/>
      <c r="DY1049" s="238"/>
      <c r="DZ1049" s="238"/>
      <c r="EA1049" s="238"/>
      <c r="EB1049" s="238"/>
      <c r="EC1049" s="238"/>
      <c r="ED1049" s="3"/>
      <c r="EE1049" s="3"/>
      <c r="EF1049" s="3"/>
      <c r="EG1049" s="3"/>
      <c r="EH1049" s="3"/>
    </row>
    <row r="1050" spans="1:138" s="82" customFormat="1" x14ac:dyDescent="0.2">
      <c r="A1050" s="3"/>
      <c r="B1050" s="167"/>
      <c r="C1050" s="3"/>
      <c r="D1050" s="3"/>
      <c r="E1050" s="31"/>
      <c r="F1050" s="133"/>
      <c r="G1050" s="3"/>
      <c r="H1050" s="31"/>
      <c r="I1050" s="31"/>
      <c r="J1050" s="3"/>
      <c r="K1050" s="3"/>
      <c r="L1050" s="3"/>
      <c r="M1050" s="3"/>
      <c r="N1050" s="3"/>
      <c r="O1050" s="3"/>
      <c r="P1050" s="3"/>
      <c r="Q1050" s="3"/>
      <c r="R1050" s="32"/>
      <c r="S1050" s="32"/>
      <c r="T1050" s="3"/>
      <c r="U1050" s="33"/>
      <c r="V1050" s="33"/>
      <c r="W1050" s="3"/>
      <c r="X1050" s="3"/>
      <c r="Y1050" s="3"/>
      <c r="Z1050" s="3"/>
      <c r="AA1050" s="3"/>
      <c r="AB1050" s="3"/>
      <c r="AC1050" s="3"/>
      <c r="AD1050" s="32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4"/>
      <c r="AT1050" s="3"/>
      <c r="AU1050" s="3"/>
      <c r="AV1050" s="3"/>
      <c r="AW1050" s="3"/>
      <c r="AX1050" s="4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84"/>
      <c r="BZ1050" s="84"/>
      <c r="CA1050" s="84"/>
      <c r="CB1050" s="84"/>
      <c r="CC1050" s="84"/>
      <c r="CD1050" s="84"/>
      <c r="CE1050" s="84"/>
      <c r="CF1050" s="84"/>
      <c r="CG1050" s="84"/>
      <c r="CH1050" s="84"/>
      <c r="CI1050" s="84"/>
      <c r="CJ1050" s="84"/>
      <c r="CK1050" s="84"/>
      <c r="CL1050" s="84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220"/>
      <c r="CY1050" s="220"/>
      <c r="CZ1050" s="220"/>
      <c r="DA1050" s="220"/>
      <c r="DB1050" s="237"/>
      <c r="DC1050" s="238"/>
      <c r="DD1050" s="238"/>
      <c r="DE1050" s="238"/>
      <c r="DF1050" s="238"/>
      <c r="DG1050" s="238"/>
      <c r="DH1050" s="238"/>
      <c r="DI1050" s="238"/>
      <c r="DJ1050" s="238"/>
      <c r="DK1050" s="238"/>
      <c r="DL1050" s="238"/>
      <c r="DM1050" s="238"/>
      <c r="DN1050" s="238"/>
      <c r="DO1050" s="238"/>
      <c r="DP1050" s="238"/>
      <c r="DQ1050" s="238"/>
      <c r="DR1050" s="238"/>
      <c r="DS1050" s="238"/>
      <c r="DT1050" s="238"/>
      <c r="DU1050" s="238"/>
      <c r="DV1050" s="238"/>
      <c r="DW1050" s="238"/>
      <c r="DX1050" s="238"/>
      <c r="DY1050" s="238"/>
      <c r="DZ1050" s="238"/>
      <c r="EA1050" s="238"/>
      <c r="EB1050" s="238"/>
      <c r="EC1050" s="238"/>
      <c r="ED1050" s="3"/>
      <c r="EE1050" s="3"/>
      <c r="EF1050" s="3"/>
      <c r="EG1050" s="3"/>
      <c r="EH1050" s="3"/>
    </row>
    <row r="1051" spans="1:138" s="82" customFormat="1" x14ac:dyDescent="0.2">
      <c r="A1051" s="3"/>
      <c r="B1051" s="167"/>
      <c r="C1051" s="3"/>
      <c r="D1051" s="3"/>
      <c r="E1051" s="31"/>
      <c r="F1051" s="133"/>
      <c r="G1051" s="3"/>
      <c r="H1051" s="31"/>
      <c r="I1051" s="31"/>
      <c r="J1051" s="3"/>
      <c r="K1051" s="3"/>
      <c r="L1051" s="3"/>
      <c r="M1051" s="3"/>
      <c r="N1051" s="3"/>
      <c r="O1051" s="3"/>
      <c r="P1051" s="3"/>
      <c r="Q1051" s="3"/>
      <c r="R1051" s="32"/>
      <c r="S1051" s="32"/>
      <c r="T1051" s="3"/>
      <c r="U1051" s="33"/>
      <c r="V1051" s="33"/>
      <c r="W1051" s="3"/>
      <c r="X1051" s="3"/>
      <c r="Y1051" s="3"/>
      <c r="Z1051" s="3"/>
      <c r="AA1051" s="3"/>
      <c r="AB1051" s="3"/>
      <c r="AC1051" s="3"/>
      <c r="AD1051" s="32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4"/>
      <c r="AT1051" s="3"/>
      <c r="AU1051" s="3"/>
      <c r="AV1051" s="3"/>
      <c r="AW1051" s="3"/>
      <c r="AX1051" s="4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84"/>
      <c r="BZ1051" s="84"/>
      <c r="CA1051" s="84"/>
      <c r="CB1051" s="84"/>
      <c r="CC1051" s="84"/>
      <c r="CD1051" s="84"/>
      <c r="CE1051" s="84"/>
      <c r="CF1051" s="84"/>
      <c r="CG1051" s="84"/>
      <c r="CH1051" s="84"/>
      <c r="CI1051" s="84"/>
      <c r="CJ1051" s="84"/>
      <c r="CK1051" s="84"/>
      <c r="CL1051" s="84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220"/>
      <c r="CY1051" s="220"/>
      <c r="CZ1051" s="220"/>
      <c r="DA1051" s="220"/>
      <c r="DB1051" s="237"/>
      <c r="DC1051" s="238"/>
      <c r="DD1051" s="238"/>
      <c r="DE1051" s="238"/>
      <c r="DF1051" s="238"/>
      <c r="DG1051" s="238"/>
      <c r="DH1051" s="238"/>
      <c r="DI1051" s="238"/>
      <c r="DJ1051" s="238"/>
      <c r="DK1051" s="238"/>
      <c r="DL1051" s="238"/>
      <c r="DM1051" s="238"/>
      <c r="DN1051" s="238"/>
      <c r="DO1051" s="238"/>
      <c r="DP1051" s="238"/>
      <c r="DQ1051" s="238"/>
      <c r="DR1051" s="238"/>
      <c r="DS1051" s="238"/>
      <c r="DT1051" s="238"/>
      <c r="DU1051" s="238"/>
      <c r="DV1051" s="238"/>
      <c r="DW1051" s="238"/>
      <c r="DX1051" s="238"/>
      <c r="DY1051" s="238"/>
      <c r="DZ1051" s="238"/>
      <c r="EA1051" s="238"/>
      <c r="EB1051" s="238"/>
      <c r="EC1051" s="238"/>
      <c r="ED1051" s="3"/>
      <c r="EE1051" s="3"/>
      <c r="EF1051" s="3"/>
      <c r="EG1051" s="3"/>
      <c r="EH1051" s="3"/>
    </row>
    <row r="1052" spans="1:138" s="82" customFormat="1" x14ac:dyDescent="0.2">
      <c r="A1052" s="3"/>
      <c r="B1052" s="167"/>
      <c r="C1052" s="3"/>
      <c r="D1052" s="3"/>
      <c r="E1052" s="31"/>
      <c r="F1052" s="133"/>
      <c r="G1052" s="3"/>
      <c r="H1052" s="4"/>
      <c r="I1052" s="31"/>
      <c r="J1052" s="3"/>
      <c r="K1052" s="3"/>
      <c r="L1052" s="3"/>
      <c r="M1052" s="3"/>
      <c r="N1052" s="3"/>
      <c r="O1052" s="3"/>
      <c r="P1052" s="3"/>
      <c r="Q1052" s="3"/>
      <c r="R1052" s="33"/>
      <c r="S1052" s="32"/>
      <c r="T1052" s="3"/>
      <c r="U1052" s="33"/>
      <c r="V1052" s="33"/>
      <c r="W1052" s="3"/>
      <c r="X1052" s="3"/>
      <c r="Y1052" s="3"/>
      <c r="Z1052" s="3"/>
      <c r="AA1052" s="3"/>
      <c r="AB1052" s="3"/>
      <c r="AC1052" s="3"/>
      <c r="AD1052" s="32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4"/>
      <c r="AT1052" s="3"/>
      <c r="AU1052" s="3"/>
      <c r="AV1052" s="3"/>
      <c r="AW1052" s="3"/>
      <c r="AX1052" s="4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84"/>
      <c r="BZ1052" s="84"/>
      <c r="CA1052" s="84"/>
      <c r="CB1052" s="84"/>
      <c r="CC1052" s="84"/>
      <c r="CD1052" s="84"/>
      <c r="CE1052" s="84"/>
      <c r="CF1052" s="84"/>
      <c r="CG1052" s="84"/>
      <c r="CH1052" s="84"/>
      <c r="CI1052" s="84"/>
      <c r="CJ1052" s="84"/>
      <c r="CK1052" s="84"/>
      <c r="CL1052" s="84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220"/>
      <c r="CY1052" s="220"/>
      <c r="CZ1052" s="220"/>
      <c r="DA1052" s="220"/>
      <c r="DB1052" s="237"/>
      <c r="DC1052" s="238"/>
      <c r="DD1052" s="238"/>
      <c r="DE1052" s="238"/>
      <c r="DF1052" s="238"/>
      <c r="DG1052" s="238"/>
      <c r="DH1052" s="238"/>
      <c r="DI1052" s="238"/>
      <c r="DJ1052" s="238"/>
      <c r="DK1052" s="238"/>
      <c r="DL1052" s="238"/>
      <c r="DM1052" s="238"/>
      <c r="DN1052" s="238"/>
      <c r="DO1052" s="238"/>
      <c r="DP1052" s="238"/>
      <c r="DQ1052" s="238"/>
      <c r="DR1052" s="238"/>
      <c r="DS1052" s="238"/>
      <c r="DT1052" s="238"/>
      <c r="DU1052" s="238"/>
      <c r="DV1052" s="238"/>
      <c r="DW1052" s="238"/>
      <c r="DX1052" s="238"/>
      <c r="DY1052" s="238"/>
      <c r="DZ1052" s="238"/>
      <c r="EA1052" s="238"/>
      <c r="EB1052" s="238"/>
      <c r="EC1052" s="238"/>
      <c r="ED1052" s="3"/>
      <c r="EE1052" s="3"/>
      <c r="EF1052" s="3"/>
      <c r="EG1052" s="3"/>
      <c r="EH1052" s="3"/>
    </row>
    <row r="1053" spans="1:138" s="82" customFormat="1" x14ac:dyDescent="0.2">
      <c r="A1053" s="3"/>
      <c r="B1053" s="167"/>
      <c r="C1053" s="3"/>
      <c r="D1053" s="3"/>
      <c r="E1053" s="31"/>
      <c r="F1053" s="133"/>
      <c r="G1053" s="3"/>
      <c r="H1053" s="4"/>
      <c r="I1053" s="31"/>
      <c r="J1053" s="3"/>
      <c r="K1053" s="3"/>
      <c r="L1053" s="3"/>
      <c r="M1053" s="3"/>
      <c r="N1053" s="3"/>
      <c r="O1053" s="3"/>
      <c r="P1053" s="3"/>
      <c r="Q1053" s="3"/>
      <c r="R1053" s="33"/>
      <c r="S1053" s="32"/>
      <c r="T1053" s="3"/>
      <c r="U1053" s="33"/>
      <c r="V1053" s="33"/>
      <c r="W1053" s="3"/>
      <c r="X1053" s="3"/>
      <c r="Y1053" s="3"/>
      <c r="Z1053" s="3"/>
      <c r="AA1053" s="3"/>
      <c r="AB1053" s="3"/>
      <c r="AC1053" s="3"/>
      <c r="AD1053" s="32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4"/>
      <c r="AT1053" s="3"/>
      <c r="AU1053" s="3"/>
      <c r="AV1053" s="3"/>
      <c r="AW1053" s="3"/>
      <c r="AX1053" s="4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84"/>
      <c r="BZ1053" s="84"/>
      <c r="CA1053" s="84"/>
      <c r="CB1053" s="84"/>
      <c r="CC1053" s="84"/>
      <c r="CD1053" s="84"/>
      <c r="CE1053" s="84"/>
      <c r="CF1053" s="84"/>
      <c r="CG1053" s="84"/>
      <c r="CH1053" s="84"/>
      <c r="CI1053" s="84"/>
      <c r="CJ1053" s="84"/>
      <c r="CK1053" s="84"/>
      <c r="CL1053" s="84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220"/>
      <c r="CY1053" s="220"/>
      <c r="CZ1053" s="220"/>
      <c r="DA1053" s="220"/>
      <c r="DB1053" s="237"/>
      <c r="DC1053" s="238"/>
      <c r="DD1053" s="238"/>
      <c r="DE1053" s="238"/>
      <c r="DF1053" s="238"/>
      <c r="DG1053" s="238"/>
      <c r="DH1053" s="238"/>
      <c r="DI1053" s="238"/>
      <c r="DJ1053" s="238"/>
      <c r="DK1053" s="238"/>
      <c r="DL1053" s="238"/>
      <c r="DM1053" s="238"/>
      <c r="DN1053" s="238"/>
      <c r="DO1053" s="238"/>
      <c r="DP1053" s="238"/>
      <c r="DQ1053" s="238"/>
      <c r="DR1053" s="238"/>
      <c r="DS1053" s="238"/>
      <c r="DT1053" s="238"/>
      <c r="DU1053" s="238"/>
      <c r="DV1053" s="238"/>
      <c r="DW1053" s="238"/>
      <c r="DX1053" s="238"/>
      <c r="DY1053" s="238"/>
      <c r="DZ1053" s="238"/>
      <c r="EA1053" s="238"/>
      <c r="EB1053" s="238"/>
      <c r="EC1053" s="238"/>
      <c r="ED1053" s="3"/>
      <c r="EE1053" s="3"/>
      <c r="EF1053" s="3"/>
      <c r="EG1053" s="3"/>
      <c r="EH1053" s="3"/>
    </row>
    <row r="1054" spans="1:138" s="82" customFormat="1" x14ac:dyDescent="0.2">
      <c r="A1054" s="3"/>
      <c r="B1054" s="167"/>
      <c r="C1054" s="3"/>
      <c r="D1054" s="3"/>
      <c r="E1054" s="31"/>
      <c r="F1054" s="133"/>
      <c r="G1054" s="3"/>
      <c r="H1054" s="4"/>
      <c r="I1054" s="31"/>
      <c r="J1054" s="3"/>
      <c r="K1054" s="3"/>
      <c r="L1054" s="3"/>
      <c r="M1054" s="3"/>
      <c r="N1054" s="3"/>
      <c r="O1054" s="3"/>
      <c r="P1054" s="3"/>
      <c r="Q1054" s="3"/>
      <c r="R1054" s="33"/>
      <c r="S1054" s="32"/>
      <c r="T1054" s="3"/>
      <c r="U1054" s="33"/>
      <c r="V1054" s="33"/>
      <c r="W1054" s="3"/>
      <c r="X1054" s="3"/>
      <c r="Y1054" s="3"/>
      <c r="Z1054" s="3"/>
      <c r="AA1054" s="3"/>
      <c r="AB1054" s="3"/>
      <c r="AC1054" s="3"/>
      <c r="AD1054" s="32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4"/>
      <c r="AT1054" s="3"/>
      <c r="AU1054" s="3"/>
      <c r="AV1054" s="3"/>
      <c r="AW1054" s="3"/>
      <c r="AX1054" s="4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84"/>
      <c r="BZ1054" s="84"/>
      <c r="CA1054" s="84"/>
      <c r="CB1054" s="84"/>
      <c r="CC1054" s="84"/>
      <c r="CD1054" s="84"/>
      <c r="CE1054" s="84"/>
      <c r="CF1054" s="84"/>
      <c r="CG1054" s="84"/>
      <c r="CH1054" s="84"/>
      <c r="CI1054" s="84"/>
      <c r="CJ1054" s="84"/>
      <c r="CK1054" s="84"/>
      <c r="CL1054" s="84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220"/>
      <c r="CY1054" s="220"/>
      <c r="CZ1054" s="220"/>
      <c r="DA1054" s="220"/>
      <c r="DB1054" s="237"/>
      <c r="DC1054" s="238"/>
      <c r="DD1054" s="238"/>
      <c r="DE1054" s="238"/>
      <c r="DF1054" s="238"/>
      <c r="DG1054" s="238"/>
      <c r="DH1054" s="238"/>
      <c r="DI1054" s="238"/>
      <c r="DJ1054" s="238"/>
      <c r="DK1054" s="238"/>
      <c r="DL1054" s="238"/>
      <c r="DM1054" s="238"/>
      <c r="DN1054" s="238"/>
      <c r="DO1054" s="238"/>
      <c r="DP1054" s="238"/>
      <c r="DQ1054" s="238"/>
      <c r="DR1054" s="238"/>
      <c r="DS1054" s="238"/>
      <c r="DT1054" s="238"/>
      <c r="DU1054" s="238"/>
      <c r="DV1054" s="238"/>
      <c r="DW1054" s="238"/>
      <c r="DX1054" s="238"/>
      <c r="DY1054" s="238"/>
      <c r="DZ1054" s="238"/>
      <c r="EA1054" s="238"/>
      <c r="EB1054" s="238"/>
      <c r="EC1054" s="238"/>
      <c r="ED1054" s="3"/>
      <c r="EE1054" s="3"/>
      <c r="EF1054" s="3"/>
      <c r="EG1054" s="3"/>
      <c r="EH1054" s="3"/>
    </row>
    <row r="1055" spans="1:138" s="82" customFormat="1" x14ac:dyDescent="0.2">
      <c r="A1055" s="3"/>
      <c r="B1055" s="167"/>
      <c r="C1055" s="3"/>
      <c r="D1055" s="3"/>
      <c r="E1055" s="31"/>
      <c r="F1055" s="133"/>
      <c r="G1055" s="3"/>
      <c r="H1055" s="4"/>
      <c r="I1055" s="31"/>
      <c r="J1055" s="3"/>
      <c r="K1055" s="3"/>
      <c r="L1055" s="3"/>
      <c r="M1055" s="3"/>
      <c r="N1055" s="3"/>
      <c r="O1055" s="3"/>
      <c r="P1055" s="3"/>
      <c r="Q1055" s="3"/>
      <c r="R1055" s="33"/>
      <c r="S1055" s="32"/>
      <c r="T1055" s="3"/>
      <c r="U1055" s="33"/>
      <c r="V1055" s="33"/>
      <c r="W1055" s="3"/>
      <c r="X1055" s="3"/>
      <c r="Y1055" s="3"/>
      <c r="Z1055" s="3"/>
      <c r="AA1055" s="3"/>
      <c r="AB1055" s="3"/>
      <c r="AC1055" s="3"/>
      <c r="AD1055" s="32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4"/>
      <c r="AT1055" s="3"/>
      <c r="AU1055" s="3"/>
      <c r="AV1055" s="3"/>
      <c r="AW1055" s="3"/>
      <c r="AX1055" s="4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84"/>
      <c r="BZ1055" s="84"/>
      <c r="CA1055" s="84"/>
      <c r="CB1055" s="84"/>
      <c r="CC1055" s="84"/>
      <c r="CD1055" s="84"/>
      <c r="CE1055" s="84"/>
      <c r="CF1055" s="84"/>
      <c r="CG1055" s="84"/>
      <c r="CH1055" s="84"/>
      <c r="CI1055" s="84"/>
      <c r="CJ1055" s="84"/>
      <c r="CK1055" s="84"/>
      <c r="CL1055" s="84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220"/>
      <c r="CY1055" s="220"/>
      <c r="CZ1055" s="220"/>
      <c r="DA1055" s="220"/>
      <c r="DB1055" s="237"/>
      <c r="DC1055" s="238"/>
      <c r="DD1055" s="238"/>
      <c r="DE1055" s="238"/>
      <c r="DF1055" s="238"/>
      <c r="DG1055" s="238"/>
      <c r="DH1055" s="238"/>
      <c r="DI1055" s="238"/>
      <c r="DJ1055" s="238"/>
      <c r="DK1055" s="238"/>
      <c r="DL1055" s="238"/>
      <c r="DM1055" s="238"/>
      <c r="DN1055" s="238"/>
      <c r="DO1055" s="238"/>
      <c r="DP1055" s="238"/>
      <c r="DQ1055" s="238"/>
      <c r="DR1055" s="238"/>
      <c r="DS1055" s="238"/>
      <c r="DT1055" s="238"/>
      <c r="DU1055" s="238"/>
      <c r="DV1055" s="238"/>
      <c r="DW1055" s="238"/>
      <c r="DX1055" s="238"/>
      <c r="DY1055" s="238"/>
      <c r="DZ1055" s="238"/>
      <c r="EA1055" s="238"/>
      <c r="EB1055" s="238"/>
      <c r="EC1055" s="238"/>
      <c r="ED1055" s="3"/>
      <c r="EE1055" s="3"/>
      <c r="EF1055" s="3"/>
      <c r="EG1055" s="3"/>
      <c r="EH1055" s="3"/>
    </row>
    <row r="1056" spans="1:138" s="82" customFormat="1" x14ac:dyDescent="0.2">
      <c r="A1056" s="3"/>
      <c r="B1056" s="167"/>
      <c r="C1056" s="3"/>
      <c r="D1056" s="3"/>
      <c r="E1056" s="31"/>
      <c r="F1056" s="133"/>
      <c r="G1056" s="3"/>
      <c r="H1056" s="4"/>
      <c r="I1056" s="31"/>
      <c r="J1056" s="3"/>
      <c r="K1056" s="3"/>
      <c r="L1056" s="3"/>
      <c r="M1056" s="3"/>
      <c r="N1056" s="3"/>
      <c r="O1056" s="3"/>
      <c r="P1056" s="3"/>
      <c r="Q1056" s="3"/>
      <c r="R1056" s="33"/>
      <c r="S1056" s="32"/>
      <c r="T1056" s="3"/>
      <c r="U1056" s="33"/>
      <c r="V1056" s="33"/>
      <c r="W1056" s="3"/>
      <c r="X1056" s="3"/>
      <c r="Y1056" s="3"/>
      <c r="Z1056" s="3"/>
      <c r="AA1056" s="3"/>
      <c r="AB1056" s="3"/>
      <c r="AC1056" s="3"/>
      <c r="AD1056" s="32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4"/>
      <c r="AT1056" s="3"/>
      <c r="AU1056" s="3"/>
      <c r="AV1056" s="3"/>
      <c r="AW1056" s="3"/>
      <c r="AX1056" s="4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84"/>
      <c r="BZ1056" s="84"/>
      <c r="CA1056" s="84"/>
      <c r="CB1056" s="84"/>
      <c r="CC1056" s="84"/>
      <c r="CD1056" s="84"/>
      <c r="CE1056" s="84"/>
      <c r="CF1056" s="84"/>
      <c r="CG1056" s="84"/>
      <c r="CH1056" s="84"/>
      <c r="CI1056" s="84"/>
      <c r="CJ1056" s="84"/>
      <c r="CK1056" s="84"/>
      <c r="CL1056" s="84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220"/>
      <c r="CY1056" s="220"/>
      <c r="CZ1056" s="220"/>
      <c r="DA1056" s="220"/>
      <c r="DB1056" s="237"/>
      <c r="DC1056" s="238"/>
      <c r="DD1056" s="238"/>
      <c r="DE1056" s="238"/>
      <c r="DF1056" s="238"/>
      <c r="DG1056" s="238"/>
      <c r="DH1056" s="238"/>
      <c r="DI1056" s="238"/>
      <c r="DJ1056" s="238"/>
      <c r="DK1056" s="238"/>
      <c r="DL1056" s="238"/>
      <c r="DM1056" s="238"/>
      <c r="DN1056" s="238"/>
      <c r="DO1056" s="238"/>
      <c r="DP1056" s="238"/>
      <c r="DQ1056" s="238"/>
      <c r="DR1056" s="238"/>
      <c r="DS1056" s="238"/>
      <c r="DT1056" s="238"/>
      <c r="DU1056" s="238"/>
      <c r="DV1056" s="238"/>
      <c r="DW1056" s="238"/>
      <c r="DX1056" s="238"/>
      <c r="DY1056" s="238"/>
      <c r="DZ1056" s="238"/>
      <c r="EA1056" s="238"/>
      <c r="EB1056" s="238"/>
      <c r="EC1056" s="238"/>
      <c r="ED1056" s="3"/>
      <c r="EE1056" s="3"/>
      <c r="EF1056" s="3"/>
      <c r="EG1056" s="3"/>
      <c r="EH1056" s="3"/>
    </row>
    <row r="1057" spans="1:138" s="82" customFormat="1" x14ac:dyDescent="0.2">
      <c r="A1057" s="3"/>
      <c r="B1057" s="167"/>
      <c r="C1057" s="3"/>
      <c r="D1057" s="3"/>
      <c r="E1057" s="31"/>
      <c r="F1057" s="133"/>
      <c r="G1057" s="3"/>
      <c r="H1057" s="31"/>
      <c r="I1057" s="31"/>
      <c r="J1057" s="3"/>
      <c r="K1057" s="3"/>
      <c r="L1057" s="3"/>
      <c r="M1057" s="3"/>
      <c r="N1057" s="3"/>
      <c r="O1057" s="3"/>
      <c r="P1057" s="3"/>
      <c r="Q1057" s="3"/>
      <c r="R1057" s="32"/>
      <c r="S1057" s="32"/>
      <c r="T1057" s="3"/>
      <c r="U1057" s="33"/>
      <c r="V1057" s="33"/>
      <c r="W1057" s="3"/>
      <c r="X1057" s="3"/>
      <c r="Y1057" s="3"/>
      <c r="Z1057" s="3"/>
      <c r="AA1057" s="3"/>
      <c r="AB1057" s="3"/>
      <c r="AC1057" s="3"/>
      <c r="AD1057" s="32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4"/>
      <c r="AT1057" s="3"/>
      <c r="AU1057" s="3"/>
      <c r="AV1057" s="3"/>
      <c r="AW1057" s="3"/>
      <c r="AX1057" s="4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84"/>
      <c r="BZ1057" s="84"/>
      <c r="CA1057" s="84"/>
      <c r="CB1057" s="84"/>
      <c r="CC1057" s="84"/>
      <c r="CD1057" s="84"/>
      <c r="CE1057" s="84"/>
      <c r="CF1057" s="84"/>
      <c r="CG1057" s="84"/>
      <c r="CH1057" s="84"/>
      <c r="CI1057" s="84"/>
      <c r="CJ1057" s="84"/>
      <c r="CK1057" s="84"/>
      <c r="CL1057" s="84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220"/>
      <c r="CY1057" s="220"/>
      <c r="CZ1057" s="220"/>
      <c r="DA1057" s="220"/>
      <c r="DB1057" s="237"/>
      <c r="DC1057" s="238"/>
      <c r="DD1057" s="238"/>
      <c r="DE1057" s="238"/>
      <c r="DF1057" s="238"/>
      <c r="DG1057" s="238"/>
      <c r="DH1057" s="238"/>
      <c r="DI1057" s="238"/>
      <c r="DJ1057" s="238"/>
      <c r="DK1057" s="238"/>
      <c r="DL1057" s="238"/>
      <c r="DM1057" s="238"/>
      <c r="DN1057" s="238"/>
      <c r="DO1057" s="238"/>
      <c r="DP1057" s="238"/>
      <c r="DQ1057" s="238"/>
      <c r="DR1057" s="238"/>
      <c r="DS1057" s="238"/>
      <c r="DT1057" s="238"/>
      <c r="DU1057" s="238"/>
      <c r="DV1057" s="238"/>
      <c r="DW1057" s="238"/>
      <c r="DX1057" s="238"/>
      <c r="DY1057" s="238"/>
      <c r="DZ1057" s="238"/>
      <c r="EA1057" s="238"/>
      <c r="EB1057" s="238"/>
      <c r="EC1057" s="238"/>
      <c r="ED1057" s="3"/>
      <c r="EE1057" s="3"/>
      <c r="EF1057" s="3"/>
      <c r="EG1057" s="3"/>
      <c r="EH1057" s="3"/>
    </row>
    <row r="1058" spans="1:138" s="82" customFormat="1" x14ac:dyDescent="0.2">
      <c r="A1058" s="3"/>
      <c r="B1058" s="167"/>
      <c r="C1058" s="3"/>
      <c r="D1058" s="3"/>
      <c r="E1058" s="31"/>
      <c r="F1058" s="133"/>
      <c r="G1058" s="3"/>
      <c r="H1058" s="31"/>
      <c r="I1058" s="31"/>
      <c r="J1058" s="3"/>
      <c r="K1058" s="3"/>
      <c r="L1058" s="3"/>
      <c r="M1058" s="3"/>
      <c r="N1058" s="3"/>
      <c r="O1058" s="3"/>
      <c r="P1058" s="3"/>
      <c r="Q1058" s="3"/>
      <c r="R1058" s="32"/>
      <c r="S1058" s="32"/>
      <c r="T1058" s="3"/>
      <c r="U1058" s="33"/>
      <c r="V1058" s="33"/>
      <c r="W1058" s="3"/>
      <c r="X1058" s="3"/>
      <c r="Y1058" s="3"/>
      <c r="Z1058" s="3"/>
      <c r="AA1058" s="3"/>
      <c r="AB1058" s="3"/>
      <c r="AC1058" s="3"/>
      <c r="AD1058" s="32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4"/>
      <c r="AT1058" s="3"/>
      <c r="AU1058" s="3"/>
      <c r="AV1058" s="3"/>
      <c r="AW1058" s="3"/>
      <c r="AX1058" s="4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84"/>
      <c r="BZ1058" s="84"/>
      <c r="CA1058" s="84"/>
      <c r="CB1058" s="84"/>
      <c r="CC1058" s="84"/>
      <c r="CD1058" s="84"/>
      <c r="CE1058" s="84"/>
      <c r="CF1058" s="84"/>
      <c r="CG1058" s="84"/>
      <c r="CH1058" s="84"/>
      <c r="CI1058" s="84"/>
      <c r="CJ1058" s="84"/>
      <c r="CK1058" s="84"/>
      <c r="CL1058" s="84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220"/>
      <c r="CY1058" s="220"/>
      <c r="CZ1058" s="220"/>
      <c r="DA1058" s="220"/>
      <c r="DB1058" s="237"/>
      <c r="DC1058" s="238"/>
      <c r="DD1058" s="238"/>
      <c r="DE1058" s="238"/>
      <c r="DF1058" s="238"/>
      <c r="DG1058" s="238"/>
      <c r="DH1058" s="238"/>
      <c r="DI1058" s="238"/>
      <c r="DJ1058" s="238"/>
      <c r="DK1058" s="238"/>
      <c r="DL1058" s="238"/>
      <c r="DM1058" s="238"/>
      <c r="DN1058" s="238"/>
      <c r="DO1058" s="238"/>
      <c r="DP1058" s="238"/>
      <c r="DQ1058" s="238"/>
      <c r="DR1058" s="238"/>
      <c r="DS1058" s="238"/>
      <c r="DT1058" s="238"/>
      <c r="DU1058" s="238"/>
      <c r="DV1058" s="238"/>
      <c r="DW1058" s="238"/>
      <c r="DX1058" s="238"/>
      <c r="DY1058" s="238"/>
      <c r="DZ1058" s="238"/>
      <c r="EA1058" s="238"/>
      <c r="EB1058" s="238"/>
      <c r="EC1058" s="238"/>
      <c r="ED1058" s="3"/>
      <c r="EE1058" s="3"/>
      <c r="EF1058" s="3"/>
      <c r="EG1058" s="3"/>
      <c r="EH1058" s="3"/>
    </row>
    <row r="1059" spans="1:138" s="82" customFormat="1" x14ac:dyDescent="0.2">
      <c r="A1059" s="3"/>
      <c r="B1059" s="167"/>
      <c r="C1059" s="3"/>
      <c r="D1059" s="3"/>
      <c r="E1059" s="31"/>
      <c r="F1059" s="133"/>
      <c r="G1059" s="3"/>
      <c r="H1059" s="31"/>
      <c r="I1059" s="31"/>
      <c r="J1059" s="3"/>
      <c r="K1059" s="3"/>
      <c r="L1059" s="3"/>
      <c r="M1059" s="3"/>
      <c r="N1059" s="3"/>
      <c r="O1059" s="3"/>
      <c r="P1059" s="3"/>
      <c r="Q1059" s="3"/>
      <c r="R1059" s="32"/>
      <c r="S1059" s="32"/>
      <c r="T1059" s="3"/>
      <c r="U1059" s="33"/>
      <c r="V1059" s="33"/>
      <c r="W1059" s="3"/>
      <c r="X1059" s="3"/>
      <c r="Y1059" s="3"/>
      <c r="Z1059" s="3"/>
      <c r="AA1059" s="3"/>
      <c r="AB1059" s="3"/>
      <c r="AC1059" s="3"/>
      <c r="AD1059" s="32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4"/>
      <c r="AT1059" s="3"/>
      <c r="AU1059" s="3"/>
      <c r="AV1059" s="3"/>
      <c r="AW1059" s="3"/>
      <c r="AX1059" s="4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84"/>
      <c r="BZ1059" s="84"/>
      <c r="CA1059" s="84"/>
      <c r="CB1059" s="84"/>
      <c r="CC1059" s="84"/>
      <c r="CD1059" s="84"/>
      <c r="CE1059" s="84"/>
      <c r="CF1059" s="84"/>
      <c r="CG1059" s="84"/>
      <c r="CH1059" s="84"/>
      <c r="CI1059" s="84"/>
      <c r="CJ1059" s="84"/>
      <c r="CK1059" s="84"/>
      <c r="CL1059" s="84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220"/>
      <c r="CY1059" s="220"/>
      <c r="CZ1059" s="220"/>
      <c r="DA1059" s="220"/>
      <c r="DB1059" s="237"/>
      <c r="DC1059" s="238"/>
      <c r="DD1059" s="238"/>
      <c r="DE1059" s="238"/>
      <c r="DF1059" s="238"/>
      <c r="DG1059" s="238"/>
      <c r="DH1059" s="238"/>
      <c r="DI1059" s="238"/>
      <c r="DJ1059" s="238"/>
      <c r="DK1059" s="238"/>
      <c r="DL1059" s="238"/>
      <c r="DM1059" s="238"/>
      <c r="DN1059" s="238"/>
      <c r="DO1059" s="238"/>
      <c r="DP1059" s="238"/>
      <c r="DQ1059" s="238"/>
      <c r="DR1059" s="238"/>
      <c r="DS1059" s="238"/>
      <c r="DT1059" s="238"/>
      <c r="DU1059" s="238"/>
      <c r="DV1059" s="238"/>
      <c r="DW1059" s="238"/>
      <c r="DX1059" s="238"/>
      <c r="DY1059" s="238"/>
      <c r="DZ1059" s="238"/>
      <c r="EA1059" s="238"/>
      <c r="EB1059" s="238"/>
      <c r="EC1059" s="238"/>
      <c r="ED1059" s="3"/>
      <c r="EE1059" s="3"/>
      <c r="EF1059" s="3"/>
      <c r="EG1059" s="3"/>
      <c r="EH1059" s="3"/>
    </row>
    <row r="1060" spans="1:138" s="82" customFormat="1" x14ac:dyDescent="0.2">
      <c r="A1060" s="3"/>
      <c r="B1060" s="167"/>
      <c r="C1060" s="3"/>
      <c r="D1060" s="3"/>
      <c r="E1060" s="31"/>
      <c r="F1060" s="133"/>
      <c r="G1060" s="3"/>
      <c r="H1060" s="31"/>
      <c r="I1060" s="31"/>
      <c r="J1060" s="3"/>
      <c r="K1060" s="3"/>
      <c r="L1060" s="3"/>
      <c r="M1060" s="3"/>
      <c r="N1060" s="3"/>
      <c r="O1060" s="3"/>
      <c r="P1060" s="3"/>
      <c r="Q1060" s="3"/>
      <c r="R1060" s="32"/>
      <c r="S1060" s="32"/>
      <c r="T1060" s="3"/>
      <c r="U1060" s="33"/>
      <c r="V1060" s="33"/>
      <c r="W1060" s="3"/>
      <c r="X1060" s="3"/>
      <c r="Y1060" s="3"/>
      <c r="Z1060" s="3"/>
      <c r="AA1060" s="3"/>
      <c r="AB1060" s="3"/>
      <c r="AC1060" s="3"/>
      <c r="AD1060" s="32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4"/>
      <c r="AT1060" s="3"/>
      <c r="AU1060" s="3"/>
      <c r="AV1060" s="3"/>
      <c r="AW1060" s="3"/>
      <c r="AX1060" s="4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84"/>
      <c r="BZ1060" s="84"/>
      <c r="CA1060" s="84"/>
      <c r="CB1060" s="84"/>
      <c r="CC1060" s="84"/>
      <c r="CD1060" s="84"/>
      <c r="CE1060" s="84"/>
      <c r="CF1060" s="84"/>
      <c r="CG1060" s="84"/>
      <c r="CH1060" s="84"/>
      <c r="CI1060" s="84"/>
      <c r="CJ1060" s="84"/>
      <c r="CK1060" s="84"/>
      <c r="CL1060" s="84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220"/>
      <c r="CY1060" s="220"/>
      <c r="CZ1060" s="220"/>
      <c r="DA1060" s="220"/>
      <c r="DB1060" s="237"/>
      <c r="DC1060" s="238"/>
      <c r="DD1060" s="238"/>
      <c r="DE1060" s="238"/>
      <c r="DF1060" s="238"/>
      <c r="DG1060" s="238"/>
      <c r="DH1060" s="238"/>
      <c r="DI1060" s="238"/>
      <c r="DJ1060" s="238"/>
      <c r="DK1060" s="238"/>
      <c r="DL1060" s="238"/>
      <c r="DM1060" s="238"/>
      <c r="DN1060" s="238"/>
      <c r="DO1060" s="238"/>
      <c r="DP1060" s="238"/>
      <c r="DQ1060" s="238"/>
      <c r="DR1060" s="238"/>
      <c r="DS1060" s="238"/>
      <c r="DT1060" s="238"/>
      <c r="DU1060" s="238"/>
      <c r="DV1060" s="238"/>
      <c r="DW1060" s="238"/>
      <c r="DX1060" s="238"/>
      <c r="DY1060" s="238"/>
      <c r="DZ1060" s="238"/>
      <c r="EA1060" s="238"/>
      <c r="EB1060" s="238"/>
      <c r="EC1060" s="238"/>
      <c r="ED1060" s="3"/>
      <c r="EE1060" s="3"/>
      <c r="EF1060" s="3"/>
      <c r="EG1060" s="3"/>
      <c r="EH1060" s="3"/>
    </row>
    <row r="1061" spans="1:138" s="82" customFormat="1" x14ac:dyDescent="0.2">
      <c r="A1061" s="3"/>
      <c r="B1061" s="167"/>
      <c r="C1061" s="3"/>
      <c r="D1061" s="3"/>
      <c r="E1061" s="31"/>
      <c r="F1061" s="133"/>
      <c r="G1061" s="3"/>
      <c r="H1061" s="31"/>
      <c r="I1061" s="31"/>
      <c r="J1061" s="3"/>
      <c r="K1061" s="3"/>
      <c r="L1061" s="3"/>
      <c r="M1061" s="3"/>
      <c r="N1061" s="3"/>
      <c r="O1061" s="3"/>
      <c r="P1061" s="3"/>
      <c r="Q1061" s="3"/>
      <c r="R1061" s="32"/>
      <c r="S1061" s="32"/>
      <c r="T1061" s="3"/>
      <c r="U1061" s="33"/>
      <c r="V1061" s="33"/>
      <c r="W1061" s="3"/>
      <c r="X1061" s="3"/>
      <c r="Y1061" s="3"/>
      <c r="Z1061" s="3"/>
      <c r="AA1061" s="3"/>
      <c r="AB1061" s="3"/>
      <c r="AC1061" s="3"/>
      <c r="AD1061" s="32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4"/>
      <c r="AT1061" s="3"/>
      <c r="AU1061" s="3"/>
      <c r="AV1061" s="3"/>
      <c r="AW1061" s="3"/>
      <c r="AX1061" s="4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84"/>
      <c r="BZ1061" s="84"/>
      <c r="CA1061" s="84"/>
      <c r="CB1061" s="84"/>
      <c r="CC1061" s="84"/>
      <c r="CD1061" s="84"/>
      <c r="CE1061" s="84"/>
      <c r="CF1061" s="84"/>
      <c r="CG1061" s="84"/>
      <c r="CH1061" s="84"/>
      <c r="CI1061" s="84"/>
      <c r="CJ1061" s="84"/>
      <c r="CK1061" s="84"/>
      <c r="CL1061" s="84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220"/>
      <c r="CY1061" s="220"/>
      <c r="CZ1061" s="220"/>
      <c r="DA1061" s="220"/>
      <c r="DB1061" s="237"/>
      <c r="DC1061" s="238"/>
      <c r="DD1061" s="238"/>
      <c r="DE1061" s="238"/>
      <c r="DF1061" s="238"/>
      <c r="DG1061" s="238"/>
      <c r="DH1061" s="238"/>
      <c r="DI1061" s="238"/>
      <c r="DJ1061" s="238"/>
      <c r="DK1061" s="238"/>
      <c r="DL1061" s="238"/>
      <c r="DM1061" s="238"/>
      <c r="DN1061" s="238"/>
      <c r="DO1061" s="238"/>
      <c r="DP1061" s="238"/>
      <c r="DQ1061" s="238"/>
      <c r="DR1061" s="238"/>
      <c r="DS1061" s="238"/>
      <c r="DT1061" s="238"/>
      <c r="DU1061" s="238"/>
      <c r="DV1061" s="238"/>
      <c r="DW1061" s="238"/>
      <c r="DX1061" s="238"/>
      <c r="DY1061" s="238"/>
      <c r="DZ1061" s="238"/>
      <c r="EA1061" s="238"/>
      <c r="EB1061" s="238"/>
      <c r="EC1061" s="238"/>
      <c r="ED1061" s="3"/>
      <c r="EE1061" s="3"/>
      <c r="EF1061" s="3"/>
      <c r="EG1061" s="3"/>
      <c r="EH1061" s="3"/>
    </row>
    <row r="1062" spans="1:138" s="82" customFormat="1" x14ac:dyDescent="0.2">
      <c r="A1062" s="3"/>
      <c r="B1062" s="167"/>
      <c r="C1062" s="3"/>
      <c r="D1062" s="3"/>
      <c r="E1062" s="31"/>
      <c r="F1062" s="133"/>
      <c r="G1062" s="3"/>
      <c r="H1062" s="31"/>
      <c r="I1062" s="31"/>
      <c r="J1062" s="3"/>
      <c r="K1062" s="3"/>
      <c r="L1062" s="3"/>
      <c r="M1062" s="3"/>
      <c r="N1062" s="3"/>
      <c r="O1062" s="3"/>
      <c r="P1062" s="3"/>
      <c r="Q1062" s="3"/>
      <c r="R1062" s="32"/>
      <c r="S1062" s="32"/>
      <c r="T1062" s="3"/>
      <c r="U1062" s="33"/>
      <c r="V1062" s="33"/>
      <c r="W1062" s="3"/>
      <c r="X1062" s="3"/>
      <c r="Y1062" s="3"/>
      <c r="Z1062" s="3"/>
      <c r="AA1062" s="3"/>
      <c r="AB1062" s="3"/>
      <c r="AC1062" s="3"/>
      <c r="AD1062" s="32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4"/>
      <c r="AT1062" s="3"/>
      <c r="AU1062" s="3"/>
      <c r="AV1062" s="3"/>
      <c r="AW1062" s="3"/>
      <c r="AX1062" s="4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84"/>
      <c r="BZ1062" s="84"/>
      <c r="CA1062" s="84"/>
      <c r="CB1062" s="84"/>
      <c r="CC1062" s="84"/>
      <c r="CD1062" s="84"/>
      <c r="CE1062" s="84"/>
      <c r="CF1062" s="84"/>
      <c r="CG1062" s="84"/>
      <c r="CH1062" s="84"/>
      <c r="CI1062" s="84"/>
      <c r="CJ1062" s="84"/>
      <c r="CK1062" s="84"/>
      <c r="CL1062" s="84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220"/>
      <c r="CY1062" s="220"/>
      <c r="CZ1062" s="220"/>
      <c r="DA1062" s="220"/>
      <c r="DB1062" s="237"/>
      <c r="DC1062" s="238"/>
      <c r="DD1062" s="238"/>
      <c r="DE1062" s="238"/>
      <c r="DF1062" s="238"/>
      <c r="DG1062" s="238"/>
      <c r="DH1062" s="238"/>
      <c r="DI1062" s="238"/>
      <c r="DJ1062" s="238"/>
      <c r="DK1062" s="238"/>
      <c r="DL1062" s="238"/>
      <c r="DM1062" s="238"/>
      <c r="DN1062" s="238"/>
      <c r="DO1062" s="238"/>
      <c r="DP1062" s="238"/>
      <c r="DQ1062" s="238"/>
      <c r="DR1062" s="238"/>
      <c r="DS1062" s="238"/>
      <c r="DT1062" s="238"/>
      <c r="DU1062" s="238"/>
      <c r="DV1062" s="238"/>
      <c r="DW1062" s="238"/>
      <c r="DX1062" s="238"/>
      <c r="DY1062" s="238"/>
      <c r="DZ1062" s="238"/>
      <c r="EA1062" s="238"/>
      <c r="EB1062" s="238"/>
      <c r="EC1062" s="238"/>
      <c r="ED1062" s="3"/>
      <c r="EE1062" s="3"/>
      <c r="EF1062" s="3"/>
      <c r="EG1062" s="3"/>
      <c r="EH1062" s="3"/>
    </row>
    <row r="1063" spans="1:138" s="82" customFormat="1" x14ac:dyDescent="0.2">
      <c r="A1063" s="3"/>
      <c r="B1063" s="167"/>
      <c r="C1063" s="3"/>
      <c r="D1063" s="3"/>
      <c r="E1063" s="31"/>
      <c r="F1063" s="133"/>
      <c r="G1063" s="3"/>
      <c r="H1063" s="31"/>
      <c r="I1063" s="31"/>
      <c r="J1063" s="3"/>
      <c r="K1063" s="3"/>
      <c r="L1063" s="3"/>
      <c r="M1063" s="3"/>
      <c r="N1063" s="3"/>
      <c r="O1063" s="3"/>
      <c r="P1063" s="3"/>
      <c r="Q1063" s="3"/>
      <c r="R1063" s="32"/>
      <c r="S1063" s="32"/>
      <c r="T1063" s="3"/>
      <c r="U1063" s="33"/>
      <c r="V1063" s="33"/>
      <c r="W1063" s="3"/>
      <c r="X1063" s="3"/>
      <c r="Y1063" s="3"/>
      <c r="Z1063" s="3"/>
      <c r="AA1063" s="3"/>
      <c r="AB1063" s="3"/>
      <c r="AC1063" s="3"/>
      <c r="AD1063" s="32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4"/>
      <c r="AT1063" s="3"/>
      <c r="AU1063" s="3"/>
      <c r="AV1063" s="3"/>
      <c r="AW1063" s="3"/>
      <c r="AX1063" s="4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84"/>
      <c r="BZ1063" s="84"/>
      <c r="CA1063" s="84"/>
      <c r="CB1063" s="84"/>
      <c r="CC1063" s="84"/>
      <c r="CD1063" s="84"/>
      <c r="CE1063" s="84"/>
      <c r="CF1063" s="84"/>
      <c r="CG1063" s="84"/>
      <c r="CH1063" s="84"/>
      <c r="CI1063" s="84"/>
      <c r="CJ1063" s="84"/>
      <c r="CK1063" s="84"/>
      <c r="CL1063" s="84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220"/>
      <c r="CY1063" s="220"/>
      <c r="CZ1063" s="220"/>
      <c r="DA1063" s="220"/>
      <c r="DB1063" s="237"/>
      <c r="DC1063" s="238"/>
      <c r="DD1063" s="238"/>
      <c r="DE1063" s="238"/>
      <c r="DF1063" s="238"/>
      <c r="DG1063" s="238"/>
      <c r="DH1063" s="238"/>
      <c r="DI1063" s="238"/>
      <c r="DJ1063" s="238"/>
      <c r="DK1063" s="238"/>
      <c r="DL1063" s="238"/>
      <c r="DM1063" s="238"/>
      <c r="DN1063" s="238"/>
      <c r="DO1063" s="238"/>
      <c r="DP1063" s="238"/>
      <c r="DQ1063" s="238"/>
      <c r="DR1063" s="238"/>
      <c r="DS1063" s="238"/>
      <c r="DT1063" s="238"/>
      <c r="DU1063" s="238"/>
      <c r="DV1063" s="238"/>
      <c r="DW1063" s="238"/>
      <c r="DX1063" s="238"/>
      <c r="DY1063" s="238"/>
      <c r="DZ1063" s="238"/>
      <c r="EA1063" s="238"/>
      <c r="EB1063" s="238"/>
      <c r="EC1063" s="238"/>
      <c r="ED1063" s="3"/>
      <c r="EE1063" s="3"/>
      <c r="EF1063" s="3"/>
      <c r="EG1063" s="3"/>
      <c r="EH1063" s="3"/>
    </row>
    <row r="1064" spans="1:138" s="82" customFormat="1" x14ac:dyDescent="0.2">
      <c r="A1064" s="3"/>
      <c r="B1064" s="167"/>
      <c r="C1064" s="3"/>
      <c r="D1064" s="3"/>
      <c r="E1064" s="31"/>
      <c r="F1064" s="133"/>
      <c r="G1064" s="3"/>
      <c r="H1064" s="31"/>
      <c r="I1064" s="31"/>
      <c r="J1064" s="3"/>
      <c r="K1064" s="3"/>
      <c r="L1064" s="3"/>
      <c r="M1064" s="3"/>
      <c r="N1064" s="3"/>
      <c r="O1064" s="3"/>
      <c r="P1064" s="3"/>
      <c r="Q1064" s="3"/>
      <c r="R1064" s="32"/>
      <c r="S1064" s="32"/>
      <c r="T1064" s="3"/>
      <c r="U1064" s="33"/>
      <c r="V1064" s="33"/>
      <c r="W1064" s="3"/>
      <c r="X1064" s="3"/>
      <c r="Y1064" s="3"/>
      <c r="Z1064" s="3"/>
      <c r="AA1064" s="3"/>
      <c r="AB1064" s="3"/>
      <c r="AC1064" s="3"/>
      <c r="AD1064" s="32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4"/>
      <c r="AT1064" s="3"/>
      <c r="AU1064" s="3"/>
      <c r="AV1064" s="3"/>
      <c r="AW1064" s="3"/>
      <c r="AX1064" s="4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84"/>
      <c r="BZ1064" s="84"/>
      <c r="CA1064" s="84"/>
      <c r="CB1064" s="84"/>
      <c r="CC1064" s="84"/>
      <c r="CD1064" s="84"/>
      <c r="CE1064" s="84"/>
      <c r="CF1064" s="84"/>
      <c r="CG1064" s="84"/>
      <c r="CH1064" s="84"/>
      <c r="CI1064" s="84"/>
      <c r="CJ1064" s="84"/>
      <c r="CK1064" s="84"/>
      <c r="CL1064" s="84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220"/>
      <c r="CY1064" s="220"/>
      <c r="CZ1064" s="220"/>
      <c r="DA1064" s="220"/>
      <c r="DB1064" s="237"/>
      <c r="DC1064" s="238"/>
      <c r="DD1064" s="238"/>
      <c r="DE1064" s="238"/>
      <c r="DF1064" s="238"/>
      <c r="DG1064" s="238"/>
      <c r="DH1064" s="238"/>
      <c r="DI1064" s="238"/>
      <c r="DJ1064" s="238"/>
      <c r="DK1064" s="238"/>
      <c r="DL1064" s="238"/>
      <c r="DM1064" s="238"/>
      <c r="DN1064" s="238"/>
      <c r="DO1064" s="238"/>
      <c r="DP1064" s="238"/>
      <c r="DQ1064" s="238"/>
      <c r="DR1064" s="238"/>
      <c r="DS1064" s="238"/>
      <c r="DT1064" s="238"/>
      <c r="DU1064" s="238"/>
      <c r="DV1064" s="238"/>
      <c r="DW1064" s="238"/>
      <c r="DX1064" s="238"/>
      <c r="DY1064" s="238"/>
      <c r="DZ1064" s="238"/>
      <c r="EA1064" s="238"/>
      <c r="EB1064" s="238"/>
      <c r="EC1064" s="238"/>
      <c r="ED1064" s="3"/>
      <c r="EE1064" s="3"/>
      <c r="EF1064" s="3"/>
      <c r="EG1064" s="3"/>
      <c r="EH1064" s="3"/>
    </row>
    <row r="1065" spans="1:138" s="82" customFormat="1" x14ac:dyDescent="0.2">
      <c r="A1065" s="3"/>
      <c r="B1065" s="167"/>
      <c r="C1065" s="3"/>
      <c r="D1065" s="3"/>
      <c r="E1065" s="31"/>
      <c r="F1065" s="133"/>
      <c r="G1065" s="3"/>
      <c r="H1065" s="31"/>
      <c r="I1065" s="31"/>
      <c r="J1065" s="3"/>
      <c r="K1065" s="3"/>
      <c r="L1065" s="3"/>
      <c r="M1065" s="3"/>
      <c r="N1065" s="3"/>
      <c r="O1065" s="3"/>
      <c r="P1065" s="3"/>
      <c r="Q1065" s="3"/>
      <c r="R1065" s="32"/>
      <c r="S1065" s="32"/>
      <c r="T1065" s="3"/>
      <c r="U1065" s="33"/>
      <c r="V1065" s="33"/>
      <c r="W1065" s="3"/>
      <c r="X1065" s="3"/>
      <c r="Y1065" s="3"/>
      <c r="Z1065" s="3"/>
      <c r="AA1065" s="3"/>
      <c r="AB1065" s="3"/>
      <c r="AC1065" s="3"/>
      <c r="AD1065" s="32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4"/>
      <c r="AT1065" s="3"/>
      <c r="AU1065" s="3"/>
      <c r="AV1065" s="3"/>
      <c r="AW1065" s="3"/>
      <c r="AX1065" s="4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84"/>
      <c r="BZ1065" s="84"/>
      <c r="CA1065" s="84"/>
      <c r="CB1065" s="84"/>
      <c r="CC1065" s="84"/>
      <c r="CD1065" s="84"/>
      <c r="CE1065" s="84"/>
      <c r="CF1065" s="84"/>
      <c r="CG1065" s="84"/>
      <c r="CH1065" s="84"/>
      <c r="CI1065" s="84"/>
      <c r="CJ1065" s="84"/>
      <c r="CK1065" s="84"/>
      <c r="CL1065" s="84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220"/>
      <c r="CY1065" s="220"/>
      <c r="CZ1065" s="220"/>
      <c r="DA1065" s="220"/>
      <c r="DB1065" s="237"/>
      <c r="DC1065" s="238"/>
      <c r="DD1065" s="238"/>
      <c r="DE1065" s="238"/>
      <c r="DF1065" s="238"/>
      <c r="DG1065" s="238"/>
      <c r="DH1065" s="238"/>
      <c r="DI1065" s="238"/>
      <c r="DJ1065" s="238"/>
      <c r="DK1065" s="238"/>
      <c r="DL1065" s="238"/>
      <c r="DM1065" s="238"/>
      <c r="DN1065" s="238"/>
      <c r="DO1065" s="238"/>
      <c r="DP1065" s="238"/>
      <c r="DQ1065" s="238"/>
      <c r="DR1065" s="238"/>
      <c r="DS1065" s="238"/>
      <c r="DT1065" s="238"/>
      <c r="DU1065" s="238"/>
      <c r="DV1065" s="238"/>
      <c r="DW1065" s="238"/>
      <c r="DX1065" s="238"/>
      <c r="DY1065" s="238"/>
      <c r="DZ1065" s="238"/>
      <c r="EA1065" s="238"/>
      <c r="EB1065" s="238"/>
      <c r="EC1065" s="238"/>
      <c r="ED1065" s="3"/>
      <c r="EE1065" s="3"/>
      <c r="EF1065" s="3"/>
      <c r="EG1065" s="3"/>
      <c r="EH1065" s="3"/>
    </row>
    <row r="1066" spans="1:138" s="82" customFormat="1" x14ac:dyDescent="0.2">
      <c r="A1066" s="3"/>
      <c r="B1066" s="167"/>
      <c r="C1066" s="3"/>
      <c r="D1066" s="3"/>
      <c r="E1066" s="31"/>
      <c r="F1066" s="133"/>
      <c r="G1066" s="3"/>
      <c r="H1066" s="31"/>
      <c r="I1066" s="31"/>
      <c r="J1066" s="3"/>
      <c r="K1066" s="3"/>
      <c r="L1066" s="3"/>
      <c r="M1066" s="3"/>
      <c r="N1066" s="3"/>
      <c r="O1066" s="3"/>
      <c r="P1066" s="3"/>
      <c r="Q1066" s="3"/>
      <c r="R1066" s="32"/>
      <c r="S1066" s="32"/>
      <c r="T1066" s="3"/>
      <c r="U1066" s="33"/>
      <c r="V1066" s="33"/>
      <c r="W1066" s="3"/>
      <c r="X1066" s="3"/>
      <c r="Y1066" s="3"/>
      <c r="Z1066" s="3"/>
      <c r="AA1066" s="3"/>
      <c r="AB1066" s="3"/>
      <c r="AC1066" s="3"/>
      <c r="AD1066" s="32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4"/>
      <c r="AT1066" s="3"/>
      <c r="AU1066" s="3"/>
      <c r="AV1066" s="3"/>
      <c r="AW1066" s="3"/>
      <c r="AX1066" s="4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84"/>
      <c r="BZ1066" s="84"/>
      <c r="CA1066" s="84"/>
      <c r="CB1066" s="84"/>
      <c r="CC1066" s="84"/>
      <c r="CD1066" s="84"/>
      <c r="CE1066" s="84"/>
      <c r="CF1066" s="84"/>
      <c r="CG1066" s="84"/>
      <c r="CH1066" s="84"/>
      <c r="CI1066" s="84"/>
      <c r="CJ1066" s="84"/>
      <c r="CK1066" s="84"/>
      <c r="CL1066" s="84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220"/>
      <c r="CY1066" s="220"/>
      <c r="CZ1066" s="220"/>
      <c r="DA1066" s="220"/>
      <c r="DB1066" s="237"/>
      <c r="DC1066" s="238"/>
      <c r="DD1066" s="238"/>
      <c r="DE1066" s="238"/>
      <c r="DF1066" s="238"/>
      <c r="DG1066" s="238"/>
      <c r="DH1066" s="238"/>
      <c r="DI1066" s="238"/>
      <c r="DJ1066" s="238"/>
      <c r="DK1066" s="238"/>
      <c r="DL1066" s="238"/>
      <c r="DM1066" s="238"/>
      <c r="DN1066" s="238"/>
      <c r="DO1066" s="238"/>
      <c r="DP1066" s="238"/>
      <c r="DQ1066" s="238"/>
      <c r="DR1066" s="238"/>
      <c r="DS1066" s="238"/>
      <c r="DT1066" s="238"/>
      <c r="DU1066" s="238"/>
      <c r="DV1066" s="238"/>
      <c r="DW1066" s="238"/>
      <c r="DX1066" s="238"/>
      <c r="DY1066" s="238"/>
      <c r="DZ1066" s="238"/>
      <c r="EA1066" s="238"/>
      <c r="EB1066" s="238"/>
      <c r="EC1066" s="238"/>
      <c r="ED1066" s="3"/>
      <c r="EE1066" s="3"/>
      <c r="EF1066" s="3"/>
      <c r="EG1066" s="3"/>
      <c r="EH1066" s="3"/>
    </row>
    <row r="1067" spans="1:138" s="82" customFormat="1" x14ac:dyDescent="0.2">
      <c r="A1067" s="3"/>
      <c r="B1067" s="167"/>
      <c r="C1067" s="3"/>
      <c r="D1067" s="3"/>
      <c r="E1067" s="31"/>
      <c r="F1067" s="133"/>
      <c r="G1067" s="3"/>
      <c r="H1067" s="31"/>
      <c r="I1067" s="31"/>
      <c r="J1067" s="3"/>
      <c r="K1067" s="3"/>
      <c r="L1067" s="3"/>
      <c r="M1067" s="3"/>
      <c r="N1067" s="3"/>
      <c r="O1067" s="3"/>
      <c r="P1067" s="3"/>
      <c r="Q1067" s="3"/>
      <c r="R1067" s="32"/>
      <c r="S1067" s="32"/>
      <c r="T1067" s="3"/>
      <c r="U1067" s="33"/>
      <c r="V1067" s="33"/>
      <c r="W1067" s="3"/>
      <c r="X1067" s="3"/>
      <c r="Y1067" s="3"/>
      <c r="Z1067" s="3"/>
      <c r="AA1067" s="3"/>
      <c r="AB1067" s="3"/>
      <c r="AC1067" s="3"/>
      <c r="AD1067" s="32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4"/>
      <c r="AT1067" s="3"/>
      <c r="AU1067" s="3"/>
      <c r="AV1067" s="3"/>
      <c r="AW1067" s="3"/>
      <c r="AX1067" s="4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84"/>
      <c r="BZ1067" s="84"/>
      <c r="CA1067" s="84"/>
      <c r="CB1067" s="84"/>
      <c r="CC1067" s="84"/>
      <c r="CD1067" s="84"/>
      <c r="CE1067" s="84"/>
      <c r="CF1067" s="84"/>
      <c r="CG1067" s="84"/>
      <c r="CH1067" s="84"/>
      <c r="CI1067" s="84"/>
      <c r="CJ1067" s="84"/>
      <c r="CK1067" s="84"/>
      <c r="CL1067" s="84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220"/>
      <c r="CY1067" s="220"/>
      <c r="CZ1067" s="220"/>
      <c r="DA1067" s="220"/>
      <c r="DB1067" s="237"/>
      <c r="DC1067" s="238"/>
      <c r="DD1067" s="238"/>
      <c r="DE1067" s="238"/>
      <c r="DF1067" s="238"/>
      <c r="DG1067" s="238"/>
      <c r="DH1067" s="238"/>
      <c r="DI1067" s="238"/>
      <c r="DJ1067" s="238"/>
      <c r="DK1067" s="238"/>
      <c r="DL1067" s="238"/>
      <c r="DM1067" s="238"/>
      <c r="DN1067" s="238"/>
      <c r="DO1067" s="238"/>
      <c r="DP1067" s="238"/>
      <c r="DQ1067" s="238"/>
      <c r="DR1067" s="238"/>
      <c r="DS1067" s="238"/>
      <c r="DT1067" s="238"/>
      <c r="DU1067" s="238"/>
      <c r="DV1067" s="238"/>
      <c r="DW1067" s="238"/>
      <c r="DX1067" s="238"/>
      <c r="DY1067" s="238"/>
      <c r="DZ1067" s="238"/>
      <c r="EA1067" s="238"/>
      <c r="EB1067" s="238"/>
      <c r="EC1067" s="238"/>
      <c r="ED1067" s="3"/>
      <c r="EE1067" s="3"/>
      <c r="EF1067" s="3"/>
      <c r="EG1067" s="3"/>
      <c r="EH1067" s="3"/>
    </row>
    <row r="1068" spans="1:138" s="82" customFormat="1" x14ac:dyDescent="0.2">
      <c r="A1068" s="3"/>
      <c r="B1068" s="167"/>
      <c r="C1068" s="3"/>
      <c r="D1068" s="3"/>
      <c r="E1068" s="31"/>
      <c r="F1068" s="133"/>
      <c r="G1068" s="3"/>
      <c r="H1068" s="31"/>
      <c r="I1068" s="31"/>
      <c r="J1068" s="3"/>
      <c r="K1068" s="3"/>
      <c r="L1068" s="3"/>
      <c r="M1068" s="3"/>
      <c r="N1068" s="3"/>
      <c r="O1068" s="3"/>
      <c r="P1068" s="3"/>
      <c r="Q1068" s="3"/>
      <c r="R1068" s="32"/>
      <c r="S1068" s="32"/>
      <c r="T1068" s="3"/>
      <c r="U1068" s="33"/>
      <c r="V1068" s="33"/>
      <c r="W1068" s="3"/>
      <c r="X1068" s="3"/>
      <c r="Y1068" s="3"/>
      <c r="Z1068" s="3"/>
      <c r="AA1068" s="3"/>
      <c r="AB1068" s="3"/>
      <c r="AC1068" s="3"/>
      <c r="AD1068" s="32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4"/>
      <c r="AT1068" s="3"/>
      <c r="AU1068" s="3"/>
      <c r="AV1068" s="3"/>
      <c r="AW1068" s="3"/>
      <c r="AX1068" s="4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84"/>
      <c r="BZ1068" s="84"/>
      <c r="CA1068" s="84"/>
      <c r="CB1068" s="84"/>
      <c r="CC1068" s="84"/>
      <c r="CD1068" s="84"/>
      <c r="CE1068" s="84"/>
      <c r="CF1068" s="84"/>
      <c r="CG1068" s="84"/>
      <c r="CH1068" s="84"/>
      <c r="CI1068" s="84"/>
      <c r="CJ1068" s="84"/>
      <c r="CK1068" s="84"/>
      <c r="CL1068" s="84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220"/>
      <c r="CY1068" s="220"/>
      <c r="CZ1068" s="220"/>
      <c r="DA1068" s="220"/>
      <c r="DB1068" s="237"/>
      <c r="DC1068" s="238"/>
      <c r="DD1068" s="238"/>
      <c r="DE1068" s="238"/>
      <c r="DF1068" s="238"/>
      <c r="DG1068" s="238"/>
      <c r="DH1068" s="238"/>
      <c r="DI1068" s="238"/>
      <c r="DJ1068" s="238"/>
      <c r="DK1068" s="238"/>
      <c r="DL1068" s="238"/>
      <c r="DM1068" s="238"/>
      <c r="DN1068" s="238"/>
      <c r="DO1068" s="238"/>
      <c r="DP1068" s="238"/>
      <c r="DQ1068" s="238"/>
      <c r="DR1068" s="238"/>
      <c r="DS1068" s="238"/>
      <c r="DT1068" s="238"/>
      <c r="DU1068" s="238"/>
      <c r="DV1068" s="238"/>
      <c r="DW1068" s="238"/>
      <c r="DX1068" s="238"/>
      <c r="DY1068" s="238"/>
      <c r="DZ1068" s="238"/>
      <c r="EA1068" s="238"/>
      <c r="EB1068" s="238"/>
      <c r="EC1068" s="238"/>
      <c r="ED1068" s="3"/>
      <c r="EE1068" s="3"/>
      <c r="EF1068" s="3"/>
      <c r="EG1068" s="3"/>
      <c r="EH1068" s="3"/>
    </row>
    <row r="1069" spans="1:138" s="82" customFormat="1" x14ac:dyDescent="0.2">
      <c r="A1069" s="3"/>
      <c r="B1069" s="167"/>
      <c r="C1069" s="3"/>
      <c r="D1069" s="3"/>
      <c r="E1069" s="31"/>
      <c r="F1069" s="133"/>
      <c r="G1069" s="3"/>
      <c r="H1069" s="31"/>
      <c r="I1069" s="31"/>
      <c r="J1069" s="3"/>
      <c r="K1069" s="3"/>
      <c r="L1069" s="3"/>
      <c r="M1069" s="3"/>
      <c r="N1069" s="3"/>
      <c r="O1069" s="3"/>
      <c r="P1069" s="3"/>
      <c r="Q1069" s="3"/>
      <c r="R1069" s="32"/>
      <c r="S1069" s="32"/>
      <c r="T1069" s="3"/>
      <c r="U1069" s="33"/>
      <c r="V1069" s="33"/>
      <c r="W1069" s="3"/>
      <c r="X1069" s="3"/>
      <c r="Y1069" s="3"/>
      <c r="Z1069" s="3"/>
      <c r="AA1069" s="3"/>
      <c r="AB1069" s="3"/>
      <c r="AC1069" s="3"/>
      <c r="AD1069" s="32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4"/>
      <c r="AT1069" s="3"/>
      <c r="AU1069" s="3"/>
      <c r="AV1069" s="3"/>
      <c r="AW1069" s="3"/>
      <c r="AX1069" s="4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84"/>
      <c r="BZ1069" s="84"/>
      <c r="CA1069" s="84"/>
      <c r="CB1069" s="84"/>
      <c r="CC1069" s="84"/>
      <c r="CD1069" s="84"/>
      <c r="CE1069" s="84"/>
      <c r="CF1069" s="84"/>
      <c r="CG1069" s="84"/>
      <c r="CH1069" s="84"/>
      <c r="CI1069" s="84"/>
      <c r="CJ1069" s="84"/>
      <c r="CK1069" s="84"/>
      <c r="CL1069" s="84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220"/>
      <c r="CY1069" s="220"/>
      <c r="CZ1069" s="220"/>
      <c r="DA1069" s="220"/>
      <c r="DB1069" s="237"/>
      <c r="DC1069" s="238"/>
      <c r="DD1069" s="238"/>
      <c r="DE1069" s="238"/>
      <c r="DF1069" s="238"/>
      <c r="DG1069" s="238"/>
      <c r="DH1069" s="238"/>
      <c r="DI1069" s="238"/>
      <c r="DJ1069" s="238"/>
      <c r="DK1069" s="238"/>
      <c r="DL1069" s="238"/>
      <c r="DM1069" s="238"/>
      <c r="DN1069" s="238"/>
      <c r="DO1069" s="238"/>
      <c r="DP1069" s="238"/>
      <c r="DQ1069" s="238"/>
      <c r="DR1069" s="238"/>
      <c r="DS1069" s="238"/>
      <c r="DT1069" s="238"/>
      <c r="DU1069" s="238"/>
      <c r="DV1069" s="238"/>
      <c r="DW1069" s="238"/>
      <c r="DX1069" s="238"/>
      <c r="DY1069" s="238"/>
      <c r="DZ1069" s="238"/>
      <c r="EA1069" s="238"/>
      <c r="EB1069" s="238"/>
      <c r="EC1069" s="238"/>
      <c r="ED1069" s="3"/>
      <c r="EE1069" s="3"/>
      <c r="EF1069" s="3"/>
      <c r="EG1069" s="3"/>
      <c r="EH1069" s="3"/>
    </row>
    <row r="1070" spans="1:138" s="82" customFormat="1" x14ac:dyDescent="0.2">
      <c r="A1070" s="3"/>
      <c r="B1070" s="167"/>
      <c r="C1070" s="3"/>
      <c r="D1070" s="3"/>
      <c r="E1070" s="31"/>
      <c r="F1070" s="133"/>
      <c r="G1070" s="3"/>
      <c r="H1070" s="31"/>
      <c r="I1070" s="31"/>
      <c r="J1070" s="3"/>
      <c r="K1070" s="3"/>
      <c r="L1070" s="3"/>
      <c r="M1070" s="3"/>
      <c r="N1070" s="3"/>
      <c r="O1070" s="3"/>
      <c r="P1070" s="3"/>
      <c r="Q1070" s="3"/>
      <c r="R1070" s="32"/>
      <c r="S1070" s="32"/>
      <c r="T1070" s="3"/>
      <c r="U1070" s="33"/>
      <c r="V1070" s="33"/>
      <c r="W1070" s="3"/>
      <c r="X1070" s="3"/>
      <c r="Y1070" s="3"/>
      <c r="Z1070" s="3"/>
      <c r="AA1070" s="3"/>
      <c r="AB1070" s="3"/>
      <c r="AC1070" s="3"/>
      <c r="AD1070" s="32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4"/>
      <c r="AT1070" s="3"/>
      <c r="AU1070" s="3"/>
      <c r="AV1070" s="3"/>
      <c r="AW1070" s="3"/>
      <c r="AX1070" s="4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84"/>
      <c r="BZ1070" s="84"/>
      <c r="CA1070" s="84"/>
      <c r="CB1070" s="84"/>
      <c r="CC1070" s="84"/>
      <c r="CD1070" s="84"/>
      <c r="CE1070" s="84"/>
      <c r="CF1070" s="84"/>
      <c r="CG1070" s="84"/>
      <c r="CH1070" s="84"/>
      <c r="CI1070" s="84"/>
      <c r="CJ1070" s="84"/>
      <c r="CK1070" s="84"/>
      <c r="CL1070" s="84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220"/>
      <c r="CY1070" s="220"/>
      <c r="CZ1070" s="220"/>
      <c r="DA1070" s="220"/>
      <c r="DB1070" s="237"/>
      <c r="DC1070" s="238"/>
      <c r="DD1070" s="238"/>
      <c r="DE1070" s="238"/>
      <c r="DF1070" s="238"/>
      <c r="DG1070" s="238"/>
      <c r="DH1070" s="238"/>
      <c r="DI1070" s="238"/>
      <c r="DJ1070" s="238"/>
      <c r="DK1070" s="238"/>
      <c r="DL1070" s="238"/>
      <c r="DM1070" s="238"/>
      <c r="DN1070" s="238"/>
      <c r="DO1070" s="238"/>
      <c r="DP1070" s="238"/>
      <c r="DQ1070" s="238"/>
      <c r="DR1070" s="238"/>
      <c r="DS1070" s="238"/>
      <c r="DT1070" s="238"/>
      <c r="DU1070" s="238"/>
      <c r="DV1070" s="238"/>
      <c r="DW1070" s="238"/>
      <c r="DX1070" s="238"/>
      <c r="DY1070" s="238"/>
      <c r="DZ1070" s="238"/>
      <c r="EA1070" s="238"/>
      <c r="EB1070" s="238"/>
      <c r="EC1070" s="238"/>
      <c r="ED1070" s="3"/>
      <c r="EE1070" s="3"/>
      <c r="EF1070" s="3"/>
      <c r="EG1070" s="3"/>
      <c r="EH1070" s="3"/>
    </row>
    <row r="1071" spans="1:138" s="82" customFormat="1" x14ac:dyDescent="0.2">
      <c r="A1071" s="3"/>
      <c r="B1071" s="167"/>
      <c r="C1071" s="3"/>
      <c r="D1071" s="3"/>
      <c r="E1071" s="31"/>
      <c r="F1071" s="133"/>
      <c r="G1071" s="3"/>
      <c r="H1071" s="31"/>
      <c r="I1071" s="31"/>
      <c r="J1071" s="3"/>
      <c r="K1071" s="3"/>
      <c r="L1071" s="3"/>
      <c r="M1071" s="3"/>
      <c r="N1071" s="3"/>
      <c r="O1071" s="3"/>
      <c r="P1071" s="3"/>
      <c r="Q1071" s="3"/>
      <c r="R1071" s="32"/>
      <c r="S1071" s="32"/>
      <c r="T1071" s="3"/>
      <c r="U1071" s="33"/>
      <c r="V1071" s="33"/>
      <c r="W1071" s="3"/>
      <c r="X1071" s="3"/>
      <c r="Y1071" s="3"/>
      <c r="Z1071" s="3"/>
      <c r="AA1071" s="3"/>
      <c r="AB1071" s="3"/>
      <c r="AC1071" s="3"/>
      <c r="AD1071" s="32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4"/>
      <c r="AT1071" s="3"/>
      <c r="AU1071" s="3"/>
      <c r="AV1071" s="3"/>
      <c r="AW1071" s="3"/>
      <c r="AX1071" s="4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84"/>
      <c r="BZ1071" s="84"/>
      <c r="CA1071" s="84"/>
      <c r="CB1071" s="84"/>
      <c r="CC1071" s="84"/>
      <c r="CD1071" s="84"/>
      <c r="CE1071" s="84"/>
      <c r="CF1071" s="84"/>
      <c r="CG1071" s="84"/>
      <c r="CH1071" s="84"/>
      <c r="CI1071" s="84"/>
      <c r="CJ1071" s="84"/>
      <c r="CK1071" s="84"/>
      <c r="CL1071" s="84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220"/>
      <c r="CY1071" s="220"/>
      <c r="CZ1071" s="220"/>
      <c r="DA1071" s="220"/>
      <c r="DB1071" s="237"/>
      <c r="DC1071" s="238"/>
      <c r="DD1071" s="238"/>
      <c r="DE1071" s="238"/>
      <c r="DF1071" s="238"/>
      <c r="DG1071" s="238"/>
      <c r="DH1071" s="238"/>
      <c r="DI1071" s="238"/>
      <c r="DJ1071" s="238"/>
      <c r="DK1071" s="238"/>
      <c r="DL1071" s="238"/>
      <c r="DM1071" s="238"/>
      <c r="DN1071" s="238"/>
      <c r="DO1071" s="238"/>
      <c r="DP1071" s="238"/>
      <c r="DQ1071" s="238"/>
      <c r="DR1071" s="238"/>
      <c r="DS1071" s="238"/>
      <c r="DT1071" s="238"/>
      <c r="DU1071" s="238"/>
      <c r="DV1071" s="238"/>
      <c r="DW1071" s="238"/>
      <c r="DX1071" s="238"/>
      <c r="DY1071" s="238"/>
      <c r="DZ1071" s="238"/>
      <c r="EA1071" s="238"/>
      <c r="EB1071" s="238"/>
      <c r="EC1071" s="238"/>
      <c r="ED1071" s="3"/>
      <c r="EE1071" s="3"/>
      <c r="EF1071" s="3"/>
      <c r="EG1071" s="3"/>
      <c r="EH1071" s="3"/>
    </row>
    <row r="1072" spans="1:138" s="82" customFormat="1" x14ac:dyDescent="0.2">
      <c r="A1072" s="3"/>
      <c r="B1072" s="167"/>
      <c r="C1072" s="3"/>
      <c r="D1072" s="3"/>
      <c r="E1072" s="31"/>
      <c r="F1072" s="133"/>
      <c r="G1072" s="3"/>
      <c r="H1072" s="31"/>
      <c r="I1072" s="31"/>
      <c r="J1072" s="3"/>
      <c r="K1072" s="3"/>
      <c r="L1072" s="3"/>
      <c r="M1072" s="3"/>
      <c r="N1072" s="3"/>
      <c r="O1072" s="3"/>
      <c r="P1072" s="3"/>
      <c r="Q1072" s="3"/>
      <c r="R1072" s="32"/>
      <c r="S1072" s="32"/>
      <c r="T1072" s="3"/>
      <c r="U1072" s="33"/>
      <c r="V1072" s="33"/>
      <c r="W1072" s="3"/>
      <c r="X1072" s="3"/>
      <c r="Y1072" s="3"/>
      <c r="Z1072" s="3"/>
      <c r="AA1072" s="3"/>
      <c r="AB1072" s="3"/>
      <c r="AC1072" s="3"/>
      <c r="AD1072" s="32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4"/>
      <c r="AT1072" s="3"/>
      <c r="AU1072" s="3"/>
      <c r="AV1072" s="3"/>
      <c r="AW1072" s="3"/>
      <c r="AX1072" s="4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84"/>
      <c r="BZ1072" s="84"/>
      <c r="CA1072" s="84"/>
      <c r="CB1072" s="84"/>
      <c r="CC1072" s="84"/>
      <c r="CD1072" s="84"/>
      <c r="CE1072" s="84"/>
      <c r="CF1072" s="84"/>
      <c r="CG1072" s="84"/>
      <c r="CH1072" s="84"/>
      <c r="CI1072" s="84"/>
      <c r="CJ1072" s="84"/>
      <c r="CK1072" s="84"/>
      <c r="CL1072" s="84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220"/>
      <c r="CY1072" s="220"/>
      <c r="CZ1072" s="220"/>
      <c r="DA1072" s="220"/>
      <c r="DB1072" s="237"/>
      <c r="DC1072" s="238"/>
      <c r="DD1072" s="238"/>
      <c r="DE1072" s="238"/>
      <c r="DF1072" s="238"/>
      <c r="DG1072" s="238"/>
      <c r="DH1072" s="238"/>
      <c r="DI1072" s="238"/>
      <c r="DJ1072" s="238"/>
      <c r="DK1072" s="238"/>
      <c r="DL1072" s="238"/>
      <c r="DM1072" s="238"/>
      <c r="DN1072" s="238"/>
      <c r="DO1072" s="238"/>
      <c r="DP1072" s="238"/>
      <c r="DQ1072" s="238"/>
      <c r="DR1072" s="238"/>
      <c r="DS1072" s="238"/>
      <c r="DT1072" s="238"/>
      <c r="DU1072" s="238"/>
      <c r="DV1072" s="238"/>
      <c r="DW1072" s="238"/>
      <c r="DX1072" s="238"/>
      <c r="DY1072" s="238"/>
      <c r="DZ1072" s="238"/>
      <c r="EA1072" s="238"/>
      <c r="EB1072" s="238"/>
      <c r="EC1072" s="238"/>
      <c r="ED1072" s="3"/>
      <c r="EE1072" s="3"/>
      <c r="EF1072" s="3"/>
      <c r="EG1072" s="3"/>
      <c r="EH1072" s="3"/>
    </row>
    <row r="1073" spans="5:40" x14ac:dyDescent="0.2">
      <c r="E1073" s="31"/>
      <c r="F1073" s="133"/>
      <c r="H1073" s="31"/>
      <c r="I1073" s="31"/>
      <c r="R1073" s="32"/>
      <c r="S1073" s="32"/>
      <c r="U1073" s="33"/>
      <c r="V1073" s="33"/>
      <c r="AD1073" s="32"/>
    </row>
    <row r="1074" spans="5:40" x14ac:dyDescent="0.2">
      <c r="E1074" s="31"/>
      <c r="F1074" s="133"/>
      <c r="H1074" s="31"/>
      <c r="I1074" s="31"/>
      <c r="R1074" s="32"/>
      <c r="S1074" s="32"/>
      <c r="U1074" s="33"/>
      <c r="V1074" s="33"/>
      <c r="AD1074" s="32"/>
    </row>
    <row r="1075" spans="5:40" x14ac:dyDescent="0.2">
      <c r="E1075" s="31"/>
      <c r="F1075" s="133"/>
      <c r="H1075" s="31"/>
      <c r="I1075" s="31"/>
      <c r="R1075" s="32"/>
      <c r="S1075" s="32"/>
      <c r="U1075" s="33"/>
      <c r="V1075" s="33"/>
      <c r="AD1075" s="32"/>
    </row>
    <row r="1076" spans="5:40" x14ac:dyDescent="0.2">
      <c r="E1076" s="31"/>
      <c r="F1076" s="133"/>
      <c r="H1076" s="31"/>
      <c r="I1076" s="31"/>
      <c r="R1076" s="32"/>
      <c r="S1076" s="32"/>
      <c r="U1076" s="33"/>
      <c r="V1076" s="33"/>
      <c r="AD1076" s="32"/>
    </row>
    <row r="1077" spans="5:40" x14ac:dyDescent="0.2">
      <c r="E1077" s="31"/>
      <c r="F1077" s="133"/>
      <c r="H1077" s="31"/>
      <c r="I1077" s="31"/>
      <c r="R1077" s="32"/>
      <c r="S1077" s="32"/>
      <c r="U1077" s="33"/>
      <c r="V1077" s="33"/>
      <c r="AD1077" s="32"/>
    </row>
    <row r="1078" spans="5:40" x14ac:dyDescent="0.2">
      <c r="E1078" s="31"/>
      <c r="F1078" s="133"/>
      <c r="H1078" s="31"/>
      <c r="I1078" s="31"/>
      <c r="R1078" s="32"/>
      <c r="S1078" s="32"/>
      <c r="U1078" s="33"/>
      <c r="V1078" s="33"/>
      <c r="AD1078" s="32"/>
    </row>
    <row r="1079" spans="5:40" x14ac:dyDescent="0.2">
      <c r="E1079" s="31"/>
      <c r="F1079" s="133"/>
      <c r="H1079" s="31"/>
      <c r="I1079" s="31"/>
      <c r="R1079" s="32"/>
      <c r="S1079" s="32"/>
      <c r="U1079" s="33"/>
      <c r="V1079" s="33"/>
      <c r="AD1079" s="32"/>
    </row>
    <row r="1080" spans="5:40" x14ac:dyDescent="0.2">
      <c r="E1080" s="31"/>
      <c r="F1080" s="133"/>
      <c r="G1080" s="32"/>
      <c r="H1080" s="31"/>
      <c r="I1080" s="31"/>
      <c r="J1080" s="32"/>
      <c r="K1080" s="32"/>
      <c r="N1080" s="32"/>
      <c r="O1080" s="32"/>
      <c r="P1080" s="32"/>
      <c r="Q1080" s="32"/>
      <c r="R1080" s="32"/>
      <c r="S1080" s="32"/>
      <c r="T1080" s="32"/>
      <c r="U1080" s="32"/>
      <c r="V1080" s="32"/>
      <c r="AD1080" s="32"/>
      <c r="AE1080" s="119"/>
      <c r="AF1080" s="32"/>
      <c r="AG1080" s="32"/>
      <c r="AH1080" s="32"/>
      <c r="AJ1080" s="32"/>
      <c r="AK1080" s="32"/>
      <c r="AL1080" s="32"/>
      <c r="AM1080" s="32"/>
      <c r="AN1080" s="32"/>
    </row>
    <row r="1081" spans="5:40" x14ac:dyDescent="0.2">
      <c r="R1081" s="3"/>
      <c r="S1081" s="3"/>
      <c r="AD1081" s="3"/>
    </row>
    <row r="1082" spans="5:40" x14ac:dyDescent="0.2">
      <c r="U1082" s="33"/>
      <c r="V1082" s="33"/>
    </row>
    <row r="1083" spans="5:40" x14ac:dyDescent="0.2">
      <c r="U1083" s="33"/>
      <c r="V1083" s="33"/>
    </row>
    <row r="1084" spans="5:40" x14ac:dyDescent="0.2">
      <c r="U1084" s="33"/>
      <c r="V1084" s="33"/>
    </row>
    <row r="1085" spans="5:40" x14ac:dyDescent="0.2">
      <c r="U1085" s="33"/>
      <c r="V1085" s="33"/>
    </row>
    <row r="1086" spans="5:40" x14ac:dyDescent="0.2">
      <c r="U1086" s="33"/>
      <c r="V1086" s="33"/>
    </row>
    <row r="1087" spans="5:40" x14ac:dyDescent="0.2">
      <c r="U1087" s="33"/>
      <c r="V1087" s="33"/>
    </row>
    <row r="1088" spans="5:40" x14ac:dyDescent="0.2">
      <c r="U1088" s="33"/>
      <c r="V1088" s="33"/>
    </row>
    <row r="1089" spans="21:22" x14ac:dyDescent="0.2">
      <c r="U1089" s="33"/>
      <c r="V1089" s="33"/>
    </row>
    <row r="1090" spans="21:22" x14ac:dyDescent="0.2">
      <c r="U1090" s="33"/>
      <c r="V1090" s="33"/>
    </row>
    <row r="1091" spans="21:22" x14ac:dyDescent="0.2">
      <c r="U1091" s="33"/>
      <c r="V1091" s="33"/>
    </row>
    <row r="1092" spans="21:22" x14ac:dyDescent="0.2">
      <c r="U1092" s="33"/>
      <c r="V1092" s="33"/>
    </row>
    <row r="1093" spans="21:22" x14ac:dyDescent="0.2">
      <c r="U1093" s="33"/>
      <c r="V1093" s="33"/>
    </row>
    <row r="1094" spans="21:22" x14ac:dyDescent="0.2">
      <c r="U1094" s="33"/>
      <c r="V1094" s="33"/>
    </row>
    <row r="1095" spans="21:22" x14ac:dyDescent="0.2">
      <c r="U1095" s="33"/>
      <c r="V1095" s="33"/>
    </row>
    <row r="1096" spans="21:22" x14ac:dyDescent="0.2">
      <c r="U1096" s="33"/>
      <c r="V1096" s="33"/>
    </row>
    <row r="1097" spans="21:22" x14ac:dyDescent="0.2">
      <c r="U1097" s="33"/>
      <c r="V1097" s="33"/>
    </row>
    <row r="1098" spans="21:22" x14ac:dyDescent="0.2">
      <c r="U1098" s="33"/>
      <c r="V1098" s="33"/>
    </row>
    <row r="1099" spans="21:22" x14ac:dyDescent="0.2">
      <c r="U1099" s="33"/>
      <c r="V1099" s="33"/>
    </row>
    <row r="1100" spans="21:22" x14ac:dyDescent="0.2">
      <c r="U1100" s="33"/>
      <c r="V1100" s="33"/>
    </row>
    <row r="1101" spans="21:22" x14ac:dyDescent="0.2">
      <c r="U1101" s="33"/>
      <c r="V1101" s="33"/>
    </row>
    <row r="1102" spans="21:22" x14ac:dyDescent="0.2">
      <c r="U1102" s="33"/>
      <c r="V1102" s="33"/>
    </row>
    <row r="1103" spans="21:22" x14ac:dyDescent="0.2">
      <c r="U1103" s="33"/>
      <c r="V1103" s="33"/>
    </row>
    <row r="1104" spans="21:22" x14ac:dyDescent="0.2">
      <c r="U1104" s="33"/>
      <c r="V1104" s="33"/>
    </row>
    <row r="1105" spans="21:22" x14ac:dyDescent="0.2">
      <c r="U1105" s="33"/>
      <c r="V1105" s="33"/>
    </row>
    <row r="1106" spans="21:22" x14ac:dyDescent="0.2">
      <c r="U1106" s="33"/>
      <c r="V1106" s="33"/>
    </row>
    <row r="1107" spans="21:22" x14ac:dyDescent="0.2">
      <c r="U1107" s="33"/>
      <c r="V1107" s="33"/>
    </row>
    <row r="1108" spans="21:22" x14ac:dyDescent="0.2">
      <c r="U1108" s="33"/>
      <c r="V1108" s="33"/>
    </row>
    <row r="1109" spans="21:22" x14ac:dyDescent="0.2">
      <c r="U1109" s="33"/>
      <c r="V1109" s="33"/>
    </row>
    <row r="1110" spans="21:22" x14ac:dyDescent="0.2">
      <c r="U1110" s="33"/>
      <c r="V1110" s="33"/>
    </row>
    <row r="1111" spans="21:22" x14ac:dyDescent="0.2">
      <c r="U1111" s="33"/>
      <c r="V1111" s="33"/>
    </row>
    <row r="1112" spans="21:22" x14ac:dyDescent="0.2">
      <c r="U1112" s="33"/>
      <c r="V1112" s="33"/>
    </row>
    <row r="1113" spans="21:22" x14ac:dyDescent="0.2">
      <c r="U1113" s="33"/>
      <c r="V1113" s="33"/>
    </row>
    <row r="1114" spans="21:22" x14ac:dyDescent="0.2">
      <c r="U1114" s="33"/>
      <c r="V1114" s="33"/>
    </row>
    <row r="1115" spans="21:22" x14ac:dyDescent="0.2">
      <c r="U1115" s="33"/>
      <c r="V1115" s="33"/>
    </row>
    <row r="1116" spans="21:22" x14ac:dyDescent="0.2">
      <c r="U1116" s="33"/>
      <c r="V1116" s="33"/>
    </row>
    <row r="1117" spans="21:22" x14ac:dyDescent="0.2">
      <c r="U1117" s="33"/>
      <c r="V1117" s="33"/>
    </row>
    <row r="1118" spans="21:22" x14ac:dyDescent="0.2">
      <c r="U1118" s="33"/>
      <c r="V1118" s="33"/>
    </row>
    <row r="1119" spans="21:22" x14ac:dyDescent="0.2">
      <c r="U1119" s="33"/>
      <c r="V1119" s="33"/>
    </row>
    <row r="1120" spans="21:22" x14ac:dyDescent="0.2">
      <c r="U1120" s="33"/>
      <c r="V1120" s="33"/>
    </row>
    <row r="1121" spans="21:22" x14ac:dyDescent="0.2">
      <c r="U1121" s="33"/>
      <c r="V1121" s="33"/>
    </row>
    <row r="1122" spans="21:22" x14ac:dyDescent="0.2">
      <c r="U1122" s="33"/>
      <c r="V1122" s="33"/>
    </row>
    <row r="1123" spans="21:22" x14ac:dyDescent="0.2">
      <c r="U1123" s="33"/>
      <c r="V1123" s="33"/>
    </row>
    <row r="1124" spans="21:22" x14ac:dyDescent="0.2">
      <c r="U1124" s="33"/>
      <c r="V1124" s="33"/>
    </row>
    <row r="1125" spans="21:22" x14ac:dyDescent="0.2">
      <c r="U1125" s="33"/>
      <c r="V1125" s="33"/>
    </row>
    <row r="1126" spans="21:22" x14ac:dyDescent="0.2">
      <c r="U1126" s="33"/>
      <c r="V1126" s="33"/>
    </row>
    <row r="1127" spans="21:22" x14ac:dyDescent="0.2">
      <c r="U1127" s="33"/>
      <c r="V1127" s="33"/>
    </row>
    <row r="1128" spans="21:22" x14ac:dyDescent="0.2">
      <c r="U1128" s="33"/>
      <c r="V1128" s="33"/>
    </row>
    <row r="1129" spans="21:22" x14ac:dyDescent="0.2">
      <c r="U1129" s="33"/>
      <c r="V1129" s="33"/>
    </row>
    <row r="1130" spans="21:22" x14ac:dyDescent="0.2">
      <c r="U1130" s="33"/>
      <c r="V1130" s="33"/>
    </row>
    <row r="1131" spans="21:22" x14ac:dyDescent="0.2">
      <c r="U1131" s="33"/>
      <c r="V1131" s="33"/>
    </row>
    <row r="1132" spans="21:22" x14ac:dyDescent="0.2">
      <c r="U1132" s="33"/>
      <c r="V1132" s="33"/>
    </row>
    <row r="1133" spans="21:22" x14ac:dyDescent="0.2">
      <c r="U1133" s="33"/>
      <c r="V1133" s="33"/>
    </row>
    <row r="1134" spans="21:22" x14ac:dyDescent="0.2">
      <c r="U1134" s="33"/>
      <c r="V1134" s="33"/>
    </row>
    <row r="1135" spans="21:22" x14ac:dyDescent="0.2">
      <c r="U1135" s="33"/>
      <c r="V1135" s="33"/>
    </row>
    <row r="1136" spans="21:22" x14ac:dyDescent="0.2">
      <c r="U1136" s="33"/>
      <c r="V1136" s="33"/>
    </row>
    <row r="1137" spans="21:22" x14ac:dyDescent="0.2">
      <c r="U1137" s="33"/>
      <c r="V1137" s="33"/>
    </row>
    <row r="1138" spans="21:22" x14ac:dyDescent="0.2">
      <c r="U1138" s="33"/>
      <c r="V1138" s="33"/>
    </row>
    <row r="1139" spans="21:22" x14ac:dyDescent="0.2">
      <c r="U1139" s="33"/>
      <c r="V1139" s="33"/>
    </row>
    <row r="1140" spans="21:22" x14ac:dyDescent="0.2">
      <c r="U1140" s="33"/>
      <c r="V1140" s="33"/>
    </row>
    <row r="1141" spans="21:22" x14ac:dyDescent="0.2">
      <c r="U1141" s="33"/>
      <c r="V1141" s="33"/>
    </row>
    <row r="1142" spans="21:22" x14ac:dyDescent="0.2">
      <c r="U1142" s="33"/>
      <c r="V1142" s="33"/>
    </row>
    <row r="1143" spans="21:22" x14ac:dyDescent="0.2">
      <c r="U1143" s="33"/>
      <c r="V1143" s="33"/>
    </row>
    <row r="1144" spans="21:22" x14ac:dyDescent="0.2">
      <c r="U1144" s="33"/>
      <c r="V1144" s="33"/>
    </row>
    <row r="1145" spans="21:22" x14ac:dyDescent="0.2">
      <c r="U1145" s="33"/>
      <c r="V1145" s="33"/>
    </row>
    <row r="1146" spans="21:22" x14ac:dyDescent="0.2">
      <c r="U1146" s="33"/>
      <c r="V1146" s="33"/>
    </row>
    <row r="1147" spans="21:22" x14ac:dyDescent="0.2">
      <c r="U1147" s="33"/>
      <c r="V1147" s="33"/>
    </row>
    <row r="1148" spans="21:22" x14ac:dyDescent="0.2">
      <c r="U1148" s="33"/>
      <c r="V1148" s="33"/>
    </row>
    <row r="1149" spans="21:22" x14ac:dyDescent="0.2">
      <c r="U1149" s="33"/>
      <c r="V1149" s="33"/>
    </row>
    <row r="1150" spans="21:22" x14ac:dyDescent="0.2">
      <c r="U1150" s="33"/>
      <c r="V1150" s="33"/>
    </row>
    <row r="1151" spans="21:22" x14ac:dyDescent="0.2">
      <c r="U1151" s="33"/>
      <c r="V1151" s="33"/>
    </row>
    <row r="1152" spans="21:22" x14ac:dyDescent="0.2">
      <c r="U1152" s="33"/>
      <c r="V1152" s="33"/>
    </row>
    <row r="1153" spans="21:22" x14ac:dyDescent="0.2">
      <c r="U1153" s="33"/>
      <c r="V1153" s="33"/>
    </row>
    <row r="1154" spans="21:22" x14ac:dyDescent="0.2">
      <c r="U1154" s="33"/>
      <c r="V1154" s="33"/>
    </row>
    <row r="1155" spans="21:22" x14ac:dyDescent="0.2">
      <c r="U1155" s="33"/>
      <c r="V1155" s="33"/>
    </row>
    <row r="1156" spans="21:22" x14ac:dyDescent="0.2">
      <c r="U1156" s="33"/>
      <c r="V1156" s="33"/>
    </row>
    <row r="1157" spans="21:22" x14ac:dyDescent="0.2">
      <c r="U1157" s="33"/>
      <c r="V1157" s="33"/>
    </row>
    <row r="1158" spans="21:22" x14ac:dyDescent="0.2">
      <c r="U1158" s="33"/>
      <c r="V1158" s="33"/>
    </row>
    <row r="1159" spans="21:22" x14ac:dyDescent="0.2">
      <c r="U1159" s="33"/>
      <c r="V1159" s="33"/>
    </row>
    <row r="1160" spans="21:22" x14ac:dyDescent="0.2">
      <c r="U1160" s="33"/>
      <c r="V1160" s="33"/>
    </row>
    <row r="1161" spans="21:22" x14ac:dyDescent="0.2">
      <c r="U1161" s="33"/>
      <c r="V1161" s="33"/>
    </row>
    <row r="1162" spans="21:22" x14ac:dyDescent="0.2">
      <c r="U1162" s="33"/>
      <c r="V1162" s="33"/>
    </row>
    <row r="1163" spans="21:22" x14ac:dyDescent="0.2">
      <c r="U1163" s="33"/>
      <c r="V1163" s="33"/>
    </row>
    <row r="1164" spans="21:22" x14ac:dyDescent="0.2">
      <c r="U1164" s="33"/>
      <c r="V1164" s="33"/>
    </row>
    <row r="1165" spans="21:22" x14ac:dyDescent="0.2">
      <c r="U1165" s="33"/>
      <c r="V1165" s="33"/>
    </row>
    <row r="1166" spans="21:22" x14ac:dyDescent="0.2">
      <c r="U1166" s="33"/>
      <c r="V1166" s="33"/>
    </row>
    <row r="1167" spans="21:22" x14ac:dyDescent="0.2">
      <c r="U1167" s="33"/>
      <c r="V1167" s="33"/>
    </row>
    <row r="1168" spans="21:22" x14ac:dyDescent="0.2">
      <c r="U1168" s="33"/>
      <c r="V1168" s="33"/>
    </row>
    <row r="1169" spans="21:22" x14ac:dyDescent="0.2">
      <c r="U1169" s="33"/>
      <c r="V1169" s="33"/>
    </row>
    <row r="1170" spans="21:22" x14ac:dyDescent="0.2">
      <c r="U1170" s="33"/>
      <c r="V1170" s="33"/>
    </row>
    <row r="1171" spans="21:22" x14ac:dyDescent="0.2">
      <c r="U1171" s="33"/>
      <c r="V1171" s="33"/>
    </row>
    <row r="1172" spans="21:22" x14ac:dyDescent="0.2">
      <c r="U1172" s="33"/>
      <c r="V1172" s="33"/>
    </row>
    <row r="1173" spans="21:22" x14ac:dyDescent="0.2">
      <c r="U1173" s="33"/>
      <c r="V1173" s="33"/>
    </row>
    <row r="1174" spans="21:22" x14ac:dyDescent="0.2">
      <c r="U1174" s="33"/>
      <c r="V1174" s="33"/>
    </row>
    <row r="1175" spans="21:22" x14ac:dyDescent="0.2">
      <c r="U1175" s="33"/>
      <c r="V1175" s="33"/>
    </row>
    <row r="1176" spans="21:22" x14ac:dyDescent="0.2">
      <c r="U1176" s="33"/>
      <c r="V1176" s="33"/>
    </row>
    <row r="1177" spans="21:22" x14ac:dyDescent="0.2">
      <c r="U1177" s="33"/>
      <c r="V1177" s="33"/>
    </row>
    <row r="1178" spans="21:22" x14ac:dyDescent="0.2">
      <c r="U1178" s="33"/>
      <c r="V1178" s="33"/>
    </row>
    <row r="1179" spans="21:22" x14ac:dyDescent="0.2">
      <c r="U1179" s="33"/>
      <c r="V1179" s="33"/>
    </row>
    <row r="1180" spans="21:22" x14ac:dyDescent="0.2">
      <c r="U1180" s="33"/>
      <c r="V1180" s="33"/>
    </row>
    <row r="1181" spans="21:22" x14ac:dyDescent="0.2">
      <c r="U1181" s="33"/>
      <c r="V1181" s="33"/>
    </row>
    <row r="1182" spans="21:22" x14ac:dyDescent="0.2">
      <c r="U1182" s="33"/>
      <c r="V1182" s="33"/>
    </row>
    <row r="1183" spans="21:22" x14ac:dyDescent="0.2">
      <c r="U1183" s="33"/>
      <c r="V1183" s="33"/>
    </row>
    <row r="1184" spans="21:22" x14ac:dyDescent="0.2">
      <c r="U1184" s="33"/>
      <c r="V1184" s="33"/>
    </row>
    <row r="1185" spans="21:22" x14ac:dyDescent="0.2">
      <c r="U1185" s="33"/>
      <c r="V1185" s="33"/>
    </row>
    <row r="1186" spans="21:22" x14ac:dyDescent="0.2">
      <c r="U1186" s="33"/>
      <c r="V1186" s="33"/>
    </row>
    <row r="1187" spans="21:22" x14ac:dyDescent="0.2">
      <c r="U1187" s="33"/>
      <c r="V1187" s="33"/>
    </row>
    <row r="1188" spans="21:22" x14ac:dyDescent="0.2">
      <c r="U1188" s="33"/>
      <c r="V1188" s="33"/>
    </row>
    <row r="1189" spans="21:22" x14ac:dyDescent="0.2">
      <c r="U1189" s="33"/>
      <c r="V1189" s="33"/>
    </row>
    <row r="1190" spans="21:22" x14ac:dyDescent="0.2">
      <c r="U1190" s="33"/>
      <c r="V1190" s="33"/>
    </row>
    <row r="1191" spans="21:22" x14ac:dyDescent="0.2">
      <c r="U1191" s="33"/>
      <c r="V1191" s="33"/>
    </row>
    <row r="1192" spans="21:22" x14ac:dyDescent="0.2">
      <c r="U1192" s="33"/>
      <c r="V1192" s="33"/>
    </row>
    <row r="1193" spans="21:22" x14ac:dyDescent="0.2">
      <c r="U1193" s="33"/>
      <c r="V1193" s="33"/>
    </row>
    <row r="1194" spans="21:22" x14ac:dyDescent="0.2">
      <c r="U1194" s="33"/>
      <c r="V1194" s="33"/>
    </row>
    <row r="1195" spans="21:22" x14ac:dyDescent="0.2">
      <c r="U1195" s="33"/>
      <c r="V1195" s="33"/>
    </row>
    <row r="1196" spans="21:22" x14ac:dyDescent="0.2">
      <c r="U1196" s="33"/>
      <c r="V1196" s="33"/>
    </row>
    <row r="1197" spans="21:22" x14ac:dyDescent="0.2">
      <c r="U1197" s="33"/>
      <c r="V1197" s="33"/>
    </row>
    <row r="1198" spans="21:22" x14ac:dyDescent="0.2">
      <c r="U1198" s="33"/>
      <c r="V1198" s="33"/>
    </row>
    <row r="1199" spans="21:22" x14ac:dyDescent="0.2">
      <c r="U1199" s="33"/>
      <c r="V1199" s="33"/>
    </row>
    <row r="1200" spans="21:22" x14ac:dyDescent="0.2">
      <c r="U1200" s="33"/>
      <c r="V1200" s="33"/>
    </row>
    <row r="1201" spans="21:22" x14ac:dyDescent="0.2">
      <c r="U1201" s="33"/>
      <c r="V1201" s="33"/>
    </row>
    <row r="1202" spans="21:22" x14ac:dyDescent="0.2">
      <c r="U1202" s="33"/>
      <c r="V1202" s="33"/>
    </row>
    <row r="1203" spans="21:22" x14ac:dyDescent="0.2">
      <c r="U1203" s="33"/>
      <c r="V1203" s="33"/>
    </row>
    <row r="1204" spans="21:22" x14ac:dyDescent="0.2">
      <c r="U1204" s="33"/>
      <c r="V1204" s="33"/>
    </row>
    <row r="1205" spans="21:22" x14ac:dyDescent="0.2">
      <c r="U1205" s="33"/>
      <c r="V1205" s="33"/>
    </row>
    <row r="1206" spans="21:22" x14ac:dyDescent="0.2">
      <c r="U1206" s="33"/>
      <c r="V1206" s="33"/>
    </row>
    <row r="1207" spans="21:22" x14ac:dyDescent="0.2">
      <c r="U1207" s="33"/>
      <c r="V1207" s="33"/>
    </row>
    <row r="1208" spans="21:22" x14ac:dyDescent="0.2">
      <c r="U1208" s="33"/>
      <c r="V1208" s="33"/>
    </row>
    <row r="1209" spans="21:22" x14ac:dyDescent="0.2">
      <c r="U1209" s="33"/>
      <c r="V1209" s="33"/>
    </row>
    <row r="1210" spans="21:22" x14ac:dyDescent="0.2">
      <c r="U1210" s="33"/>
      <c r="V1210" s="33"/>
    </row>
    <row r="1211" spans="21:22" x14ac:dyDescent="0.2">
      <c r="U1211" s="33"/>
      <c r="V1211" s="33"/>
    </row>
    <row r="1212" spans="21:22" x14ac:dyDescent="0.2">
      <c r="U1212" s="33"/>
      <c r="V1212" s="33"/>
    </row>
    <row r="1213" spans="21:22" x14ac:dyDescent="0.2">
      <c r="U1213" s="33"/>
      <c r="V1213" s="33"/>
    </row>
    <row r="1214" spans="21:22" x14ac:dyDescent="0.2">
      <c r="U1214" s="33"/>
      <c r="V1214" s="33"/>
    </row>
    <row r="1215" spans="21:22" x14ac:dyDescent="0.2">
      <c r="U1215" s="33"/>
      <c r="V1215" s="33"/>
    </row>
    <row r="1216" spans="21:22" x14ac:dyDescent="0.2">
      <c r="U1216" s="33"/>
      <c r="V1216" s="33"/>
    </row>
    <row r="1217" spans="21:22" x14ac:dyDescent="0.2">
      <c r="U1217" s="33"/>
      <c r="V1217" s="33"/>
    </row>
    <row r="1218" spans="21:22" x14ac:dyDescent="0.2">
      <c r="U1218" s="33"/>
      <c r="V1218" s="33"/>
    </row>
    <row r="1219" spans="21:22" x14ac:dyDescent="0.2">
      <c r="U1219" s="33"/>
      <c r="V1219" s="33"/>
    </row>
    <row r="1220" spans="21:22" x14ac:dyDescent="0.2">
      <c r="U1220" s="33"/>
      <c r="V1220" s="33"/>
    </row>
    <row r="1221" spans="21:22" x14ac:dyDescent="0.2">
      <c r="U1221" s="33"/>
      <c r="V1221" s="33"/>
    </row>
    <row r="1222" spans="21:22" x14ac:dyDescent="0.2">
      <c r="U1222" s="33"/>
      <c r="V1222" s="33"/>
    </row>
    <row r="1223" spans="21:22" x14ac:dyDescent="0.2">
      <c r="U1223" s="33"/>
      <c r="V1223" s="33"/>
    </row>
    <row r="1224" spans="21:22" x14ac:dyDescent="0.2">
      <c r="U1224" s="33"/>
      <c r="V1224" s="33"/>
    </row>
    <row r="1225" spans="21:22" x14ac:dyDescent="0.2">
      <c r="U1225" s="33"/>
      <c r="V1225" s="33"/>
    </row>
    <row r="1226" spans="21:22" x14ac:dyDescent="0.2">
      <c r="U1226" s="33"/>
      <c r="V1226" s="33"/>
    </row>
    <row r="1227" spans="21:22" x14ac:dyDescent="0.2">
      <c r="U1227" s="33"/>
      <c r="V1227" s="33"/>
    </row>
    <row r="1228" spans="21:22" x14ac:dyDescent="0.2">
      <c r="U1228" s="33"/>
      <c r="V1228" s="33"/>
    </row>
    <row r="1229" spans="21:22" x14ac:dyDescent="0.2">
      <c r="U1229" s="33"/>
      <c r="V1229" s="33"/>
    </row>
    <row r="1230" spans="21:22" x14ac:dyDescent="0.2">
      <c r="U1230" s="33"/>
      <c r="V1230" s="33"/>
    </row>
    <row r="1231" spans="21:22" x14ac:dyDescent="0.2">
      <c r="U1231" s="33"/>
      <c r="V1231" s="33"/>
    </row>
    <row r="1232" spans="21:22" x14ac:dyDescent="0.2">
      <c r="U1232" s="33"/>
      <c r="V1232" s="33"/>
    </row>
    <row r="1233" spans="21:22" x14ac:dyDescent="0.2">
      <c r="U1233" s="33"/>
      <c r="V1233" s="33"/>
    </row>
    <row r="1234" spans="21:22" x14ac:dyDescent="0.2">
      <c r="U1234" s="33"/>
      <c r="V1234" s="33"/>
    </row>
    <row r="1235" spans="21:22" x14ac:dyDescent="0.2">
      <c r="U1235" s="33"/>
      <c r="V1235" s="33"/>
    </row>
    <row r="1236" spans="21:22" x14ac:dyDescent="0.2">
      <c r="U1236" s="33"/>
      <c r="V1236" s="33"/>
    </row>
    <row r="1237" spans="21:22" x14ac:dyDescent="0.2">
      <c r="U1237" s="33"/>
      <c r="V1237" s="33"/>
    </row>
    <row r="1238" spans="21:22" x14ac:dyDescent="0.2">
      <c r="U1238" s="33"/>
      <c r="V1238" s="33"/>
    </row>
    <row r="1239" spans="21:22" x14ac:dyDescent="0.2">
      <c r="U1239" s="33"/>
      <c r="V1239" s="33"/>
    </row>
    <row r="1240" spans="21:22" x14ac:dyDescent="0.2">
      <c r="U1240" s="33"/>
      <c r="V1240" s="33"/>
    </row>
  </sheetData>
  <autoFilter ref="A6:EH187">
    <sortState ref="A7:DV187">
      <sortCondition ref="C6:C187"/>
    </sortState>
  </autoFilter>
  <dataConsolidate/>
  <mergeCells count="128">
    <mergeCell ref="DB1:EC1"/>
    <mergeCell ref="A2:A5"/>
    <mergeCell ref="B2:B5"/>
    <mergeCell ref="C2:C5"/>
    <mergeCell ref="D2:D5"/>
    <mergeCell ref="E2:E5"/>
    <mergeCell ref="F2:F5"/>
    <mergeCell ref="G2:G5"/>
    <mergeCell ref="H2:H5"/>
    <mergeCell ref="I2:I5"/>
    <mergeCell ref="CA2:CA5"/>
    <mergeCell ref="CB2:CB5"/>
    <mergeCell ref="CC2:CC5"/>
    <mergeCell ref="CD2:CD5"/>
    <mergeCell ref="CE2:CE5"/>
    <mergeCell ref="CF2:CF5"/>
    <mergeCell ref="CG2:CG5"/>
    <mergeCell ref="CH2:CH5"/>
    <mergeCell ref="CI2:CJ3"/>
    <mergeCell ref="CK2:CK5"/>
    <mergeCell ref="CL2:CL5"/>
    <mergeCell ref="CI4:CI5"/>
    <mergeCell ref="CJ4:CJ5"/>
    <mergeCell ref="J2:J5"/>
    <mergeCell ref="K2:K5"/>
    <mergeCell ref="L2:M2"/>
    <mergeCell ref="N2:Q2"/>
    <mergeCell ref="R2:AB2"/>
    <mergeCell ref="AC2:AH2"/>
    <mergeCell ref="Z3:AB3"/>
    <mergeCell ref="AC3:AC5"/>
    <mergeCell ref="AD3:AF3"/>
    <mergeCell ref="AG3:AG5"/>
    <mergeCell ref="AO2:AO5"/>
    <mergeCell ref="AP2:AP5"/>
    <mergeCell ref="AQ2:AQ5"/>
    <mergeCell ref="AR2:AR5"/>
    <mergeCell ref="AS2:AS5"/>
    <mergeCell ref="AT2:AT5"/>
    <mergeCell ref="AI2:AI5"/>
    <mergeCell ref="AJ2:AJ5"/>
    <mergeCell ref="AK2:AK5"/>
    <mergeCell ref="AL2:AL5"/>
    <mergeCell ref="AM2:AM5"/>
    <mergeCell ref="AN2:AN5"/>
    <mergeCell ref="BD2:BD5"/>
    <mergeCell ref="BE2:BE5"/>
    <mergeCell ref="BF2:BF5"/>
    <mergeCell ref="BG2:BI4"/>
    <mergeCell ref="BJ2:BL2"/>
    <mergeCell ref="AU2:AW2"/>
    <mergeCell ref="AX2:AX5"/>
    <mergeCell ref="AY2:AY5"/>
    <mergeCell ref="AZ2:AZ5"/>
    <mergeCell ref="BA2:BA5"/>
    <mergeCell ref="BB2:BB5"/>
    <mergeCell ref="DK2:EC2"/>
    <mergeCell ref="L3:L5"/>
    <mergeCell ref="M3:M5"/>
    <mergeCell ref="N3:N5"/>
    <mergeCell ref="O3:O5"/>
    <mergeCell ref="P3:P5"/>
    <mergeCell ref="Q3:Q5"/>
    <mergeCell ref="R3:S3"/>
    <mergeCell ref="T3:V3"/>
    <mergeCell ref="W3:Y3"/>
    <mergeCell ref="CS2:CT4"/>
    <mergeCell ref="CU2:CU5"/>
    <mergeCell ref="CV2:DA2"/>
    <mergeCell ref="DB2:DE3"/>
    <mergeCell ref="DF2:DI3"/>
    <mergeCell ref="DJ2:DJ5"/>
    <mergeCell ref="DG4:DG5"/>
    <mergeCell ref="DH4:DH5"/>
    <mergeCell ref="DI4:DI5"/>
    <mergeCell ref="BX2:BX5"/>
    <mergeCell ref="BY2:BZ4"/>
    <mergeCell ref="CM2:CM5"/>
    <mergeCell ref="CN2:CN5"/>
    <mergeCell ref="CO2:CP4"/>
    <mergeCell ref="DN3:EA3"/>
    <mergeCell ref="EB3:EC4"/>
    <mergeCell ref="R4:S4"/>
    <mergeCell ref="T4:T5"/>
    <mergeCell ref="U4:V4"/>
    <mergeCell ref="W4:W5"/>
    <mergeCell ref="X4:Y4"/>
    <mergeCell ref="Z4:Z5"/>
    <mergeCell ref="AA4:AB4"/>
    <mergeCell ref="AD4:AD5"/>
    <mergeCell ref="BQ3:BQ5"/>
    <mergeCell ref="BR3:BR5"/>
    <mergeCell ref="CV3:CX4"/>
    <mergeCell ref="CY3:DA4"/>
    <mergeCell ref="DK3:DK5"/>
    <mergeCell ref="DL3:DM3"/>
    <mergeCell ref="DC4:DC5"/>
    <mergeCell ref="DD4:DD5"/>
    <mergeCell ref="DE4:DE5"/>
    <mergeCell ref="DF4:DF5"/>
    <mergeCell ref="AH3:AH5"/>
    <mergeCell ref="AU3:AU5"/>
    <mergeCell ref="AV3:AW3"/>
    <mergeCell ref="BJ3:BJ5"/>
    <mergeCell ref="DL4:DL5"/>
    <mergeCell ref="DM4:DM5"/>
    <mergeCell ref="DN4:DT4"/>
    <mergeCell ref="DU4:EA4"/>
    <mergeCell ref="AE4:AF4"/>
    <mergeCell ref="AV4:AV5"/>
    <mergeCell ref="AW4:AW5"/>
    <mergeCell ref="BS4:BS5"/>
    <mergeCell ref="BT4:BT5"/>
    <mergeCell ref="DB4:DB5"/>
    <mergeCell ref="BK3:BK5"/>
    <mergeCell ref="BL3:BL5"/>
    <mergeCell ref="CQ2:CR4"/>
    <mergeCell ref="BM2:BO2"/>
    <mergeCell ref="BP2:BR2"/>
    <mergeCell ref="BS2:BT3"/>
    <mergeCell ref="BU2:BU5"/>
    <mergeCell ref="BV2:BV5"/>
    <mergeCell ref="BW2:BW5"/>
    <mergeCell ref="BM3:BM5"/>
    <mergeCell ref="BN3:BN5"/>
    <mergeCell ref="BO3:BO5"/>
    <mergeCell ref="BP3:BP5"/>
    <mergeCell ref="BC2:BC5"/>
  </mergeCells>
  <pageMargins left="0.23622047244094491" right="0.23622047244094491" top="0.19685039370078741" bottom="0.27559055118110237" header="0.15748031496062992" footer="0.15748031496062992"/>
  <pageSetup paperSize="9" scale="80" orientation="landscape" horizontalDpi="300" verticalDpi="300" r:id="rId1"/>
  <headerFooter alignWithMargins="0">
    <oddFooter>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nor</vt:lpstr>
      <vt:lpstr>og</vt:lpstr>
      <vt:lpstr>sv</vt:lpstr>
      <vt:lpstr>nor А-Я</vt:lpstr>
      <vt:lpstr>nor!Заголовки_для_печати</vt:lpstr>
      <vt:lpstr>'nor А-Я'!Заголовки_для_печати</vt:lpstr>
      <vt:lpstr>og!Заголовки_для_печати</vt:lpstr>
      <vt:lpstr>sv!Заголовки_для_печати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Sekretar_t5</dc:creator>
  <cp:lastModifiedBy>Наталья Богдановна Левенец</cp:lastModifiedBy>
  <cp:lastPrinted>2018-01-29T04:09:00Z</cp:lastPrinted>
  <dcterms:created xsi:type="dcterms:W3CDTF">1996-01-22T09:18:02Z</dcterms:created>
  <dcterms:modified xsi:type="dcterms:W3CDTF">2021-07-05T04:23:31Z</dcterms:modified>
</cp:coreProperties>
</file>